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rambanapasi/Desktop/Much Ado Dividends/Much-Ado-Dividends/Thesis/data/"/>
    </mc:Choice>
  </mc:AlternateContent>
  <xr:revisionPtr revIDLastSave="0" documentId="13_ncr:1_{3782353E-B3BD-4248-9D10-DAB5828713C4}" xr6:coauthVersionLast="47" xr6:coauthVersionMax="47" xr10:uidLastSave="{00000000-0000-0000-0000-000000000000}"/>
  <bookViews>
    <workbookView xWindow="2820" yWindow="3060" windowWidth="14400" windowHeight="1068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72" i="2" l="1"/>
  <c r="D5172" i="2"/>
  <c r="C5172" i="2"/>
  <c r="B5172" i="2"/>
  <c r="E5171" i="2"/>
  <c r="D5171" i="2"/>
  <c r="C5171" i="2"/>
  <c r="B5171" i="2"/>
  <c r="E5170" i="2"/>
  <c r="D5170" i="2"/>
  <c r="C5170" i="2"/>
  <c r="B5170" i="2"/>
  <c r="E5169" i="2"/>
  <c r="D5169" i="2"/>
  <c r="C5169" i="2"/>
  <c r="B5169" i="2"/>
  <c r="E5168" i="2"/>
  <c r="D5168" i="2"/>
  <c r="C5168" i="2"/>
  <c r="B5168" i="2"/>
  <c r="E5167" i="2"/>
  <c r="D5167" i="2"/>
  <c r="C5167" i="2"/>
  <c r="B5167" i="2"/>
  <c r="E5166" i="2"/>
  <c r="D5166" i="2"/>
  <c r="C5166" i="2"/>
  <c r="B5166" i="2"/>
  <c r="E5165" i="2"/>
  <c r="D5165" i="2"/>
  <c r="C5165" i="2"/>
  <c r="B5165" i="2"/>
  <c r="E5164" i="2"/>
  <c r="D5164" i="2"/>
  <c r="C5164" i="2"/>
  <c r="B5164" i="2"/>
  <c r="E5163" i="2"/>
  <c r="D5163" i="2"/>
  <c r="C5163" i="2"/>
  <c r="B5163" i="2"/>
  <c r="E5162" i="2"/>
  <c r="D5162" i="2"/>
  <c r="C5162" i="2"/>
  <c r="B5162" i="2"/>
  <c r="E5161" i="2"/>
  <c r="D5161" i="2"/>
  <c r="C5161" i="2"/>
  <c r="B5161" i="2"/>
  <c r="E5160" i="2"/>
  <c r="D5160" i="2"/>
  <c r="C5160" i="2"/>
  <c r="B5160" i="2"/>
  <c r="E5159" i="2"/>
  <c r="D5159" i="2"/>
  <c r="C5159" i="2"/>
  <c r="B5159" i="2"/>
  <c r="E5158" i="2"/>
  <c r="D5158" i="2"/>
  <c r="C5158" i="2"/>
  <c r="B5158" i="2"/>
  <c r="E5157" i="2"/>
  <c r="D5157" i="2"/>
  <c r="C5157" i="2"/>
  <c r="B5157" i="2"/>
  <c r="E5156" i="2"/>
  <c r="D5156" i="2"/>
  <c r="C5156" i="2"/>
  <c r="B5156" i="2"/>
  <c r="E5155" i="2"/>
  <c r="D5155" i="2"/>
  <c r="C5155" i="2"/>
  <c r="B5155" i="2"/>
  <c r="E5154" i="2"/>
  <c r="D5154" i="2"/>
  <c r="C5154" i="2"/>
  <c r="B5154" i="2"/>
  <c r="E5153" i="2"/>
  <c r="D5153" i="2"/>
  <c r="C5153" i="2"/>
  <c r="B5153" i="2"/>
  <c r="E5152" i="2"/>
  <c r="D5152" i="2"/>
  <c r="C5152" i="2"/>
  <c r="B5152" i="2"/>
  <c r="E5151" i="2"/>
  <c r="D5151" i="2"/>
  <c r="C5151" i="2"/>
  <c r="B5151" i="2"/>
  <c r="E5150" i="2"/>
  <c r="D5150" i="2"/>
  <c r="C5150" i="2"/>
  <c r="B5150" i="2"/>
  <c r="E5149" i="2"/>
  <c r="D5149" i="2"/>
  <c r="C5149" i="2"/>
  <c r="B5149" i="2"/>
  <c r="E5148" i="2"/>
  <c r="D5148" i="2"/>
  <c r="C5148" i="2"/>
  <c r="B5148" i="2"/>
  <c r="E5147" i="2"/>
  <c r="D5147" i="2"/>
  <c r="C5147" i="2"/>
  <c r="B5147" i="2"/>
  <c r="E5146" i="2"/>
  <c r="D5146" i="2"/>
  <c r="C5146" i="2"/>
  <c r="B5146" i="2"/>
  <c r="E5145" i="2"/>
  <c r="D5145" i="2"/>
  <c r="C5145" i="2"/>
  <c r="B5145" i="2"/>
  <c r="E5144" i="2"/>
  <c r="D5144" i="2"/>
  <c r="C5144" i="2"/>
  <c r="B5144" i="2"/>
  <c r="E5143" i="2"/>
  <c r="D5143" i="2"/>
  <c r="C5143" i="2"/>
  <c r="B5143" i="2"/>
  <c r="E5142" i="2"/>
  <c r="D5142" i="2"/>
  <c r="C5142" i="2"/>
  <c r="B5142" i="2"/>
  <c r="E5141" i="2"/>
  <c r="D5141" i="2"/>
  <c r="C5141" i="2"/>
  <c r="B5141" i="2"/>
  <c r="E5140" i="2"/>
  <c r="D5140" i="2"/>
  <c r="C5140" i="2"/>
  <c r="B5140" i="2"/>
  <c r="E5139" i="2"/>
  <c r="D5139" i="2"/>
  <c r="C5139" i="2"/>
  <c r="B5139" i="2"/>
  <c r="E5138" i="2"/>
  <c r="D5138" i="2"/>
  <c r="C5138" i="2"/>
  <c r="B5138" i="2"/>
  <c r="E5137" i="2"/>
  <c r="D5137" i="2"/>
  <c r="C5137" i="2"/>
  <c r="B5137" i="2"/>
  <c r="E5136" i="2"/>
  <c r="D5136" i="2"/>
  <c r="C5136" i="2"/>
  <c r="B5136" i="2"/>
  <c r="E5135" i="2"/>
  <c r="D5135" i="2"/>
  <c r="C5135" i="2"/>
  <c r="B5135" i="2"/>
  <c r="E5134" i="2"/>
  <c r="D5134" i="2"/>
  <c r="C5134" i="2"/>
  <c r="B5134" i="2"/>
  <c r="E5133" i="2"/>
  <c r="D5133" i="2"/>
  <c r="C5133" i="2"/>
  <c r="B5133" i="2"/>
  <c r="E5132" i="2"/>
  <c r="D5132" i="2"/>
  <c r="C5132" i="2"/>
  <c r="B5132" i="2"/>
  <c r="E5131" i="2"/>
  <c r="D5131" i="2"/>
  <c r="C5131" i="2"/>
  <c r="B5131" i="2"/>
  <c r="E5130" i="2"/>
  <c r="D5130" i="2"/>
  <c r="C5130" i="2"/>
  <c r="B5130" i="2"/>
  <c r="E5129" i="2"/>
  <c r="D5129" i="2"/>
  <c r="C5129" i="2"/>
  <c r="B5129" i="2"/>
  <c r="E5128" i="2"/>
  <c r="D5128" i="2"/>
  <c r="C5128" i="2"/>
  <c r="B5128" i="2"/>
  <c r="E5127" i="2"/>
  <c r="D5127" i="2"/>
  <c r="C5127" i="2"/>
  <c r="B5127" i="2"/>
  <c r="E5126" i="2"/>
  <c r="D5126" i="2"/>
  <c r="C5126" i="2"/>
  <c r="B5126" i="2"/>
  <c r="E5125" i="2"/>
  <c r="D5125" i="2"/>
  <c r="C5125" i="2"/>
  <c r="B5125" i="2"/>
  <c r="E5124" i="2"/>
  <c r="D5124" i="2"/>
  <c r="C5124" i="2"/>
  <c r="B5124" i="2"/>
  <c r="E5123" i="2"/>
  <c r="D5123" i="2"/>
  <c r="C5123" i="2"/>
  <c r="B5123" i="2"/>
  <c r="E5122" i="2"/>
  <c r="D5122" i="2"/>
  <c r="C5122" i="2"/>
  <c r="B5122" i="2"/>
  <c r="E5121" i="2"/>
  <c r="D5121" i="2"/>
  <c r="C5121" i="2"/>
  <c r="B5121" i="2"/>
  <c r="E5120" i="2"/>
  <c r="D5120" i="2"/>
  <c r="C5120" i="2"/>
  <c r="B5120" i="2"/>
  <c r="E5119" i="2"/>
  <c r="D5119" i="2"/>
  <c r="C5119" i="2"/>
  <c r="B5119" i="2"/>
  <c r="E5118" i="2"/>
  <c r="D5118" i="2"/>
  <c r="C5118" i="2"/>
  <c r="B5118" i="2"/>
  <c r="E5117" i="2"/>
  <c r="D5117" i="2"/>
  <c r="C5117" i="2"/>
  <c r="B5117" i="2"/>
  <c r="E5116" i="2"/>
  <c r="D5116" i="2"/>
  <c r="C5116" i="2"/>
  <c r="B5116" i="2"/>
  <c r="E5115" i="2"/>
  <c r="D5115" i="2"/>
  <c r="C5115" i="2"/>
  <c r="B5115" i="2"/>
  <c r="E5114" i="2"/>
  <c r="D5114" i="2"/>
  <c r="C5114" i="2"/>
  <c r="B5114" i="2"/>
  <c r="E5113" i="2"/>
  <c r="D5113" i="2"/>
  <c r="C5113" i="2"/>
  <c r="B5113" i="2"/>
  <c r="E5112" i="2"/>
  <c r="D5112" i="2"/>
  <c r="C5112" i="2"/>
  <c r="B5112" i="2"/>
  <c r="E5111" i="2"/>
  <c r="D5111" i="2"/>
  <c r="C5111" i="2"/>
  <c r="B5111" i="2"/>
  <c r="E5110" i="2"/>
  <c r="D5110" i="2"/>
  <c r="C5110" i="2"/>
  <c r="B5110" i="2"/>
  <c r="E5109" i="2"/>
  <c r="D5109" i="2"/>
  <c r="C5109" i="2"/>
  <c r="B5109" i="2"/>
  <c r="E5108" i="2"/>
  <c r="D5108" i="2"/>
  <c r="C5108" i="2"/>
  <c r="B5108" i="2"/>
  <c r="E5107" i="2"/>
  <c r="D5107" i="2"/>
  <c r="C5107" i="2"/>
  <c r="B5107" i="2"/>
  <c r="E5106" i="2"/>
  <c r="D5106" i="2"/>
  <c r="C5106" i="2"/>
  <c r="B5106" i="2"/>
  <c r="E5105" i="2"/>
  <c r="D5105" i="2"/>
  <c r="C5105" i="2"/>
  <c r="B5105" i="2"/>
  <c r="E5104" i="2"/>
  <c r="D5104" i="2"/>
  <c r="C5104" i="2"/>
  <c r="B5104" i="2"/>
  <c r="E5103" i="2"/>
  <c r="D5103" i="2"/>
  <c r="C5103" i="2"/>
  <c r="B5103" i="2"/>
  <c r="E5102" i="2"/>
  <c r="D5102" i="2"/>
  <c r="C5102" i="2"/>
  <c r="B5102" i="2"/>
  <c r="E5101" i="2"/>
  <c r="D5101" i="2"/>
  <c r="C5101" i="2"/>
  <c r="B5101" i="2"/>
  <c r="E5100" i="2"/>
  <c r="D5100" i="2"/>
  <c r="C5100" i="2"/>
  <c r="B5100" i="2"/>
  <c r="E5099" i="2"/>
  <c r="D5099" i="2"/>
  <c r="C5099" i="2"/>
  <c r="B5099" i="2"/>
  <c r="E5098" i="2"/>
  <c r="D5098" i="2"/>
  <c r="C5098" i="2"/>
  <c r="B5098" i="2"/>
  <c r="E5097" i="2"/>
  <c r="D5097" i="2"/>
  <c r="C5097" i="2"/>
  <c r="B5097" i="2"/>
  <c r="E5096" i="2"/>
  <c r="D5096" i="2"/>
  <c r="C5096" i="2"/>
  <c r="B5096" i="2"/>
  <c r="E5095" i="2"/>
  <c r="D5095" i="2"/>
  <c r="C5095" i="2"/>
  <c r="B5095" i="2"/>
  <c r="E5094" i="2"/>
  <c r="D5094" i="2"/>
  <c r="C5094" i="2"/>
  <c r="B5094" i="2"/>
  <c r="E5093" i="2"/>
  <c r="D5093" i="2"/>
  <c r="C5093" i="2"/>
  <c r="B5093" i="2"/>
  <c r="E5092" i="2"/>
  <c r="D5092" i="2"/>
  <c r="C5092" i="2"/>
  <c r="B5092" i="2"/>
  <c r="E5091" i="2"/>
  <c r="D5091" i="2"/>
  <c r="C5091" i="2"/>
  <c r="B5091" i="2"/>
  <c r="E5090" i="2"/>
  <c r="D5090" i="2"/>
  <c r="C5090" i="2"/>
  <c r="B5090" i="2"/>
  <c r="E5089" i="2"/>
  <c r="D5089" i="2"/>
  <c r="C5089" i="2"/>
  <c r="B5089" i="2"/>
  <c r="E5088" i="2"/>
  <c r="D5088" i="2"/>
  <c r="C5088" i="2"/>
  <c r="B5088" i="2"/>
  <c r="E5087" i="2"/>
  <c r="D5087" i="2"/>
  <c r="C5087" i="2"/>
  <c r="B5087" i="2"/>
  <c r="E5086" i="2"/>
  <c r="D5086" i="2"/>
  <c r="C5086" i="2"/>
  <c r="B5086" i="2"/>
  <c r="E5085" i="2"/>
  <c r="D5085" i="2"/>
  <c r="C5085" i="2"/>
  <c r="B5085" i="2"/>
  <c r="E5084" i="2"/>
  <c r="D5084" i="2"/>
  <c r="C5084" i="2"/>
  <c r="B5084" i="2"/>
  <c r="E5083" i="2"/>
  <c r="D5083" i="2"/>
  <c r="C5083" i="2"/>
  <c r="B5083" i="2"/>
  <c r="E5082" i="2"/>
  <c r="D5082" i="2"/>
  <c r="C5082" i="2"/>
  <c r="B5082" i="2"/>
  <c r="E5081" i="2"/>
  <c r="D5081" i="2"/>
  <c r="C5081" i="2"/>
  <c r="B5081" i="2"/>
  <c r="E5080" i="2"/>
  <c r="D5080" i="2"/>
  <c r="C5080" i="2"/>
  <c r="B5080" i="2"/>
  <c r="E5079" i="2"/>
  <c r="D5079" i="2"/>
  <c r="C5079" i="2"/>
  <c r="B5079" i="2"/>
  <c r="E5078" i="2"/>
  <c r="D5078" i="2"/>
  <c r="C5078" i="2"/>
  <c r="B5078" i="2"/>
  <c r="E5077" i="2"/>
  <c r="D5077" i="2"/>
  <c r="C5077" i="2"/>
  <c r="B5077" i="2"/>
  <c r="E5076" i="2"/>
  <c r="D5076" i="2"/>
  <c r="C5076" i="2"/>
  <c r="B5076" i="2"/>
  <c r="E5075" i="2"/>
  <c r="D5075" i="2"/>
  <c r="C5075" i="2"/>
  <c r="B5075" i="2"/>
  <c r="E5074" i="2"/>
  <c r="D5074" i="2"/>
  <c r="C5074" i="2"/>
  <c r="B5074" i="2"/>
  <c r="E5073" i="2"/>
  <c r="D5073" i="2"/>
  <c r="C5073" i="2"/>
  <c r="B5073" i="2"/>
  <c r="E5072" i="2"/>
  <c r="D5072" i="2"/>
  <c r="C5072" i="2"/>
  <c r="B5072" i="2"/>
  <c r="E5071" i="2"/>
  <c r="D5071" i="2"/>
  <c r="C5071" i="2"/>
  <c r="B5071" i="2"/>
  <c r="E5070" i="2"/>
  <c r="D5070" i="2"/>
  <c r="C5070" i="2"/>
  <c r="B5070" i="2"/>
  <c r="E5069" i="2"/>
  <c r="D5069" i="2"/>
  <c r="C5069" i="2"/>
  <c r="B5069" i="2"/>
  <c r="E5068" i="2"/>
  <c r="D5068" i="2"/>
  <c r="C5068" i="2"/>
  <c r="B5068" i="2"/>
  <c r="E5067" i="2"/>
  <c r="D5067" i="2"/>
  <c r="C5067" i="2"/>
  <c r="B5067" i="2"/>
  <c r="E5066" i="2"/>
  <c r="D5066" i="2"/>
  <c r="C5066" i="2"/>
  <c r="B5066" i="2"/>
  <c r="E5065" i="2"/>
  <c r="D5065" i="2"/>
  <c r="C5065" i="2"/>
  <c r="B5065" i="2"/>
  <c r="E5064" i="2"/>
  <c r="D5064" i="2"/>
  <c r="C5064" i="2"/>
  <c r="B5064" i="2"/>
  <c r="E5063" i="2"/>
  <c r="D5063" i="2"/>
  <c r="C5063" i="2"/>
  <c r="B5063" i="2"/>
  <c r="E5062" i="2"/>
  <c r="D5062" i="2"/>
  <c r="C5062" i="2"/>
  <c r="B5062" i="2"/>
  <c r="E5061" i="2"/>
  <c r="D5061" i="2"/>
  <c r="C5061" i="2"/>
  <c r="B5061" i="2"/>
  <c r="E5060" i="2"/>
  <c r="D5060" i="2"/>
  <c r="C5060" i="2"/>
  <c r="B5060" i="2"/>
  <c r="E5059" i="2"/>
  <c r="D5059" i="2"/>
  <c r="C5059" i="2"/>
  <c r="B5059" i="2"/>
  <c r="E5058" i="2"/>
  <c r="D5058" i="2"/>
  <c r="C5058" i="2"/>
  <c r="B5058" i="2"/>
  <c r="E5057" i="2"/>
  <c r="D5057" i="2"/>
  <c r="C5057" i="2"/>
  <c r="B5057" i="2"/>
  <c r="E5056" i="2"/>
  <c r="D5056" i="2"/>
  <c r="C5056" i="2"/>
  <c r="B5056" i="2"/>
  <c r="E5055" i="2"/>
  <c r="D5055" i="2"/>
  <c r="C5055" i="2"/>
  <c r="B5055" i="2"/>
  <c r="E5054" i="2"/>
  <c r="D5054" i="2"/>
  <c r="C5054" i="2"/>
  <c r="B5054" i="2"/>
  <c r="E5053" i="2"/>
  <c r="D5053" i="2"/>
  <c r="C5053" i="2"/>
  <c r="B5053" i="2"/>
  <c r="E5052" i="2"/>
  <c r="D5052" i="2"/>
  <c r="C5052" i="2"/>
  <c r="B5052" i="2"/>
  <c r="E5051" i="2"/>
  <c r="D5051" i="2"/>
  <c r="C5051" i="2"/>
  <c r="B5051" i="2"/>
  <c r="E5050" i="2"/>
  <c r="D5050" i="2"/>
  <c r="C5050" i="2"/>
  <c r="B5050" i="2"/>
  <c r="E5049" i="2"/>
  <c r="D5049" i="2"/>
  <c r="C5049" i="2"/>
  <c r="B5049" i="2"/>
  <c r="E5048" i="2"/>
  <c r="D5048" i="2"/>
  <c r="C5048" i="2"/>
  <c r="B5048" i="2"/>
  <c r="E5047" i="2"/>
  <c r="D5047" i="2"/>
  <c r="C5047" i="2"/>
  <c r="B5047" i="2"/>
  <c r="E5046" i="2"/>
  <c r="D5046" i="2"/>
  <c r="C5046" i="2"/>
  <c r="B5046" i="2"/>
  <c r="E5045" i="2"/>
  <c r="D5045" i="2"/>
  <c r="C5045" i="2"/>
  <c r="B5045" i="2"/>
  <c r="E5044" i="2"/>
  <c r="D5044" i="2"/>
  <c r="C5044" i="2"/>
  <c r="B5044" i="2"/>
  <c r="E5043" i="2"/>
  <c r="D5043" i="2"/>
  <c r="C5043" i="2"/>
  <c r="B5043" i="2"/>
  <c r="E5042" i="2"/>
  <c r="D5042" i="2"/>
  <c r="C5042" i="2"/>
  <c r="B5042" i="2"/>
  <c r="E5041" i="2"/>
  <c r="D5041" i="2"/>
  <c r="C5041" i="2"/>
  <c r="B5041" i="2"/>
  <c r="E5040" i="2"/>
  <c r="D5040" i="2"/>
  <c r="C5040" i="2"/>
  <c r="B5040" i="2"/>
  <c r="E5039" i="2"/>
  <c r="D5039" i="2"/>
  <c r="C5039" i="2"/>
  <c r="B5039" i="2"/>
  <c r="E5038" i="2"/>
  <c r="D5038" i="2"/>
  <c r="C5038" i="2"/>
  <c r="B5038" i="2"/>
  <c r="E5037" i="2"/>
  <c r="D5037" i="2"/>
  <c r="C5037" i="2"/>
  <c r="B5037" i="2"/>
  <c r="E5036" i="2"/>
  <c r="D5036" i="2"/>
  <c r="C5036" i="2"/>
  <c r="B5036" i="2"/>
  <c r="E5035" i="2"/>
  <c r="D5035" i="2"/>
  <c r="C5035" i="2"/>
  <c r="B5035" i="2"/>
  <c r="E5034" i="2"/>
  <c r="D5034" i="2"/>
  <c r="C5034" i="2"/>
  <c r="B5034" i="2"/>
  <c r="E5033" i="2"/>
  <c r="D5033" i="2"/>
  <c r="C5033" i="2"/>
  <c r="B5033" i="2"/>
  <c r="E5032" i="2"/>
  <c r="D5032" i="2"/>
  <c r="C5032" i="2"/>
  <c r="B5032" i="2"/>
  <c r="E5031" i="2"/>
  <c r="D5031" i="2"/>
  <c r="C5031" i="2"/>
  <c r="B5031" i="2"/>
  <c r="E5030" i="2"/>
  <c r="D5030" i="2"/>
  <c r="C5030" i="2"/>
  <c r="B5030" i="2"/>
  <c r="E5029" i="2"/>
  <c r="D5029" i="2"/>
  <c r="C5029" i="2"/>
  <c r="B5029" i="2"/>
  <c r="E5028" i="2"/>
  <c r="D5028" i="2"/>
  <c r="C5028" i="2"/>
  <c r="B5028" i="2"/>
  <c r="E5027" i="2"/>
  <c r="D5027" i="2"/>
  <c r="C5027" i="2"/>
  <c r="B5027" i="2"/>
  <c r="E5026" i="2"/>
  <c r="D5026" i="2"/>
  <c r="C5026" i="2"/>
  <c r="B5026" i="2"/>
  <c r="E5025" i="2"/>
  <c r="D5025" i="2"/>
  <c r="C5025" i="2"/>
  <c r="B5025" i="2"/>
  <c r="E5024" i="2"/>
  <c r="D5024" i="2"/>
  <c r="C5024" i="2"/>
  <c r="B5024" i="2"/>
  <c r="E5023" i="2"/>
  <c r="D5023" i="2"/>
  <c r="C5023" i="2"/>
  <c r="B5023" i="2"/>
  <c r="E5022" i="2"/>
  <c r="D5022" i="2"/>
  <c r="C5022" i="2"/>
  <c r="B5022" i="2"/>
  <c r="E5021" i="2"/>
  <c r="D5021" i="2"/>
  <c r="C5021" i="2"/>
  <c r="B5021" i="2"/>
  <c r="E5020" i="2"/>
  <c r="D5020" i="2"/>
  <c r="C5020" i="2"/>
  <c r="B5020" i="2"/>
  <c r="E5019" i="2"/>
  <c r="D5019" i="2"/>
  <c r="C5019" i="2"/>
  <c r="B5019" i="2"/>
  <c r="E5018" i="2"/>
  <c r="D5018" i="2"/>
  <c r="C5018" i="2"/>
  <c r="B5018" i="2"/>
  <c r="E5017" i="2"/>
  <c r="D5017" i="2"/>
  <c r="C5017" i="2"/>
  <c r="B5017" i="2"/>
  <c r="E5016" i="2"/>
  <c r="D5016" i="2"/>
  <c r="C5016" i="2"/>
  <c r="B5016" i="2"/>
  <c r="E5015" i="2"/>
  <c r="D5015" i="2"/>
  <c r="C5015" i="2"/>
  <c r="B5015" i="2"/>
  <c r="E5014" i="2"/>
  <c r="D5014" i="2"/>
  <c r="C5014" i="2"/>
  <c r="B5014" i="2"/>
  <c r="E5013" i="2"/>
  <c r="D5013" i="2"/>
  <c r="C5013" i="2"/>
  <c r="B5013" i="2"/>
  <c r="E5012" i="2"/>
  <c r="D5012" i="2"/>
  <c r="C5012" i="2"/>
  <c r="B5012" i="2"/>
  <c r="E5011" i="2"/>
  <c r="D5011" i="2"/>
  <c r="C5011" i="2"/>
  <c r="B5011" i="2"/>
  <c r="E5010" i="2"/>
  <c r="D5010" i="2"/>
  <c r="C5010" i="2"/>
  <c r="B5010" i="2"/>
  <c r="E5009" i="2"/>
  <c r="D5009" i="2"/>
  <c r="C5009" i="2"/>
  <c r="B5009" i="2"/>
  <c r="E5008" i="2"/>
  <c r="D5008" i="2"/>
  <c r="C5008" i="2"/>
  <c r="B5008" i="2"/>
  <c r="E5007" i="2"/>
  <c r="D5007" i="2"/>
  <c r="C5007" i="2"/>
  <c r="B5007" i="2"/>
  <c r="E5006" i="2"/>
  <c r="D5006" i="2"/>
  <c r="C5006" i="2"/>
  <c r="B5006" i="2"/>
  <c r="E5005" i="2"/>
  <c r="D5005" i="2"/>
  <c r="C5005" i="2"/>
  <c r="B5005" i="2"/>
  <c r="E5004" i="2"/>
  <c r="D5004" i="2"/>
  <c r="C5004" i="2"/>
  <c r="B5004" i="2"/>
  <c r="E5003" i="2"/>
  <c r="D5003" i="2"/>
  <c r="C5003" i="2"/>
  <c r="B5003" i="2"/>
  <c r="E5002" i="2"/>
  <c r="D5002" i="2"/>
  <c r="C5002" i="2"/>
  <c r="B5002" i="2"/>
  <c r="E5001" i="2"/>
  <c r="D5001" i="2"/>
  <c r="C5001" i="2"/>
  <c r="B5001" i="2"/>
  <c r="E5000" i="2"/>
  <c r="D5000" i="2"/>
  <c r="C5000" i="2"/>
  <c r="B5000" i="2"/>
  <c r="E4999" i="2"/>
  <c r="D4999" i="2"/>
  <c r="C4999" i="2"/>
  <c r="B4999" i="2"/>
  <c r="E4998" i="2"/>
  <c r="D4998" i="2"/>
  <c r="C4998" i="2"/>
  <c r="B4998" i="2"/>
  <c r="E4997" i="2"/>
  <c r="D4997" i="2"/>
  <c r="C4997" i="2"/>
  <c r="B4997" i="2"/>
  <c r="E4996" i="2"/>
  <c r="D4996" i="2"/>
  <c r="C4996" i="2"/>
  <c r="B4996" i="2"/>
  <c r="E4995" i="2"/>
  <c r="D4995" i="2"/>
  <c r="C4995" i="2"/>
  <c r="B4995" i="2"/>
  <c r="E4994" i="2"/>
  <c r="D4994" i="2"/>
  <c r="C4994" i="2"/>
  <c r="B4994" i="2"/>
  <c r="E4993" i="2"/>
  <c r="D4993" i="2"/>
  <c r="C4993" i="2"/>
  <c r="B4993" i="2"/>
  <c r="E4992" i="2"/>
  <c r="D4992" i="2"/>
  <c r="C4992" i="2"/>
  <c r="B4992" i="2"/>
  <c r="E4991" i="2"/>
  <c r="D4991" i="2"/>
  <c r="C4991" i="2"/>
  <c r="B4991" i="2"/>
  <c r="E4990" i="2"/>
  <c r="D4990" i="2"/>
  <c r="C4990" i="2"/>
  <c r="B4990" i="2"/>
  <c r="E4989" i="2"/>
  <c r="D4989" i="2"/>
  <c r="C4989" i="2"/>
  <c r="B4989" i="2"/>
  <c r="E4988" i="2"/>
  <c r="D4988" i="2"/>
  <c r="C4988" i="2"/>
  <c r="B4988" i="2"/>
  <c r="E4987" i="2"/>
  <c r="D4987" i="2"/>
  <c r="C4987" i="2"/>
  <c r="B4987" i="2"/>
  <c r="E4986" i="2"/>
  <c r="D4986" i="2"/>
  <c r="C4986" i="2"/>
  <c r="B4986" i="2"/>
  <c r="E4985" i="2"/>
  <c r="D4985" i="2"/>
  <c r="C4985" i="2"/>
  <c r="B4985" i="2"/>
  <c r="E4984" i="2"/>
  <c r="D4984" i="2"/>
  <c r="C4984" i="2"/>
  <c r="B4984" i="2"/>
  <c r="E4983" i="2"/>
  <c r="D4983" i="2"/>
  <c r="C4983" i="2"/>
  <c r="B4983" i="2"/>
  <c r="E4982" i="2"/>
  <c r="D4982" i="2"/>
  <c r="C4982" i="2"/>
  <c r="B4982" i="2"/>
  <c r="E4981" i="2"/>
  <c r="D4981" i="2"/>
  <c r="C4981" i="2"/>
  <c r="B4981" i="2"/>
  <c r="E4980" i="2"/>
  <c r="D4980" i="2"/>
  <c r="C4980" i="2"/>
  <c r="B4980" i="2"/>
  <c r="E4979" i="2"/>
  <c r="D4979" i="2"/>
  <c r="C4979" i="2"/>
  <c r="B4979" i="2"/>
  <c r="E4978" i="2"/>
  <c r="D4978" i="2"/>
  <c r="C4978" i="2"/>
  <c r="B4978" i="2"/>
  <c r="E4977" i="2"/>
  <c r="D4977" i="2"/>
  <c r="C4977" i="2"/>
  <c r="B4977" i="2"/>
  <c r="E4976" i="2"/>
  <c r="D4976" i="2"/>
  <c r="C4976" i="2"/>
  <c r="B4976" i="2"/>
  <c r="E4975" i="2"/>
  <c r="D4975" i="2"/>
  <c r="C4975" i="2"/>
  <c r="B4975" i="2"/>
  <c r="E4974" i="2"/>
  <c r="D4974" i="2"/>
  <c r="C4974" i="2"/>
  <c r="B4974" i="2"/>
  <c r="E4973" i="2"/>
  <c r="D4973" i="2"/>
  <c r="C4973" i="2"/>
  <c r="B4973" i="2"/>
  <c r="E4972" i="2"/>
  <c r="D4972" i="2"/>
  <c r="C4972" i="2"/>
  <c r="B4972" i="2"/>
  <c r="E4971" i="2"/>
  <c r="D4971" i="2"/>
  <c r="C4971" i="2"/>
  <c r="B4971" i="2"/>
  <c r="E4970" i="2"/>
  <c r="D4970" i="2"/>
  <c r="C4970" i="2"/>
  <c r="B4970" i="2"/>
  <c r="E4969" i="2"/>
  <c r="D4969" i="2"/>
  <c r="C4969" i="2"/>
  <c r="B4969" i="2"/>
  <c r="E4968" i="2"/>
  <c r="D4968" i="2"/>
  <c r="C4968" i="2"/>
  <c r="B4968" i="2"/>
  <c r="E4967" i="2"/>
  <c r="D4967" i="2"/>
  <c r="C4967" i="2"/>
  <c r="B4967" i="2"/>
  <c r="E4966" i="2"/>
  <c r="D4966" i="2"/>
  <c r="C4966" i="2"/>
  <c r="B4966" i="2"/>
  <c r="E4965" i="2"/>
  <c r="D4965" i="2"/>
  <c r="C4965" i="2"/>
  <c r="B4965" i="2"/>
  <c r="E4964" i="2"/>
  <c r="D4964" i="2"/>
  <c r="C4964" i="2"/>
  <c r="B4964" i="2"/>
  <c r="E4963" i="2"/>
  <c r="D4963" i="2"/>
  <c r="C4963" i="2"/>
  <c r="B4963" i="2"/>
  <c r="E4962" i="2"/>
  <c r="D4962" i="2"/>
  <c r="C4962" i="2"/>
  <c r="B4962" i="2"/>
  <c r="E4961" i="2"/>
  <c r="D4961" i="2"/>
  <c r="C4961" i="2"/>
  <c r="B4961" i="2"/>
  <c r="E4960" i="2"/>
  <c r="D4960" i="2"/>
  <c r="C4960" i="2"/>
  <c r="B4960" i="2"/>
  <c r="E4959" i="2"/>
  <c r="D4959" i="2"/>
  <c r="C4959" i="2"/>
  <c r="B4959" i="2"/>
  <c r="E4958" i="2"/>
  <c r="D4958" i="2"/>
  <c r="C4958" i="2"/>
  <c r="B4958" i="2"/>
  <c r="E4957" i="2"/>
  <c r="D4957" i="2"/>
  <c r="C4957" i="2"/>
  <c r="B4957" i="2"/>
  <c r="E4956" i="2"/>
  <c r="D4956" i="2"/>
  <c r="C4956" i="2"/>
  <c r="B4956" i="2"/>
  <c r="E4955" i="2"/>
  <c r="D4955" i="2"/>
  <c r="C4955" i="2"/>
  <c r="B4955" i="2"/>
  <c r="E4954" i="2"/>
  <c r="D4954" i="2"/>
  <c r="C4954" i="2"/>
  <c r="B4954" i="2"/>
  <c r="E4953" i="2"/>
  <c r="D4953" i="2"/>
  <c r="C4953" i="2"/>
  <c r="B4953" i="2"/>
  <c r="E4952" i="2"/>
  <c r="D4952" i="2"/>
  <c r="C4952" i="2"/>
  <c r="B4952" i="2"/>
  <c r="E4951" i="2"/>
  <c r="D4951" i="2"/>
  <c r="C4951" i="2"/>
  <c r="B4951" i="2"/>
  <c r="E4950" i="2"/>
  <c r="D4950" i="2"/>
  <c r="C4950" i="2"/>
  <c r="B4950" i="2"/>
  <c r="E4949" i="2"/>
  <c r="D4949" i="2"/>
  <c r="C4949" i="2"/>
  <c r="B4949" i="2"/>
  <c r="E4948" i="2"/>
  <c r="D4948" i="2"/>
  <c r="C4948" i="2"/>
  <c r="B4948" i="2"/>
  <c r="E4947" i="2"/>
  <c r="D4947" i="2"/>
  <c r="C4947" i="2"/>
  <c r="B4947" i="2"/>
  <c r="E4946" i="2"/>
  <c r="D4946" i="2"/>
  <c r="C4946" i="2"/>
  <c r="B4946" i="2"/>
  <c r="E4945" i="2"/>
  <c r="D4945" i="2"/>
  <c r="C4945" i="2"/>
  <c r="B4945" i="2"/>
  <c r="E4944" i="2"/>
  <c r="D4944" i="2"/>
  <c r="C4944" i="2"/>
  <c r="B4944" i="2"/>
  <c r="E4943" i="2"/>
  <c r="D4943" i="2"/>
  <c r="C4943" i="2"/>
  <c r="B4943" i="2"/>
  <c r="E4942" i="2"/>
  <c r="D4942" i="2"/>
  <c r="C4942" i="2"/>
  <c r="B4942" i="2"/>
  <c r="E4941" i="2"/>
  <c r="D4941" i="2"/>
  <c r="C4941" i="2"/>
  <c r="B4941" i="2"/>
  <c r="E4940" i="2"/>
  <c r="D4940" i="2"/>
  <c r="C4940" i="2"/>
  <c r="B4940" i="2"/>
  <c r="E4939" i="2"/>
  <c r="D4939" i="2"/>
  <c r="C4939" i="2"/>
  <c r="B4939" i="2"/>
  <c r="E4938" i="2"/>
  <c r="D4938" i="2"/>
  <c r="C4938" i="2"/>
  <c r="B4938" i="2"/>
  <c r="E4937" i="2"/>
  <c r="D4937" i="2"/>
  <c r="C4937" i="2"/>
  <c r="B4937" i="2"/>
  <c r="E4936" i="2"/>
  <c r="D4936" i="2"/>
  <c r="C4936" i="2"/>
  <c r="B4936" i="2"/>
  <c r="E4935" i="2"/>
  <c r="D4935" i="2"/>
  <c r="C4935" i="2"/>
  <c r="B4935" i="2"/>
  <c r="E4934" i="2"/>
  <c r="D4934" i="2"/>
  <c r="C4934" i="2"/>
  <c r="B4934" i="2"/>
  <c r="E4933" i="2"/>
  <c r="D4933" i="2"/>
  <c r="C4933" i="2"/>
  <c r="B4933" i="2"/>
  <c r="E4932" i="2"/>
  <c r="D4932" i="2"/>
  <c r="C4932" i="2"/>
  <c r="B4932" i="2"/>
  <c r="E4931" i="2"/>
  <c r="D4931" i="2"/>
  <c r="C4931" i="2"/>
  <c r="B4931" i="2"/>
  <c r="E4930" i="2"/>
  <c r="D4930" i="2"/>
  <c r="C4930" i="2"/>
  <c r="B4930" i="2"/>
  <c r="E4929" i="2"/>
  <c r="D4929" i="2"/>
  <c r="C4929" i="2"/>
  <c r="B4929" i="2"/>
  <c r="E4928" i="2"/>
  <c r="D4928" i="2"/>
  <c r="C4928" i="2"/>
  <c r="B4928" i="2"/>
  <c r="E4927" i="2"/>
  <c r="D4927" i="2"/>
  <c r="C4927" i="2"/>
  <c r="B4927" i="2"/>
  <c r="E4926" i="2"/>
  <c r="D4926" i="2"/>
  <c r="C4926" i="2"/>
  <c r="B4926" i="2"/>
  <c r="E4925" i="2"/>
  <c r="D4925" i="2"/>
  <c r="C4925" i="2"/>
  <c r="B4925" i="2"/>
  <c r="E4924" i="2"/>
  <c r="D4924" i="2"/>
  <c r="C4924" i="2"/>
  <c r="B4924" i="2"/>
  <c r="E4923" i="2"/>
  <c r="D4923" i="2"/>
  <c r="C4923" i="2"/>
  <c r="B4923" i="2"/>
  <c r="E4922" i="2"/>
  <c r="D4922" i="2"/>
  <c r="C4922" i="2"/>
  <c r="B4922" i="2"/>
  <c r="E4921" i="2"/>
  <c r="D4921" i="2"/>
  <c r="C4921" i="2"/>
  <c r="B4921" i="2"/>
  <c r="E4920" i="2"/>
  <c r="D4920" i="2"/>
  <c r="C4920" i="2"/>
  <c r="B4920" i="2"/>
  <c r="E4919" i="2"/>
  <c r="D4919" i="2"/>
  <c r="C4919" i="2"/>
  <c r="B4919" i="2"/>
  <c r="E4918" i="2"/>
  <c r="D4918" i="2"/>
  <c r="C4918" i="2"/>
  <c r="B4918" i="2"/>
  <c r="E4917" i="2"/>
  <c r="D4917" i="2"/>
  <c r="C4917" i="2"/>
  <c r="B4917" i="2"/>
  <c r="E4916" i="2"/>
  <c r="D4916" i="2"/>
  <c r="C4916" i="2"/>
  <c r="B4916" i="2"/>
  <c r="E4915" i="2"/>
  <c r="D4915" i="2"/>
  <c r="C4915" i="2"/>
  <c r="B4915" i="2"/>
  <c r="E4914" i="2"/>
  <c r="D4914" i="2"/>
  <c r="C4914" i="2"/>
  <c r="B4914" i="2"/>
  <c r="E4913" i="2"/>
  <c r="D4913" i="2"/>
  <c r="C4913" i="2"/>
  <c r="B4913" i="2"/>
  <c r="E4912" i="2"/>
  <c r="D4912" i="2"/>
  <c r="C4912" i="2"/>
  <c r="B4912" i="2"/>
  <c r="E4911" i="2"/>
  <c r="D4911" i="2"/>
  <c r="C4911" i="2"/>
  <c r="B4911" i="2"/>
  <c r="E4910" i="2"/>
  <c r="D4910" i="2"/>
  <c r="C4910" i="2"/>
  <c r="B4910" i="2"/>
  <c r="E4909" i="2"/>
  <c r="D4909" i="2"/>
  <c r="C4909" i="2"/>
  <c r="B4909" i="2"/>
  <c r="E4908" i="2"/>
  <c r="D4908" i="2"/>
  <c r="C4908" i="2"/>
  <c r="B4908" i="2"/>
  <c r="E4907" i="2"/>
  <c r="D4907" i="2"/>
  <c r="C4907" i="2"/>
  <c r="B4907" i="2"/>
  <c r="E4906" i="2"/>
  <c r="D4906" i="2"/>
  <c r="C4906" i="2"/>
  <c r="B4906" i="2"/>
  <c r="E4905" i="2"/>
  <c r="D4905" i="2"/>
  <c r="C4905" i="2"/>
  <c r="B4905" i="2"/>
  <c r="E4904" i="2"/>
  <c r="D4904" i="2"/>
  <c r="C4904" i="2"/>
  <c r="B4904" i="2"/>
  <c r="E4903" i="2"/>
  <c r="D4903" i="2"/>
  <c r="C4903" i="2"/>
  <c r="B4903" i="2"/>
  <c r="E4902" i="2"/>
  <c r="D4902" i="2"/>
  <c r="C4902" i="2"/>
  <c r="B4902" i="2"/>
  <c r="E4901" i="2"/>
  <c r="D4901" i="2"/>
  <c r="C4901" i="2"/>
  <c r="B4901" i="2"/>
  <c r="E4900" i="2"/>
  <c r="D4900" i="2"/>
  <c r="C4900" i="2"/>
  <c r="B4900" i="2"/>
  <c r="E4899" i="2"/>
  <c r="D4899" i="2"/>
  <c r="C4899" i="2"/>
  <c r="B4899" i="2"/>
  <c r="E4898" i="2"/>
  <c r="D4898" i="2"/>
  <c r="C4898" i="2"/>
  <c r="B4898" i="2"/>
  <c r="E4897" i="2"/>
  <c r="D4897" i="2"/>
  <c r="C4897" i="2"/>
  <c r="B4897" i="2"/>
  <c r="E4896" i="2"/>
  <c r="D4896" i="2"/>
  <c r="C4896" i="2"/>
  <c r="B4896" i="2"/>
  <c r="E4895" i="2"/>
  <c r="D4895" i="2"/>
  <c r="C4895" i="2"/>
  <c r="B4895" i="2"/>
  <c r="E4894" i="2"/>
  <c r="D4894" i="2"/>
  <c r="C4894" i="2"/>
  <c r="B4894" i="2"/>
  <c r="E4893" i="2"/>
  <c r="D4893" i="2"/>
  <c r="C4893" i="2"/>
  <c r="B4893" i="2"/>
  <c r="E4892" i="2"/>
  <c r="D4892" i="2"/>
  <c r="C4892" i="2"/>
  <c r="B4892" i="2"/>
  <c r="E4891" i="2"/>
  <c r="D4891" i="2"/>
  <c r="C4891" i="2"/>
  <c r="B4891" i="2"/>
  <c r="E4890" i="2"/>
  <c r="D4890" i="2"/>
  <c r="C4890" i="2"/>
  <c r="B4890" i="2"/>
  <c r="E4889" i="2"/>
  <c r="D4889" i="2"/>
  <c r="C4889" i="2"/>
  <c r="B4889" i="2"/>
  <c r="E4888" i="2"/>
  <c r="D4888" i="2"/>
  <c r="C4888" i="2"/>
  <c r="B4888" i="2"/>
  <c r="E4887" i="2"/>
  <c r="D4887" i="2"/>
  <c r="C4887" i="2"/>
  <c r="B4887" i="2"/>
  <c r="E4886" i="2"/>
  <c r="D4886" i="2"/>
  <c r="C4886" i="2"/>
  <c r="B4886" i="2"/>
  <c r="E4885" i="2"/>
  <c r="D4885" i="2"/>
  <c r="C4885" i="2"/>
  <c r="B4885" i="2"/>
  <c r="E4884" i="2"/>
  <c r="D4884" i="2"/>
  <c r="C4884" i="2"/>
  <c r="B4884" i="2"/>
  <c r="E4883" i="2"/>
  <c r="D4883" i="2"/>
  <c r="C4883" i="2"/>
  <c r="B4883" i="2"/>
  <c r="E4882" i="2"/>
  <c r="D4882" i="2"/>
  <c r="C4882" i="2"/>
  <c r="B4882" i="2"/>
  <c r="E4881" i="2"/>
  <c r="D4881" i="2"/>
  <c r="C4881" i="2"/>
  <c r="B4881" i="2"/>
  <c r="E4880" i="2"/>
  <c r="D4880" i="2"/>
  <c r="C4880" i="2"/>
  <c r="B4880" i="2"/>
  <c r="E4879" i="2"/>
  <c r="D4879" i="2"/>
  <c r="C4879" i="2"/>
  <c r="B4879" i="2"/>
  <c r="E4878" i="2"/>
  <c r="D4878" i="2"/>
  <c r="C4878" i="2"/>
  <c r="B4878" i="2"/>
  <c r="E4877" i="2"/>
  <c r="D4877" i="2"/>
  <c r="C4877" i="2"/>
  <c r="B4877" i="2"/>
  <c r="E4876" i="2"/>
  <c r="D4876" i="2"/>
  <c r="C4876" i="2"/>
  <c r="B4876" i="2"/>
  <c r="E4875" i="2"/>
  <c r="D4875" i="2"/>
  <c r="C4875" i="2"/>
  <c r="B4875" i="2"/>
  <c r="E4874" i="2"/>
  <c r="D4874" i="2"/>
  <c r="C4874" i="2"/>
  <c r="B4874" i="2"/>
  <c r="E4873" i="2"/>
  <c r="D4873" i="2"/>
  <c r="C4873" i="2"/>
  <c r="B4873" i="2"/>
  <c r="E4872" i="2"/>
  <c r="D4872" i="2"/>
  <c r="C4872" i="2"/>
  <c r="B4872" i="2"/>
  <c r="E4871" i="2"/>
  <c r="D4871" i="2"/>
  <c r="C4871" i="2"/>
  <c r="B4871" i="2"/>
  <c r="E4870" i="2"/>
  <c r="D4870" i="2"/>
  <c r="C4870" i="2"/>
  <c r="B4870" i="2"/>
  <c r="E4869" i="2"/>
  <c r="D4869" i="2"/>
  <c r="C4869" i="2"/>
  <c r="B4869" i="2"/>
  <c r="E4868" i="2"/>
  <c r="D4868" i="2"/>
  <c r="C4868" i="2"/>
  <c r="B4868" i="2"/>
  <c r="E4867" i="2"/>
  <c r="D4867" i="2"/>
  <c r="C4867" i="2"/>
  <c r="B4867" i="2"/>
  <c r="E4866" i="2"/>
  <c r="D4866" i="2"/>
  <c r="C4866" i="2"/>
  <c r="B4866" i="2"/>
  <c r="E4865" i="2"/>
  <c r="D4865" i="2"/>
  <c r="C4865" i="2"/>
  <c r="B4865" i="2"/>
  <c r="E4864" i="2"/>
  <c r="D4864" i="2"/>
  <c r="C4864" i="2"/>
  <c r="B4864" i="2"/>
  <c r="E4863" i="2"/>
  <c r="D4863" i="2"/>
  <c r="C4863" i="2"/>
  <c r="B4863" i="2"/>
  <c r="E4862" i="2"/>
  <c r="D4862" i="2"/>
  <c r="C4862" i="2"/>
  <c r="B4862" i="2"/>
  <c r="E4861" i="2"/>
  <c r="D4861" i="2"/>
  <c r="C4861" i="2"/>
  <c r="B4861" i="2"/>
  <c r="E4860" i="2"/>
  <c r="D4860" i="2"/>
  <c r="C4860" i="2"/>
  <c r="B4860" i="2"/>
  <c r="E4859" i="2"/>
  <c r="D4859" i="2"/>
  <c r="C4859" i="2"/>
  <c r="B4859" i="2"/>
  <c r="E4858" i="2"/>
  <c r="D4858" i="2"/>
  <c r="C4858" i="2"/>
  <c r="B4858" i="2"/>
  <c r="E4857" i="2"/>
  <c r="D4857" i="2"/>
  <c r="C4857" i="2"/>
  <c r="B4857" i="2"/>
  <c r="E4856" i="2"/>
  <c r="D4856" i="2"/>
  <c r="C4856" i="2"/>
  <c r="B4856" i="2"/>
  <c r="E4855" i="2"/>
  <c r="D4855" i="2"/>
  <c r="C4855" i="2"/>
  <c r="B4855" i="2"/>
  <c r="E4854" i="2"/>
  <c r="D4854" i="2"/>
  <c r="C4854" i="2"/>
  <c r="B4854" i="2"/>
  <c r="E4853" i="2"/>
  <c r="D4853" i="2"/>
  <c r="C4853" i="2"/>
  <c r="B4853" i="2"/>
  <c r="E4852" i="2"/>
  <c r="D4852" i="2"/>
  <c r="C4852" i="2"/>
  <c r="B4852" i="2"/>
  <c r="E4851" i="2"/>
  <c r="D4851" i="2"/>
  <c r="C4851" i="2"/>
  <c r="B4851" i="2"/>
  <c r="E4850" i="2"/>
  <c r="D4850" i="2"/>
  <c r="C4850" i="2"/>
  <c r="B4850" i="2"/>
  <c r="E4849" i="2"/>
  <c r="D4849" i="2"/>
  <c r="C4849" i="2"/>
  <c r="B4849" i="2"/>
  <c r="E4848" i="2"/>
  <c r="D4848" i="2"/>
  <c r="C4848" i="2"/>
  <c r="B4848" i="2"/>
  <c r="E4847" i="2"/>
  <c r="D4847" i="2"/>
  <c r="C4847" i="2"/>
  <c r="B4847" i="2"/>
  <c r="E4846" i="2"/>
  <c r="D4846" i="2"/>
  <c r="C4846" i="2"/>
  <c r="B4846" i="2"/>
  <c r="E4845" i="2"/>
  <c r="D4845" i="2"/>
  <c r="C4845" i="2"/>
  <c r="B4845" i="2"/>
  <c r="E4844" i="2"/>
  <c r="D4844" i="2"/>
  <c r="C4844" i="2"/>
  <c r="B4844" i="2"/>
  <c r="E4843" i="2"/>
  <c r="D4843" i="2"/>
  <c r="C4843" i="2"/>
  <c r="B4843" i="2"/>
  <c r="E4842" i="2"/>
  <c r="D4842" i="2"/>
  <c r="C4842" i="2"/>
  <c r="B4842" i="2"/>
  <c r="E4841" i="2"/>
  <c r="D4841" i="2"/>
  <c r="C4841" i="2"/>
  <c r="B4841" i="2"/>
  <c r="E4840" i="2"/>
  <c r="D4840" i="2"/>
  <c r="C4840" i="2"/>
  <c r="B4840" i="2"/>
  <c r="E4839" i="2"/>
  <c r="D4839" i="2"/>
  <c r="C4839" i="2"/>
  <c r="B4839" i="2"/>
  <c r="E4838" i="2"/>
  <c r="D4838" i="2"/>
  <c r="C4838" i="2"/>
  <c r="B4838" i="2"/>
  <c r="E4837" i="2"/>
  <c r="D4837" i="2"/>
  <c r="C4837" i="2"/>
  <c r="B4837" i="2"/>
  <c r="E4836" i="2"/>
  <c r="D4836" i="2"/>
  <c r="C4836" i="2"/>
  <c r="B4836" i="2"/>
  <c r="E4835" i="2"/>
  <c r="D4835" i="2"/>
  <c r="C4835" i="2"/>
  <c r="B4835" i="2"/>
  <c r="E4834" i="2"/>
  <c r="D4834" i="2"/>
  <c r="C4834" i="2"/>
  <c r="B4834" i="2"/>
  <c r="E4833" i="2"/>
  <c r="D4833" i="2"/>
  <c r="C4833" i="2"/>
  <c r="B4833" i="2"/>
  <c r="E4832" i="2"/>
  <c r="D4832" i="2"/>
  <c r="C4832" i="2"/>
  <c r="B4832" i="2"/>
  <c r="E4831" i="2"/>
  <c r="D4831" i="2"/>
  <c r="C4831" i="2"/>
  <c r="B4831" i="2"/>
  <c r="E4830" i="2"/>
  <c r="D4830" i="2"/>
  <c r="C4830" i="2"/>
  <c r="B4830" i="2"/>
  <c r="E4829" i="2"/>
  <c r="D4829" i="2"/>
  <c r="C4829" i="2"/>
  <c r="B4829" i="2"/>
  <c r="E4828" i="2"/>
  <c r="D4828" i="2"/>
  <c r="C4828" i="2"/>
  <c r="B4828" i="2"/>
  <c r="E4827" i="2"/>
  <c r="D4827" i="2"/>
  <c r="C4827" i="2"/>
  <c r="B4827" i="2"/>
  <c r="E4826" i="2"/>
  <c r="D4826" i="2"/>
  <c r="C4826" i="2"/>
  <c r="B4826" i="2"/>
  <c r="E4825" i="2"/>
  <c r="D4825" i="2"/>
  <c r="C4825" i="2"/>
  <c r="B4825" i="2"/>
  <c r="E4824" i="2"/>
  <c r="D4824" i="2"/>
  <c r="C4824" i="2"/>
  <c r="B4824" i="2"/>
  <c r="E4823" i="2"/>
  <c r="D4823" i="2"/>
  <c r="C4823" i="2"/>
  <c r="B4823" i="2"/>
  <c r="E4822" i="2"/>
  <c r="D4822" i="2"/>
  <c r="C4822" i="2"/>
  <c r="B4822" i="2"/>
  <c r="E4821" i="2"/>
  <c r="D4821" i="2"/>
  <c r="C4821" i="2"/>
  <c r="B4821" i="2"/>
  <c r="E4820" i="2"/>
  <c r="D4820" i="2"/>
  <c r="C4820" i="2"/>
  <c r="B4820" i="2"/>
  <c r="E4819" i="2"/>
  <c r="D4819" i="2"/>
  <c r="C4819" i="2"/>
  <c r="B4819" i="2"/>
  <c r="E4818" i="2"/>
  <c r="D4818" i="2"/>
  <c r="C4818" i="2"/>
  <c r="B4818" i="2"/>
  <c r="E4817" i="2"/>
  <c r="D4817" i="2"/>
  <c r="C4817" i="2"/>
  <c r="B4817" i="2"/>
  <c r="E4816" i="2"/>
  <c r="D4816" i="2"/>
  <c r="C4816" i="2"/>
  <c r="B4816" i="2"/>
  <c r="E4815" i="2"/>
  <c r="D4815" i="2"/>
  <c r="C4815" i="2"/>
  <c r="B4815" i="2"/>
  <c r="E4814" i="2"/>
  <c r="D4814" i="2"/>
  <c r="C4814" i="2"/>
  <c r="B4814" i="2"/>
  <c r="E4813" i="2"/>
  <c r="D4813" i="2"/>
  <c r="C4813" i="2"/>
  <c r="B4813" i="2"/>
  <c r="E4812" i="2"/>
  <c r="D4812" i="2"/>
  <c r="C4812" i="2"/>
  <c r="B4812" i="2"/>
  <c r="E4811" i="2"/>
  <c r="D4811" i="2"/>
  <c r="C4811" i="2"/>
  <c r="B4811" i="2"/>
  <c r="E4810" i="2"/>
  <c r="D4810" i="2"/>
  <c r="C4810" i="2"/>
  <c r="B4810" i="2"/>
  <c r="E4809" i="2"/>
  <c r="D4809" i="2"/>
  <c r="C4809" i="2"/>
  <c r="B4809" i="2"/>
  <c r="E4808" i="2"/>
  <c r="D4808" i="2"/>
  <c r="C4808" i="2"/>
  <c r="B4808" i="2"/>
  <c r="E4807" i="2"/>
  <c r="D4807" i="2"/>
  <c r="C4807" i="2"/>
  <c r="B4807" i="2"/>
  <c r="E4806" i="2"/>
  <c r="D4806" i="2"/>
  <c r="C4806" i="2"/>
  <c r="B4806" i="2"/>
  <c r="E4805" i="2"/>
  <c r="D4805" i="2"/>
  <c r="C4805" i="2"/>
  <c r="B4805" i="2"/>
  <c r="E4804" i="2"/>
  <c r="D4804" i="2"/>
  <c r="C4804" i="2"/>
  <c r="B4804" i="2"/>
  <c r="E4803" i="2"/>
  <c r="D4803" i="2"/>
  <c r="C4803" i="2"/>
  <c r="B4803" i="2"/>
  <c r="E4802" i="2"/>
  <c r="D4802" i="2"/>
  <c r="C4802" i="2"/>
  <c r="B4802" i="2"/>
  <c r="E4801" i="2"/>
  <c r="D4801" i="2"/>
  <c r="C4801" i="2"/>
  <c r="B4801" i="2"/>
  <c r="E4800" i="2"/>
  <c r="D4800" i="2"/>
  <c r="C4800" i="2"/>
  <c r="B4800" i="2"/>
  <c r="E4799" i="2"/>
  <c r="D4799" i="2"/>
  <c r="C4799" i="2"/>
  <c r="B4799" i="2"/>
  <c r="E4798" i="2"/>
  <c r="D4798" i="2"/>
  <c r="C4798" i="2"/>
  <c r="B4798" i="2"/>
  <c r="E4797" i="2"/>
  <c r="D4797" i="2"/>
  <c r="C4797" i="2"/>
  <c r="B4797" i="2"/>
  <c r="E4796" i="2"/>
  <c r="D4796" i="2"/>
  <c r="C4796" i="2"/>
  <c r="B4796" i="2"/>
  <c r="E4795" i="2"/>
  <c r="D4795" i="2"/>
  <c r="C4795" i="2"/>
  <c r="B4795" i="2"/>
  <c r="E4794" i="2"/>
  <c r="D4794" i="2"/>
  <c r="C4794" i="2"/>
  <c r="B4794" i="2"/>
  <c r="E4793" i="2"/>
  <c r="D4793" i="2"/>
  <c r="C4793" i="2"/>
  <c r="B4793" i="2"/>
  <c r="E4792" i="2"/>
  <c r="D4792" i="2"/>
  <c r="C4792" i="2"/>
  <c r="B4792" i="2"/>
  <c r="E4791" i="2"/>
  <c r="D4791" i="2"/>
  <c r="C4791" i="2"/>
  <c r="B4791" i="2"/>
  <c r="E4790" i="2"/>
  <c r="D4790" i="2"/>
  <c r="C4790" i="2"/>
  <c r="B4790" i="2"/>
  <c r="E4789" i="2"/>
  <c r="D4789" i="2"/>
  <c r="C4789" i="2"/>
  <c r="B4789" i="2"/>
  <c r="E4788" i="2"/>
  <c r="D4788" i="2"/>
  <c r="C4788" i="2"/>
  <c r="B4788" i="2"/>
  <c r="E4787" i="2"/>
  <c r="D4787" i="2"/>
  <c r="C4787" i="2"/>
  <c r="B4787" i="2"/>
  <c r="E4786" i="2"/>
  <c r="D4786" i="2"/>
  <c r="C4786" i="2"/>
  <c r="B4786" i="2"/>
  <c r="E4785" i="2"/>
  <c r="D4785" i="2"/>
  <c r="C4785" i="2"/>
  <c r="B4785" i="2"/>
  <c r="E4784" i="2"/>
  <c r="D4784" i="2"/>
  <c r="C4784" i="2"/>
  <c r="B4784" i="2"/>
  <c r="E4783" i="2"/>
  <c r="D4783" i="2"/>
  <c r="C4783" i="2"/>
  <c r="B4783" i="2"/>
  <c r="E4782" i="2"/>
  <c r="D4782" i="2"/>
  <c r="C4782" i="2"/>
  <c r="B4782" i="2"/>
  <c r="E4781" i="2"/>
  <c r="D4781" i="2"/>
  <c r="C4781" i="2"/>
  <c r="B4781" i="2"/>
  <c r="E4780" i="2"/>
  <c r="D4780" i="2"/>
  <c r="C4780" i="2"/>
  <c r="B4780" i="2"/>
  <c r="E4779" i="2"/>
  <c r="D4779" i="2"/>
  <c r="C4779" i="2"/>
  <c r="B4779" i="2"/>
  <c r="E4778" i="2"/>
  <c r="D4778" i="2"/>
  <c r="C4778" i="2"/>
  <c r="B4778" i="2"/>
  <c r="E4777" i="2"/>
  <c r="D4777" i="2"/>
  <c r="C4777" i="2"/>
  <c r="B4777" i="2"/>
  <c r="E4776" i="2"/>
  <c r="D4776" i="2"/>
  <c r="C4776" i="2"/>
  <c r="B4776" i="2"/>
  <c r="E4775" i="2"/>
  <c r="D4775" i="2"/>
  <c r="C4775" i="2"/>
  <c r="B4775" i="2"/>
  <c r="E4774" i="2"/>
  <c r="D4774" i="2"/>
  <c r="C4774" i="2"/>
  <c r="B4774" i="2"/>
  <c r="E4773" i="2"/>
  <c r="D4773" i="2"/>
  <c r="C4773" i="2"/>
  <c r="B4773" i="2"/>
  <c r="E4772" i="2"/>
  <c r="D4772" i="2"/>
  <c r="C4772" i="2"/>
  <c r="B4772" i="2"/>
  <c r="E4771" i="2"/>
  <c r="D4771" i="2"/>
  <c r="C4771" i="2"/>
  <c r="B4771" i="2"/>
  <c r="E4770" i="2"/>
  <c r="D4770" i="2"/>
  <c r="C4770" i="2"/>
  <c r="B4770" i="2"/>
  <c r="E4769" i="2"/>
  <c r="D4769" i="2"/>
  <c r="C4769" i="2"/>
  <c r="B4769" i="2"/>
  <c r="E4768" i="2"/>
  <c r="D4768" i="2"/>
  <c r="C4768" i="2"/>
  <c r="B4768" i="2"/>
  <c r="E4767" i="2"/>
  <c r="D4767" i="2"/>
  <c r="C4767" i="2"/>
  <c r="B4767" i="2"/>
  <c r="E4766" i="2"/>
  <c r="D4766" i="2"/>
  <c r="C4766" i="2"/>
  <c r="B4766" i="2"/>
  <c r="E4765" i="2"/>
  <c r="D4765" i="2"/>
  <c r="C4765" i="2"/>
  <c r="B4765" i="2"/>
  <c r="E4764" i="2"/>
  <c r="D4764" i="2"/>
  <c r="C4764" i="2"/>
  <c r="B4764" i="2"/>
  <c r="E4763" i="2"/>
  <c r="D4763" i="2"/>
  <c r="C4763" i="2"/>
  <c r="B4763" i="2"/>
  <c r="E4762" i="2"/>
  <c r="D4762" i="2"/>
  <c r="C4762" i="2"/>
  <c r="B4762" i="2"/>
  <c r="E4761" i="2"/>
  <c r="D4761" i="2"/>
  <c r="C4761" i="2"/>
  <c r="B4761" i="2"/>
  <c r="E4760" i="2"/>
  <c r="D4760" i="2"/>
  <c r="C4760" i="2"/>
  <c r="B4760" i="2"/>
  <c r="E4759" i="2"/>
  <c r="D4759" i="2"/>
  <c r="C4759" i="2"/>
  <c r="B4759" i="2"/>
  <c r="E4758" i="2"/>
  <c r="D4758" i="2"/>
  <c r="C4758" i="2"/>
  <c r="B4758" i="2"/>
  <c r="E4757" i="2"/>
  <c r="D4757" i="2"/>
  <c r="C4757" i="2"/>
  <c r="B4757" i="2"/>
  <c r="E4756" i="2"/>
  <c r="D4756" i="2"/>
  <c r="C4756" i="2"/>
  <c r="B4756" i="2"/>
  <c r="E4755" i="2"/>
  <c r="D4755" i="2"/>
  <c r="C4755" i="2"/>
  <c r="B4755" i="2"/>
  <c r="E4754" i="2"/>
  <c r="D4754" i="2"/>
  <c r="C4754" i="2"/>
  <c r="B4754" i="2"/>
  <c r="E4753" i="2"/>
  <c r="D4753" i="2"/>
  <c r="C4753" i="2"/>
  <c r="B4753" i="2"/>
  <c r="E4752" i="2"/>
  <c r="D4752" i="2"/>
  <c r="C4752" i="2"/>
  <c r="B4752" i="2"/>
  <c r="E4751" i="2"/>
  <c r="D4751" i="2"/>
  <c r="C4751" i="2"/>
  <c r="B4751" i="2"/>
  <c r="E4750" i="2"/>
  <c r="D4750" i="2"/>
  <c r="C4750" i="2"/>
  <c r="B4750" i="2"/>
  <c r="E4749" i="2"/>
  <c r="D4749" i="2"/>
  <c r="C4749" i="2"/>
  <c r="B4749" i="2"/>
  <c r="E4748" i="2"/>
  <c r="D4748" i="2"/>
  <c r="C4748" i="2"/>
  <c r="B4748" i="2"/>
  <c r="E4747" i="2"/>
  <c r="D4747" i="2"/>
  <c r="C4747" i="2"/>
  <c r="B4747" i="2"/>
  <c r="E4746" i="2"/>
  <c r="D4746" i="2"/>
  <c r="C4746" i="2"/>
  <c r="B4746" i="2"/>
  <c r="E4745" i="2"/>
  <c r="D4745" i="2"/>
  <c r="C4745" i="2"/>
  <c r="B4745" i="2"/>
  <c r="E4744" i="2"/>
  <c r="D4744" i="2"/>
  <c r="C4744" i="2"/>
  <c r="B4744" i="2"/>
  <c r="E4743" i="2"/>
  <c r="D4743" i="2"/>
  <c r="C4743" i="2"/>
  <c r="B4743" i="2"/>
  <c r="E4742" i="2"/>
  <c r="D4742" i="2"/>
  <c r="C4742" i="2"/>
  <c r="B4742" i="2"/>
  <c r="E4741" i="2"/>
  <c r="D4741" i="2"/>
  <c r="C4741" i="2"/>
  <c r="B4741" i="2"/>
  <c r="E4740" i="2"/>
  <c r="D4740" i="2"/>
  <c r="C4740" i="2"/>
  <c r="B4740" i="2"/>
  <c r="E4739" i="2"/>
  <c r="D4739" i="2"/>
  <c r="C4739" i="2"/>
  <c r="B4739" i="2"/>
  <c r="E4738" i="2"/>
  <c r="D4738" i="2"/>
  <c r="C4738" i="2"/>
  <c r="B4738" i="2"/>
  <c r="E4737" i="2"/>
  <c r="D4737" i="2"/>
  <c r="C4737" i="2"/>
  <c r="B4737" i="2"/>
  <c r="E4736" i="2"/>
  <c r="D4736" i="2"/>
  <c r="C4736" i="2"/>
  <c r="B4736" i="2"/>
  <c r="E4735" i="2"/>
  <c r="D4735" i="2"/>
  <c r="C4735" i="2"/>
  <c r="B4735" i="2"/>
  <c r="E4734" i="2"/>
  <c r="D4734" i="2"/>
  <c r="C4734" i="2"/>
  <c r="B4734" i="2"/>
  <c r="E4733" i="2"/>
  <c r="D4733" i="2"/>
  <c r="C4733" i="2"/>
  <c r="B4733" i="2"/>
  <c r="E4732" i="2"/>
  <c r="D4732" i="2"/>
  <c r="C4732" i="2"/>
  <c r="B4732" i="2"/>
  <c r="E4731" i="2"/>
  <c r="D4731" i="2"/>
  <c r="C4731" i="2"/>
  <c r="B4731" i="2"/>
  <c r="E4730" i="2"/>
  <c r="D4730" i="2"/>
  <c r="C4730" i="2"/>
  <c r="B4730" i="2"/>
  <c r="E4729" i="2"/>
  <c r="D4729" i="2"/>
  <c r="C4729" i="2"/>
  <c r="B4729" i="2"/>
  <c r="E4728" i="2"/>
  <c r="D4728" i="2"/>
  <c r="C4728" i="2"/>
  <c r="B4728" i="2"/>
  <c r="E4727" i="2"/>
  <c r="D4727" i="2"/>
  <c r="C4727" i="2"/>
  <c r="B4727" i="2"/>
  <c r="E4726" i="2"/>
  <c r="D4726" i="2"/>
  <c r="C4726" i="2"/>
  <c r="B4726" i="2"/>
  <c r="E4725" i="2"/>
  <c r="D4725" i="2"/>
  <c r="C4725" i="2"/>
  <c r="B4725" i="2"/>
  <c r="E4724" i="2"/>
  <c r="D4724" i="2"/>
  <c r="C4724" i="2"/>
  <c r="B4724" i="2"/>
  <c r="E4723" i="2"/>
  <c r="D4723" i="2"/>
  <c r="C4723" i="2"/>
  <c r="B4723" i="2"/>
  <c r="E4722" i="2"/>
  <c r="D4722" i="2"/>
  <c r="C4722" i="2"/>
  <c r="B4722" i="2"/>
  <c r="E4721" i="2"/>
  <c r="D4721" i="2"/>
  <c r="C4721" i="2"/>
  <c r="B4721" i="2"/>
  <c r="E4720" i="2"/>
  <c r="D4720" i="2"/>
  <c r="C4720" i="2"/>
  <c r="B4720" i="2"/>
  <c r="E4719" i="2"/>
  <c r="D4719" i="2"/>
  <c r="C4719" i="2"/>
  <c r="B4719" i="2"/>
  <c r="E4718" i="2"/>
  <c r="D4718" i="2"/>
  <c r="C4718" i="2"/>
  <c r="B4718" i="2"/>
  <c r="E4717" i="2"/>
  <c r="D4717" i="2"/>
  <c r="C4717" i="2"/>
  <c r="B4717" i="2"/>
  <c r="E4716" i="2"/>
  <c r="D4716" i="2"/>
  <c r="C4716" i="2"/>
  <c r="B4716" i="2"/>
  <c r="E4715" i="2"/>
  <c r="D4715" i="2"/>
  <c r="C4715" i="2"/>
  <c r="B4715" i="2"/>
  <c r="E4714" i="2"/>
  <c r="D4714" i="2"/>
  <c r="C4714" i="2"/>
  <c r="B4714" i="2"/>
  <c r="E4713" i="2"/>
  <c r="D4713" i="2"/>
  <c r="C4713" i="2"/>
  <c r="B4713" i="2"/>
  <c r="E4712" i="2"/>
  <c r="D4712" i="2"/>
  <c r="C4712" i="2"/>
  <c r="B4712" i="2"/>
  <c r="E4711" i="2"/>
  <c r="D4711" i="2"/>
  <c r="C4711" i="2"/>
  <c r="B4711" i="2"/>
  <c r="E4710" i="2"/>
  <c r="D4710" i="2"/>
  <c r="C4710" i="2"/>
  <c r="B4710" i="2"/>
  <c r="E4709" i="2"/>
  <c r="D4709" i="2"/>
  <c r="C4709" i="2"/>
  <c r="B4709" i="2"/>
  <c r="E4708" i="2"/>
  <c r="D4708" i="2"/>
  <c r="C4708" i="2"/>
  <c r="B4708" i="2"/>
  <c r="E4707" i="2"/>
  <c r="D4707" i="2"/>
  <c r="C4707" i="2"/>
  <c r="B4707" i="2"/>
  <c r="E4706" i="2"/>
  <c r="D4706" i="2"/>
  <c r="C4706" i="2"/>
  <c r="B4706" i="2"/>
  <c r="E4705" i="2"/>
  <c r="D4705" i="2"/>
  <c r="C4705" i="2"/>
  <c r="B4705" i="2"/>
  <c r="E4704" i="2"/>
  <c r="D4704" i="2"/>
  <c r="C4704" i="2"/>
  <c r="B4704" i="2"/>
  <c r="E4703" i="2"/>
  <c r="D4703" i="2"/>
  <c r="C4703" i="2"/>
  <c r="B4703" i="2"/>
  <c r="E4702" i="2"/>
  <c r="D4702" i="2"/>
  <c r="C4702" i="2"/>
  <c r="B4702" i="2"/>
  <c r="E4701" i="2"/>
  <c r="D4701" i="2"/>
  <c r="C4701" i="2"/>
  <c r="B4701" i="2"/>
  <c r="E4700" i="2"/>
  <c r="D4700" i="2"/>
  <c r="C4700" i="2"/>
  <c r="B4700" i="2"/>
  <c r="E4699" i="2"/>
  <c r="D4699" i="2"/>
  <c r="C4699" i="2"/>
  <c r="B4699" i="2"/>
  <c r="E4698" i="2"/>
  <c r="D4698" i="2"/>
  <c r="C4698" i="2"/>
  <c r="B4698" i="2"/>
  <c r="E4697" i="2"/>
  <c r="D4697" i="2"/>
  <c r="C4697" i="2"/>
  <c r="B4697" i="2"/>
  <c r="E4696" i="2"/>
  <c r="D4696" i="2"/>
  <c r="C4696" i="2"/>
  <c r="B4696" i="2"/>
  <c r="E4695" i="2"/>
  <c r="D4695" i="2"/>
  <c r="C4695" i="2"/>
  <c r="B4695" i="2"/>
  <c r="E4694" i="2"/>
  <c r="D4694" i="2"/>
  <c r="C4694" i="2"/>
  <c r="B4694" i="2"/>
  <c r="E4693" i="2"/>
  <c r="D4693" i="2"/>
  <c r="C4693" i="2"/>
  <c r="B4693" i="2"/>
  <c r="E4692" i="2"/>
  <c r="D4692" i="2"/>
  <c r="C4692" i="2"/>
  <c r="B4692" i="2"/>
  <c r="E4691" i="2"/>
  <c r="D4691" i="2"/>
  <c r="C4691" i="2"/>
  <c r="B4691" i="2"/>
  <c r="E4690" i="2"/>
  <c r="D4690" i="2"/>
  <c r="C4690" i="2"/>
  <c r="B4690" i="2"/>
  <c r="E4689" i="2"/>
  <c r="D4689" i="2"/>
  <c r="C4689" i="2"/>
  <c r="B4689" i="2"/>
  <c r="E4688" i="2"/>
  <c r="D4688" i="2"/>
  <c r="C4688" i="2"/>
  <c r="B4688" i="2"/>
  <c r="E4687" i="2"/>
  <c r="D4687" i="2"/>
  <c r="C4687" i="2"/>
  <c r="B4687" i="2"/>
  <c r="E4686" i="2"/>
  <c r="D4686" i="2"/>
  <c r="C4686" i="2"/>
  <c r="B4686" i="2"/>
  <c r="E4685" i="2"/>
  <c r="D4685" i="2"/>
  <c r="C4685" i="2"/>
  <c r="B4685" i="2"/>
  <c r="E4684" i="2"/>
  <c r="D4684" i="2"/>
  <c r="C4684" i="2"/>
  <c r="B4684" i="2"/>
  <c r="E4683" i="2"/>
  <c r="D4683" i="2"/>
  <c r="C4683" i="2"/>
  <c r="B4683" i="2"/>
  <c r="E4682" i="2"/>
  <c r="D4682" i="2"/>
  <c r="C4682" i="2"/>
  <c r="B4682" i="2"/>
  <c r="E4681" i="2"/>
  <c r="D4681" i="2"/>
  <c r="C4681" i="2"/>
  <c r="B4681" i="2"/>
  <c r="E4680" i="2"/>
  <c r="D4680" i="2"/>
  <c r="C4680" i="2"/>
  <c r="B4680" i="2"/>
  <c r="E4679" i="2"/>
  <c r="D4679" i="2"/>
  <c r="C4679" i="2"/>
  <c r="B4679" i="2"/>
  <c r="E4678" i="2"/>
  <c r="D4678" i="2"/>
  <c r="C4678" i="2"/>
  <c r="B4678" i="2"/>
  <c r="E4677" i="2"/>
  <c r="D4677" i="2"/>
  <c r="C4677" i="2"/>
  <c r="B4677" i="2"/>
  <c r="E4676" i="2"/>
  <c r="D4676" i="2"/>
  <c r="C4676" i="2"/>
  <c r="B4676" i="2"/>
  <c r="E4675" i="2"/>
  <c r="D4675" i="2"/>
  <c r="C4675" i="2"/>
  <c r="B4675" i="2"/>
  <c r="E4674" i="2"/>
  <c r="D4674" i="2"/>
  <c r="C4674" i="2"/>
  <c r="B4674" i="2"/>
  <c r="E4673" i="2"/>
  <c r="D4673" i="2"/>
  <c r="C4673" i="2"/>
  <c r="B4673" i="2"/>
  <c r="E4672" i="2"/>
  <c r="D4672" i="2"/>
  <c r="C4672" i="2"/>
  <c r="B4672" i="2"/>
  <c r="E4671" i="2"/>
  <c r="D4671" i="2"/>
  <c r="C4671" i="2"/>
  <c r="B4671" i="2"/>
  <c r="E4670" i="2"/>
  <c r="D4670" i="2"/>
  <c r="C4670" i="2"/>
  <c r="B4670" i="2"/>
  <c r="E4669" i="2"/>
  <c r="D4669" i="2"/>
  <c r="C4669" i="2"/>
  <c r="B4669" i="2"/>
  <c r="E4668" i="2"/>
  <c r="D4668" i="2"/>
  <c r="C4668" i="2"/>
  <c r="B4668" i="2"/>
  <c r="E4667" i="2"/>
  <c r="D4667" i="2"/>
  <c r="C4667" i="2"/>
  <c r="B4667" i="2"/>
  <c r="E4666" i="2"/>
  <c r="D4666" i="2"/>
  <c r="C4666" i="2"/>
  <c r="B4666" i="2"/>
  <c r="E4665" i="2"/>
  <c r="D4665" i="2"/>
  <c r="C4665" i="2"/>
  <c r="B4665" i="2"/>
  <c r="E4664" i="2"/>
  <c r="D4664" i="2"/>
  <c r="C4664" i="2"/>
  <c r="B4664" i="2"/>
  <c r="E4663" i="2"/>
  <c r="D4663" i="2"/>
  <c r="C4663" i="2"/>
  <c r="B4663" i="2"/>
  <c r="E4662" i="2"/>
  <c r="D4662" i="2"/>
  <c r="C4662" i="2"/>
  <c r="B4662" i="2"/>
  <c r="E4661" i="2"/>
  <c r="D4661" i="2"/>
  <c r="C4661" i="2"/>
  <c r="B4661" i="2"/>
  <c r="E4660" i="2"/>
  <c r="D4660" i="2"/>
  <c r="C4660" i="2"/>
  <c r="B4660" i="2"/>
  <c r="E4659" i="2"/>
  <c r="D4659" i="2"/>
  <c r="C4659" i="2"/>
  <c r="B4659" i="2"/>
  <c r="E4658" i="2"/>
  <c r="D4658" i="2"/>
  <c r="C4658" i="2"/>
  <c r="B4658" i="2"/>
  <c r="E4657" i="2"/>
  <c r="D4657" i="2"/>
  <c r="C4657" i="2"/>
  <c r="B4657" i="2"/>
  <c r="E4656" i="2"/>
  <c r="D4656" i="2"/>
  <c r="C4656" i="2"/>
  <c r="B4656" i="2"/>
  <c r="E4655" i="2"/>
  <c r="D4655" i="2"/>
  <c r="C4655" i="2"/>
  <c r="B4655" i="2"/>
  <c r="E4654" i="2"/>
  <c r="D4654" i="2"/>
  <c r="C4654" i="2"/>
  <c r="B4654" i="2"/>
  <c r="E4653" i="2"/>
  <c r="D4653" i="2"/>
  <c r="C4653" i="2"/>
  <c r="B4653" i="2"/>
  <c r="E4652" i="2"/>
  <c r="D4652" i="2"/>
  <c r="C4652" i="2"/>
  <c r="B4652" i="2"/>
  <c r="E4651" i="2"/>
  <c r="D4651" i="2"/>
  <c r="C4651" i="2"/>
  <c r="B4651" i="2"/>
  <c r="E4650" i="2"/>
  <c r="D4650" i="2"/>
  <c r="C4650" i="2"/>
  <c r="B4650" i="2"/>
  <c r="E4649" i="2"/>
  <c r="D4649" i="2"/>
  <c r="C4649" i="2"/>
  <c r="B4649" i="2"/>
  <c r="E4648" i="2"/>
  <c r="D4648" i="2"/>
  <c r="C4648" i="2"/>
  <c r="B4648" i="2"/>
  <c r="E4647" i="2"/>
  <c r="D4647" i="2"/>
  <c r="C4647" i="2"/>
  <c r="B4647" i="2"/>
  <c r="E4646" i="2"/>
  <c r="D4646" i="2"/>
  <c r="C4646" i="2"/>
  <c r="B4646" i="2"/>
  <c r="E4645" i="2"/>
  <c r="D4645" i="2"/>
  <c r="C4645" i="2"/>
  <c r="B4645" i="2"/>
  <c r="E4644" i="2"/>
  <c r="D4644" i="2"/>
  <c r="C4644" i="2"/>
  <c r="B4644" i="2"/>
  <c r="E4643" i="2"/>
  <c r="D4643" i="2"/>
  <c r="C4643" i="2"/>
  <c r="B4643" i="2"/>
  <c r="E4642" i="2"/>
  <c r="D4642" i="2"/>
  <c r="C4642" i="2"/>
  <c r="B4642" i="2"/>
  <c r="E4641" i="2"/>
  <c r="D4641" i="2"/>
  <c r="C4641" i="2"/>
  <c r="B4641" i="2"/>
  <c r="E4640" i="2"/>
  <c r="D4640" i="2"/>
  <c r="C4640" i="2"/>
  <c r="B4640" i="2"/>
  <c r="E4639" i="2"/>
  <c r="D4639" i="2"/>
  <c r="C4639" i="2"/>
  <c r="B4639" i="2"/>
  <c r="E4638" i="2"/>
  <c r="D4638" i="2"/>
  <c r="C4638" i="2"/>
  <c r="B4638" i="2"/>
  <c r="E4637" i="2"/>
  <c r="D4637" i="2"/>
  <c r="C4637" i="2"/>
  <c r="B4637" i="2"/>
  <c r="E4636" i="2"/>
  <c r="D4636" i="2"/>
  <c r="C4636" i="2"/>
  <c r="B4636" i="2"/>
  <c r="E4635" i="2"/>
  <c r="D4635" i="2"/>
  <c r="C4635" i="2"/>
  <c r="B4635" i="2"/>
  <c r="E4634" i="2"/>
  <c r="D4634" i="2"/>
  <c r="C4634" i="2"/>
  <c r="B4634" i="2"/>
  <c r="E4633" i="2"/>
  <c r="D4633" i="2"/>
  <c r="C4633" i="2"/>
  <c r="B4633" i="2"/>
  <c r="E4632" i="2"/>
  <c r="D4632" i="2"/>
  <c r="C4632" i="2"/>
  <c r="B4632" i="2"/>
  <c r="E4631" i="2"/>
  <c r="D4631" i="2"/>
  <c r="C4631" i="2"/>
  <c r="B4631" i="2"/>
  <c r="E4630" i="2"/>
  <c r="D4630" i="2"/>
  <c r="C4630" i="2"/>
  <c r="B4630" i="2"/>
  <c r="E4629" i="2"/>
  <c r="D4629" i="2"/>
  <c r="C4629" i="2"/>
  <c r="B4629" i="2"/>
  <c r="E4628" i="2"/>
  <c r="D4628" i="2"/>
  <c r="C4628" i="2"/>
  <c r="B4628" i="2"/>
  <c r="E4627" i="2"/>
  <c r="D4627" i="2"/>
  <c r="C4627" i="2"/>
  <c r="B4627" i="2"/>
  <c r="E4626" i="2"/>
  <c r="D4626" i="2"/>
  <c r="C4626" i="2"/>
  <c r="B4626" i="2"/>
  <c r="E4625" i="2"/>
  <c r="D4625" i="2"/>
  <c r="C4625" i="2"/>
  <c r="B4625" i="2"/>
  <c r="E4624" i="2"/>
  <c r="D4624" i="2"/>
  <c r="C4624" i="2"/>
  <c r="B4624" i="2"/>
  <c r="E4623" i="2"/>
  <c r="D4623" i="2"/>
  <c r="C4623" i="2"/>
  <c r="B4623" i="2"/>
  <c r="E4622" i="2"/>
  <c r="D4622" i="2"/>
  <c r="C4622" i="2"/>
  <c r="B4622" i="2"/>
  <c r="E4621" i="2"/>
  <c r="D4621" i="2"/>
  <c r="C4621" i="2"/>
  <c r="B4621" i="2"/>
  <c r="E4620" i="2"/>
  <c r="D4620" i="2"/>
  <c r="C4620" i="2"/>
  <c r="B4620" i="2"/>
  <c r="E4619" i="2"/>
  <c r="D4619" i="2"/>
  <c r="C4619" i="2"/>
  <c r="B4619" i="2"/>
  <c r="E4618" i="2"/>
  <c r="D4618" i="2"/>
  <c r="C4618" i="2"/>
  <c r="B4618" i="2"/>
  <c r="E4617" i="2"/>
  <c r="D4617" i="2"/>
  <c r="C4617" i="2"/>
  <c r="B4617" i="2"/>
  <c r="E4616" i="2"/>
  <c r="D4616" i="2"/>
  <c r="C4616" i="2"/>
  <c r="B4616" i="2"/>
  <c r="E4615" i="2"/>
  <c r="D4615" i="2"/>
  <c r="C4615" i="2"/>
  <c r="B4615" i="2"/>
  <c r="E4614" i="2"/>
  <c r="D4614" i="2"/>
  <c r="C4614" i="2"/>
  <c r="B4614" i="2"/>
  <c r="E4613" i="2"/>
  <c r="D4613" i="2"/>
  <c r="C4613" i="2"/>
  <c r="B4613" i="2"/>
  <c r="E4612" i="2"/>
  <c r="D4612" i="2"/>
  <c r="C4612" i="2"/>
  <c r="B4612" i="2"/>
  <c r="E4611" i="2"/>
  <c r="D4611" i="2"/>
  <c r="C4611" i="2"/>
  <c r="B4611" i="2"/>
  <c r="E4610" i="2"/>
  <c r="D4610" i="2"/>
  <c r="C4610" i="2"/>
  <c r="B4610" i="2"/>
  <c r="E4609" i="2"/>
  <c r="D4609" i="2"/>
  <c r="C4609" i="2"/>
  <c r="B4609" i="2"/>
  <c r="E4608" i="2"/>
  <c r="D4608" i="2"/>
  <c r="C4608" i="2"/>
  <c r="B4608" i="2"/>
  <c r="E4607" i="2"/>
  <c r="D4607" i="2"/>
  <c r="C4607" i="2"/>
  <c r="B4607" i="2"/>
  <c r="E4606" i="2"/>
  <c r="D4606" i="2"/>
  <c r="C4606" i="2"/>
  <c r="B4606" i="2"/>
  <c r="E4605" i="2"/>
  <c r="D4605" i="2"/>
  <c r="C4605" i="2"/>
  <c r="B4605" i="2"/>
  <c r="E4604" i="2"/>
  <c r="D4604" i="2"/>
  <c r="C4604" i="2"/>
  <c r="B4604" i="2"/>
  <c r="E4603" i="2"/>
  <c r="D4603" i="2"/>
  <c r="C4603" i="2"/>
  <c r="B4603" i="2"/>
  <c r="E4602" i="2"/>
  <c r="D4602" i="2"/>
  <c r="C4602" i="2"/>
  <c r="B4602" i="2"/>
  <c r="E4601" i="2"/>
  <c r="D4601" i="2"/>
  <c r="C4601" i="2"/>
  <c r="B4601" i="2"/>
  <c r="E4600" i="2"/>
  <c r="D4600" i="2"/>
  <c r="C4600" i="2"/>
  <c r="B4600" i="2"/>
  <c r="E4599" i="2"/>
  <c r="D4599" i="2"/>
  <c r="C4599" i="2"/>
  <c r="B4599" i="2"/>
  <c r="E4598" i="2"/>
  <c r="D4598" i="2"/>
  <c r="C4598" i="2"/>
  <c r="B4598" i="2"/>
  <c r="E4597" i="2"/>
  <c r="D4597" i="2"/>
  <c r="C4597" i="2"/>
  <c r="B4597" i="2"/>
  <c r="E4596" i="2"/>
  <c r="D4596" i="2"/>
  <c r="C4596" i="2"/>
  <c r="B4596" i="2"/>
  <c r="E4595" i="2"/>
  <c r="D4595" i="2"/>
  <c r="C4595" i="2"/>
  <c r="B4595" i="2"/>
  <c r="E4594" i="2"/>
  <c r="D4594" i="2"/>
  <c r="C4594" i="2"/>
  <c r="B4594" i="2"/>
  <c r="E4593" i="2"/>
  <c r="D4593" i="2"/>
  <c r="C4593" i="2"/>
  <c r="B4593" i="2"/>
  <c r="E4592" i="2"/>
  <c r="D4592" i="2"/>
  <c r="C4592" i="2"/>
  <c r="B4592" i="2"/>
  <c r="E4591" i="2"/>
  <c r="D4591" i="2"/>
  <c r="C4591" i="2"/>
  <c r="B4591" i="2"/>
  <c r="E4590" i="2"/>
  <c r="D4590" i="2"/>
  <c r="C4590" i="2"/>
  <c r="B4590" i="2"/>
  <c r="E4589" i="2"/>
  <c r="D4589" i="2"/>
  <c r="C4589" i="2"/>
  <c r="B4589" i="2"/>
  <c r="E4588" i="2"/>
  <c r="D4588" i="2"/>
  <c r="C4588" i="2"/>
  <c r="B4588" i="2"/>
  <c r="E4587" i="2"/>
  <c r="D4587" i="2"/>
  <c r="C4587" i="2"/>
  <c r="B4587" i="2"/>
  <c r="E4586" i="2"/>
  <c r="D4586" i="2"/>
  <c r="C4586" i="2"/>
  <c r="B4586" i="2"/>
  <c r="E4585" i="2"/>
  <c r="D4585" i="2"/>
  <c r="C4585" i="2"/>
  <c r="B4585" i="2"/>
  <c r="E4584" i="2"/>
  <c r="D4584" i="2"/>
  <c r="C4584" i="2"/>
  <c r="B4584" i="2"/>
  <c r="E4583" i="2"/>
  <c r="D4583" i="2"/>
  <c r="C4583" i="2"/>
  <c r="B4583" i="2"/>
  <c r="E4582" i="2"/>
  <c r="D4582" i="2"/>
  <c r="C4582" i="2"/>
  <c r="B4582" i="2"/>
  <c r="E4581" i="2"/>
  <c r="D4581" i="2"/>
  <c r="C4581" i="2"/>
  <c r="B4581" i="2"/>
  <c r="E4580" i="2"/>
  <c r="D4580" i="2"/>
  <c r="C4580" i="2"/>
  <c r="B4580" i="2"/>
  <c r="E4579" i="2"/>
  <c r="D4579" i="2"/>
  <c r="C4579" i="2"/>
  <c r="B4579" i="2"/>
  <c r="E4578" i="2"/>
  <c r="D4578" i="2"/>
  <c r="C4578" i="2"/>
  <c r="B4578" i="2"/>
  <c r="E4577" i="2"/>
  <c r="D4577" i="2"/>
  <c r="C4577" i="2"/>
  <c r="B4577" i="2"/>
  <c r="E4576" i="2"/>
  <c r="D4576" i="2"/>
  <c r="C4576" i="2"/>
  <c r="B4576" i="2"/>
  <c r="E4575" i="2"/>
  <c r="D4575" i="2"/>
  <c r="C4575" i="2"/>
  <c r="B4575" i="2"/>
  <c r="E4574" i="2"/>
  <c r="D4574" i="2"/>
  <c r="C4574" i="2"/>
  <c r="B4574" i="2"/>
  <c r="E4573" i="2"/>
  <c r="D4573" i="2"/>
  <c r="C4573" i="2"/>
  <c r="B4573" i="2"/>
  <c r="E4572" i="2"/>
  <c r="D4572" i="2"/>
  <c r="C4572" i="2"/>
  <c r="B4572" i="2"/>
  <c r="E4571" i="2"/>
  <c r="D4571" i="2"/>
  <c r="C4571" i="2"/>
  <c r="B4571" i="2"/>
  <c r="E4570" i="2"/>
  <c r="D4570" i="2"/>
  <c r="C4570" i="2"/>
  <c r="B4570" i="2"/>
  <c r="E4569" i="2"/>
  <c r="D4569" i="2"/>
  <c r="C4569" i="2"/>
  <c r="B4569" i="2"/>
  <c r="E4568" i="2"/>
  <c r="D4568" i="2"/>
  <c r="C4568" i="2"/>
  <c r="B4568" i="2"/>
  <c r="E4567" i="2"/>
  <c r="D4567" i="2"/>
  <c r="C4567" i="2"/>
  <c r="B4567" i="2"/>
  <c r="E4566" i="2"/>
  <c r="D4566" i="2"/>
  <c r="C4566" i="2"/>
  <c r="B4566" i="2"/>
  <c r="E4565" i="2"/>
  <c r="D4565" i="2"/>
  <c r="C4565" i="2"/>
  <c r="B4565" i="2"/>
  <c r="E4564" i="2"/>
  <c r="D4564" i="2"/>
  <c r="C4564" i="2"/>
  <c r="B4564" i="2"/>
  <c r="E4563" i="2"/>
  <c r="D4563" i="2"/>
  <c r="C4563" i="2"/>
  <c r="B4563" i="2"/>
  <c r="E4562" i="2"/>
  <c r="D4562" i="2"/>
  <c r="C4562" i="2"/>
  <c r="B4562" i="2"/>
  <c r="E4561" i="2"/>
  <c r="D4561" i="2"/>
  <c r="C4561" i="2"/>
  <c r="B4561" i="2"/>
  <c r="E4560" i="2"/>
  <c r="D4560" i="2"/>
  <c r="C4560" i="2"/>
  <c r="B4560" i="2"/>
  <c r="E4559" i="2"/>
  <c r="D4559" i="2"/>
  <c r="C4559" i="2"/>
  <c r="B4559" i="2"/>
  <c r="E4558" i="2"/>
  <c r="D4558" i="2"/>
  <c r="C4558" i="2"/>
  <c r="B4558" i="2"/>
  <c r="E4557" i="2"/>
  <c r="D4557" i="2"/>
  <c r="C4557" i="2"/>
  <c r="B4557" i="2"/>
  <c r="E4556" i="2"/>
  <c r="D4556" i="2"/>
  <c r="C4556" i="2"/>
  <c r="B4556" i="2"/>
  <c r="E4555" i="2"/>
  <c r="D4555" i="2"/>
  <c r="C4555" i="2"/>
  <c r="B4555" i="2"/>
  <c r="E4554" i="2"/>
  <c r="D4554" i="2"/>
  <c r="C4554" i="2"/>
  <c r="B4554" i="2"/>
  <c r="E4553" i="2"/>
  <c r="D4553" i="2"/>
  <c r="C4553" i="2"/>
  <c r="B4553" i="2"/>
  <c r="E4552" i="2"/>
  <c r="D4552" i="2"/>
  <c r="C4552" i="2"/>
  <c r="B4552" i="2"/>
  <c r="E4551" i="2"/>
  <c r="D4551" i="2"/>
  <c r="C4551" i="2"/>
  <c r="B4551" i="2"/>
  <c r="E4550" i="2"/>
  <c r="D4550" i="2"/>
  <c r="C4550" i="2"/>
  <c r="B4550" i="2"/>
  <c r="E4549" i="2"/>
  <c r="D4549" i="2"/>
  <c r="C4549" i="2"/>
  <c r="B4549" i="2"/>
  <c r="E4548" i="2"/>
  <c r="D4548" i="2"/>
  <c r="C4548" i="2"/>
  <c r="B4548" i="2"/>
  <c r="E4547" i="2"/>
  <c r="D4547" i="2"/>
  <c r="C4547" i="2"/>
  <c r="B4547" i="2"/>
  <c r="E4546" i="2"/>
  <c r="D4546" i="2"/>
  <c r="C4546" i="2"/>
  <c r="B4546" i="2"/>
  <c r="E4545" i="2"/>
  <c r="D4545" i="2"/>
  <c r="C4545" i="2"/>
  <c r="B4545" i="2"/>
  <c r="E4544" i="2"/>
  <c r="D4544" i="2"/>
  <c r="C4544" i="2"/>
  <c r="B4544" i="2"/>
  <c r="E4543" i="2"/>
  <c r="D4543" i="2"/>
  <c r="C4543" i="2"/>
  <c r="B4543" i="2"/>
  <c r="E4542" i="2"/>
  <c r="D4542" i="2"/>
  <c r="C4542" i="2"/>
  <c r="B4542" i="2"/>
  <c r="E4541" i="2"/>
  <c r="D4541" i="2"/>
  <c r="C4541" i="2"/>
  <c r="B4541" i="2"/>
  <c r="E4540" i="2"/>
  <c r="D4540" i="2"/>
  <c r="C4540" i="2"/>
  <c r="B4540" i="2"/>
  <c r="E4539" i="2"/>
  <c r="D4539" i="2"/>
  <c r="C4539" i="2"/>
  <c r="B4539" i="2"/>
  <c r="E4538" i="2"/>
  <c r="D4538" i="2"/>
  <c r="C4538" i="2"/>
  <c r="B4538" i="2"/>
  <c r="E4537" i="2"/>
  <c r="D4537" i="2"/>
  <c r="C4537" i="2"/>
  <c r="B4537" i="2"/>
  <c r="E4536" i="2"/>
  <c r="D4536" i="2"/>
  <c r="C4536" i="2"/>
  <c r="B4536" i="2"/>
  <c r="E4535" i="2"/>
  <c r="D4535" i="2"/>
  <c r="C4535" i="2"/>
  <c r="B4535" i="2"/>
  <c r="E4534" i="2"/>
  <c r="D4534" i="2"/>
  <c r="C4534" i="2"/>
  <c r="B4534" i="2"/>
  <c r="E4533" i="2"/>
  <c r="D4533" i="2"/>
  <c r="C4533" i="2"/>
  <c r="B4533" i="2"/>
  <c r="E4532" i="2"/>
  <c r="D4532" i="2"/>
  <c r="C4532" i="2"/>
  <c r="B4532" i="2"/>
  <c r="E4531" i="2"/>
  <c r="D4531" i="2"/>
  <c r="C4531" i="2"/>
  <c r="B4531" i="2"/>
  <c r="E4530" i="2"/>
  <c r="D4530" i="2"/>
  <c r="C4530" i="2"/>
  <c r="B4530" i="2"/>
  <c r="E4529" i="2"/>
  <c r="D4529" i="2"/>
  <c r="C4529" i="2"/>
  <c r="B4529" i="2"/>
  <c r="E4528" i="2"/>
  <c r="D4528" i="2"/>
  <c r="C4528" i="2"/>
  <c r="B4528" i="2"/>
  <c r="E4527" i="2"/>
  <c r="D4527" i="2"/>
  <c r="C4527" i="2"/>
  <c r="B4527" i="2"/>
  <c r="E4526" i="2"/>
  <c r="D4526" i="2"/>
  <c r="C4526" i="2"/>
  <c r="B4526" i="2"/>
  <c r="E4525" i="2"/>
  <c r="D4525" i="2"/>
  <c r="C4525" i="2"/>
  <c r="B4525" i="2"/>
  <c r="E4524" i="2"/>
  <c r="D4524" i="2"/>
  <c r="C4524" i="2"/>
  <c r="B4524" i="2"/>
  <c r="E4523" i="2"/>
  <c r="D4523" i="2"/>
  <c r="C4523" i="2"/>
  <c r="B4523" i="2"/>
  <c r="E4522" i="2"/>
  <c r="D4522" i="2"/>
  <c r="C4522" i="2"/>
  <c r="B4522" i="2"/>
  <c r="E4521" i="2"/>
  <c r="D4521" i="2"/>
  <c r="C4521" i="2"/>
  <c r="B4521" i="2"/>
  <c r="E4520" i="2"/>
  <c r="D4520" i="2"/>
  <c r="C4520" i="2"/>
  <c r="B4520" i="2"/>
  <c r="E4519" i="2"/>
  <c r="D4519" i="2"/>
  <c r="C4519" i="2"/>
  <c r="B4519" i="2"/>
  <c r="E4518" i="2"/>
  <c r="D4518" i="2"/>
  <c r="C4518" i="2"/>
  <c r="B4518" i="2"/>
  <c r="E4517" i="2"/>
  <c r="D4517" i="2"/>
  <c r="C4517" i="2"/>
  <c r="B4517" i="2"/>
  <c r="E4516" i="2"/>
  <c r="D4516" i="2"/>
  <c r="C4516" i="2"/>
  <c r="B4516" i="2"/>
  <c r="E4515" i="2"/>
  <c r="D4515" i="2"/>
  <c r="C4515" i="2"/>
  <c r="B4515" i="2"/>
  <c r="E4514" i="2"/>
  <c r="D4514" i="2"/>
  <c r="C4514" i="2"/>
  <c r="B4514" i="2"/>
  <c r="E4513" i="2"/>
  <c r="D4513" i="2"/>
  <c r="C4513" i="2"/>
  <c r="B4513" i="2"/>
  <c r="E4512" i="2"/>
  <c r="D4512" i="2"/>
  <c r="C4512" i="2"/>
  <c r="B4512" i="2"/>
  <c r="E4511" i="2"/>
  <c r="D4511" i="2"/>
  <c r="C4511" i="2"/>
  <c r="B4511" i="2"/>
  <c r="E4510" i="2"/>
  <c r="D4510" i="2"/>
  <c r="C4510" i="2"/>
  <c r="B4510" i="2"/>
  <c r="E4509" i="2"/>
  <c r="D4509" i="2"/>
  <c r="C4509" i="2"/>
  <c r="B4509" i="2"/>
  <c r="E4508" i="2"/>
  <c r="D4508" i="2"/>
  <c r="C4508" i="2"/>
  <c r="B4508" i="2"/>
  <c r="E4507" i="2"/>
  <c r="D4507" i="2"/>
  <c r="C4507" i="2"/>
  <c r="B4507" i="2"/>
  <c r="E4506" i="2"/>
  <c r="D4506" i="2"/>
  <c r="C4506" i="2"/>
  <c r="B4506" i="2"/>
  <c r="E4505" i="2"/>
  <c r="D4505" i="2"/>
  <c r="C4505" i="2"/>
  <c r="B4505" i="2"/>
  <c r="E4504" i="2"/>
  <c r="D4504" i="2"/>
  <c r="C4504" i="2"/>
  <c r="B4504" i="2"/>
  <c r="E4503" i="2"/>
  <c r="D4503" i="2"/>
  <c r="C4503" i="2"/>
  <c r="B4503" i="2"/>
  <c r="E4502" i="2"/>
  <c r="D4502" i="2"/>
  <c r="C4502" i="2"/>
  <c r="B4502" i="2"/>
  <c r="E4501" i="2"/>
  <c r="D4501" i="2"/>
  <c r="C4501" i="2"/>
  <c r="B4501" i="2"/>
  <c r="E4500" i="2"/>
  <c r="D4500" i="2"/>
  <c r="C4500" i="2"/>
  <c r="B4500" i="2"/>
  <c r="E4499" i="2"/>
  <c r="D4499" i="2"/>
  <c r="C4499" i="2"/>
  <c r="B4499" i="2"/>
  <c r="E4498" i="2"/>
  <c r="D4498" i="2"/>
  <c r="C4498" i="2"/>
  <c r="B4498" i="2"/>
  <c r="E4497" i="2"/>
  <c r="D4497" i="2"/>
  <c r="C4497" i="2"/>
  <c r="B4497" i="2"/>
  <c r="E4496" i="2"/>
  <c r="D4496" i="2"/>
  <c r="C4496" i="2"/>
  <c r="B4496" i="2"/>
  <c r="E4495" i="2"/>
  <c r="D4495" i="2"/>
  <c r="C4495" i="2"/>
  <c r="B4495" i="2"/>
  <c r="E4494" i="2"/>
  <c r="D4494" i="2"/>
  <c r="C4494" i="2"/>
  <c r="B4494" i="2"/>
  <c r="E4493" i="2"/>
  <c r="D4493" i="2"/>
  <c r="C4493" i="2"/>
  <c r="B4493" i="2"/>
  <c r="E4492" i="2"/>
  <c r="D4492" i="2"/>
  <c r="C4492" i="2"/>
  <c r="B4492" i="2"/>
  <c r="E4491" i="2"/>
  <c r="D4491" i="2"/>
  <c r="C4491" i="2"/>
  <c r="B4491" i="2"/>
  <c r="E4490" i="2"/>
  <c r="D4490" i="2"/>
  <c r="C4490" i="2"/>
  <c r="B4490" i="2"/>
  <c r="E4489" i="2"/>
  <c r="D4489" i="2"/>
  <c r="C4489" i="2"/>
  <c r="B4489" i="2"/>
  <c r="E4488" i="2"/>
  <c r="D4488" i="2"/>
  <c r="C4488" i="2"/>
  <c r="B4488" i="2"/>
  <c r="E4487" i="2"/>
  <c r="D4487" i="2"/>
  <c r="C4487" i="2"/>
  <c r="B4487" i="2"/>
  <c r="E4486" i="2"/>
  <c r="D4486" i="2"/>
  <c r="C4486" i="2"/>
  <c r="B4486" i="2"/>
  <c r="E4485" i="2"/>
  <c r="D4485" i="2"/>
  <c r="C4485" i="2"/>
  <c r="B4485" i="2"/>
  <c r="E4484" i="2"/>
  <c r="D4484" i="2"/>
  <c r="C4484" i="2"/>
  <c r="B4484" i="2"/>
  <c r="E4483" i="2"/>
  <c r="D4483" i="2"/>
  <c r="C4483" i="2"/>
  <c r="B4483" i="2"/>
  <c r="E4482" i="2"/>
  <c r="D4482" i="2"/>
  <c r="C4482" i="2"/>
  <c r="B4482" i="2"/>
  <c r="E4481" i="2"/>
  <c r="D4481" i="2"/>
  <c r="C4481" i="2"/>
  <c r="B4481" i="2"/>
  <c r="E4480" i="2"/>
  <c r="D4480" i="2"/>
  <c r="C4480" i="2"/>
  <c r="B4480" i="2"/>
  <c r="E4479" i="2"/>
  <c r="D4479" i="2"/>
  <c r="C4479" i="2"/>
  <c r="B4479" i="2"/>
  <c r="E4478" i="2"/>
  <c r="D4478" i="2"/>
  <c r="C4478" i="2"/>
  <c r="B4478" i="2"/>
  <c r="E4477" i="2"/>
  <c r="D4477" i="2"/>
  <c r="C4477" i="2"/>
  <c r="B4477" i="2"/>
  <c r="E4476" i="2"/>
  <c r="D4476" i="2"/>
  <c r="C4476" i="2"/>
  <c r="B4476" i="2"/>
  <c r="E4475" i="2"/>
  <c r="D4475" i="2"/>
  <c r="C4475" i="2"/>
  <c r="B4475" i="2"/>
  <c r="E4474" i="2"/>
  <c r="D4474" i="2"/>
  <c r="C4474" i="2"/>
  <c r="B4474" i="2"/>
  <c r="E4473" i="2"/>
  <c r="D4473" i="2"/>
  <c r="C4473" i="2"/>
  <c r="B4473" i="2"/>
  <c r="E4472" i="2"/>
  <c r="D4472" i="2"/>
  <c r="C4472" i="2"/>
  <c r="B4472" i="2"/>
  <c r="E4471" i="2"/>
  <c r="D4471" i="2"/>
  <c r="C4471" i="2"/>
  <c r="B4471" i="2"/>
  <c r="E4470" i="2"/>
  <c r="D4470" i="2"/>
  <c r="C4470" i="2"/>
  <c r="B4470" i="2"/>
  <c r="E4469" i="2"/>
  <c r="D4469" i="2"/>
  <c r="C4469" i="2"/>
  <c r="B4469" i="2"/>
  <c r="E4468" i="2"/>
  <c r="D4468" i="2"/>
  <c r="C4468" i="2"/>
  <c r="B4468" i="2"/>
  <c r="E4467" i="2"/>
  <c r="D4467" i="2"/>
  <c r="C4467" i="2"/>
  <c r="B4467" i="2"/>
  <c r="E4466" i="2"/>
  <c r="D4466" i="2"/>
  <c r="C4466" i="2"/>
  <c r="B4466" i="2"/>
  <c r="E4465" i="2"/>
  <c r="D4465" i="2"/>
  <c r="C4465" i="2"/>
  <c r="B4465" i="2"/>
  <c r="E4464" i="2"/>
  <c r="D4464" i="2"/>
  <c r="C4464" i="2"/>
  <c r="B4464" i="2"/>
  <c r="E4463" i="2"/>
  <c r="D4463" i="2"/>
  <c r="C4463" i="2"/>
  <c r="B4463" i="2"/>
  <c r="E4462" i="2"/>
  <c r="D4462" i="2"/>
  <c r="C4462" i="2"/>
  <c r="B4462" i="2"/>
  <c r="E4461" i="2"/>
  <c r="D4461" i="2"/>
  <c r="C4461" i="2"/>
  <c r="B4461" i="2"/>
  <c r="E4460" i="2"/>
  <c r="D4460" i="2"/>
  <c r="C4460" i="2"/>
  <c r="B4460" i="2"/>
  <c r="E4459" i="2"/>
  <c r="D4459" i="2"/>
  <c r="C4459" i="2"/>
  <c r="B4459" i="2"/>
  <c r="E4458" i="2"/>
  <c r="D4458" i="2"/>
  <c r="C4458" i="2"/>
  <c r="B4458" i="2"/>
  <c r="E4457" i="2"/>
  <c r="D4457" i="2"/>
  <c r="C4457" i="2"/>
  <c r="B4457" i="2"/>
  <c r="E4456" i="2"/>
  <c r="D4456" i="2"/>
  <c r="C4456" i="2"/>
  <c r="B4456" i="2"/>
  <c r="E4455" i="2"/>
  <c r="D4455" i="2"/>
  <c r="C4455" i="2"/>
  <c r="B4455" i="2"/>
  <c r="E4454" i="2"/>
  <c r="D4454" i="2"/>
  <c r="C4454" i="2"/>
  <c r="B4454" i="2"/>
  <c r="E4453" i="2"/>
  <c r="D4453" i="2"/>
  <c r="C4453" i="2"/>
  <c r="B4453" i="2"/>
  <c r="E4452" i="2"/>
  <c r="D4452" i="2"/>
  <c r="C4452" i="2"/>
  <c r="B4452" i="2"/>
  <c r="E4451" i="2"/>
  <c r="D4451" i="2"/>
  <c r="C4451" i="2"/>
  <c r="B4451" i="2"/>
  <c r="E4450" i="2"/>
  <c r="D4450" i="2"/>
  <c r="C4450" i="2"/>
  <c r="B4450" i="2"/>
  <c r="E4449" i="2"/>
  <c r="D4449" i="2"/>
  <c r="C4449" i="2"/>
  <c r="B4449" i="2"/>
  <c r="E4448" i="2"/>
  <c r="D4448" i="2"/>
  <c r="C4448" i="2"/>
  <c r="B4448" i="2"/>
  <c r="E4447" i="2"/>
  <c r="D4447" i="2"/>
  <c r="C4447" i="2"/>
  <c r="B4447" i="2"/>
  <c r="E4446" i="2"/>
  <c r="D4446" i="2"/>
  <c r="C4446" i="2"/>
  <c r="B4446" i="2"/>
  <c r="E4445" i="2"/>
  <c r="D4445" i="2"/>
  <c r="C4445" i="2"/>
  <c r="B4445" i="2"/>
  <c r="E4444" i="2"/>
  <c r="D4444" i="2"/>
  <c r="C4444" i="2"/>
  <c r="B4444" i="2"/>
  <c r="E4443" i="2"/>
  <c r="D4443" i="2"/>
  <c r="C4443" i="2"/>
  <c r="B4443" i="2"/>
  <c r="E4442" i="2"/>
  <c r="D4442" i="2"/>
  <c r="C4442" i="2"/>
  <c r="B4442" i="2"/>
  <c r="E4441" i="2"/>
  <c r="D4441" i="2"/>
  <c r="C4441" i="2"/>
  <c r="B4441" i="2"/>
  <c r="E4440" i="2"/>
  <c r="D4440" i="2"/>
  <c r="C4440" i="2"/>
  <c r="B4440" i="2"/>
  <c r="E4439" i="2"/>
  <c r="D4439" i="2"/>
  <c r="C4439" i="2"/>
  <c r="B4439" i="2"/>
  <c r="E4438" i="2"/>
  <c r="D4438" i="2"/>
  <c r="C4438" i="2"/>
  <c r="B4438" i="2"/>
  <c r="E4437" i="2"/>
  <c r="D4437" i="2"/>
  <c r="C4437" i="2"/>
  <c r="B4437" i="2"/>
  <c r="E4436" i="2"/>
  <c r="D4436" i="2"/>
  <c r="C4436" i="2"/>
  <c r="B4436" i="2"/>
  <c r="E4435" i="2"/>
  <c r="D4435" i="2"/>
  <c r="C4435" i="2"/>
  <c r="B4435" i="2"/>
  <c r="E4434" i="2"/>
  <c r="D4434" i="2"/>
  <c r="C4434" i="2"/>
  <c r="B4434" i="2"/>
  <c r="E4433" i="2"/>
  <c r="D4433" i="2"/>
  <c r="C4433" i="2"/>
  <c r="B4433" i="2"/>
  <c r="E4432" i="2"/>
  <c r="D4432" i="2"/>
  <c r="C4432" i="2"/>
  <c r="B4432" i="2"/>
  <c r="E4431" i="2"/>
  <c r="D4431" i="2"/>
  <c r="C4431" i="2"/>
  <c r="B4431" i="2"/>
  <c r="E4430" i="2"/>
  <c r="D4430" i="2"/>
  <c r="C4430" i="2"/>
  <c r="B4430" i="2"/>
  <c r="E4429" i="2"/>
  <c r="D4429" i="2"/>
  <c r="C4429" i="2"/>
  <c r="B4429" i="2"/>
  <c r="E4428" i="2"/>
  <c r="D4428" i="2"/>
  <c r="C4428" i="2"/>
  <c r="B4428" i="2"/>
  <c r="E4427" i="2"/>
  <c r="D4427" i="2"/>
  <c r="C4427" i="2"/>
  <c r="B4427" i="2"/>
  <c r="E4426" i="2"/>
  <c r="D4426" i="2"/>
  <c r="C4426" i="2"/>
  <c r="B4426" i="2"/>
  <c r="E4425" i="2"/>
  <c r="D4425" i="2"/>
  <c r="C4425" i="2"/>
  <c r="B4425" i="2"/>
  <c r="E4424" i="2"/>
  <c r="D4424" i="2"/>
  <c r="C4424" i="2"/>
  <c r="B4424" i="2"/>
  <c r="E4423" i="2"/>
  <c r="D4423" i="2"/>
  <c r="C4423" i="2"/>
  <c r="B4423" i="2"/>
  <c r="E4422" i="2"/>
  <c r="D4422" i="2"/>
  <c r="C4422" i="2"/>
  <c r="B4422" i="2"/>
  <c r="E4421" i="2"/>
  <c r="D4421" i="2"/>
  <c r="C4421" i="2"/>
  <c r="B4421" i="2"/>
  <c r="E4420" i="2"/>
  <c r="D4420" i="2"/>
  <c r="C4420" i="2"/>
  <c r="B4420" i="2"/>
  <c r="E4419" i="2"/>
  <c r="D4419" i="2"/>
  <c r="C4419" i="2"/>
  <c r="B4419" i="2"/>
  <c r="E4418" i="2"/>
  <c r="D4418" i="2"/>
  <c r="C4418" i="2"/>
  <c r="B4418" i="2"/>
  <c r="E4417" i="2"/>
  <c r="D4417" i="2"/>
  <c r="C4417" i="2"/>
  <c r="B4417" i="2"/>
  <c r="E4416" i="2"/>
  <c r="D4416" i="2"/>
  <c r="C4416" i="2"/>
  <c r="B4416" i="2"/>
  <c r="E4415" i="2"/>
  <c r="D4415" i="2"/>
  <c r="C4415" i="2"/>
  <c r="B4415" i="2"/>
  <c r="E4414" i="2"/>
  <c r="D4414" i="2"/>
  <c r="C4414" i="2"/>
  <c r="B4414" i="2"/>
  <c r="E4413" i="2"/>
  <c r="D4413" i="2"/>
  <c r="C4413" i="2"/>
  <c r="B4413" i="2"/>
  <c r="E4412" i="2"/>
  <c r="D4412" i="2"/>
  <c r="C4412" i="2"/>
  <c r="B4412" i="2"/>
  <c r="E4411" i="2"/>
  <c r="D4411" i="2"/>
  <c r="C4411" i="2"/>
  <c r="B4411" i="2"/>
  <c r="E4410" i="2"/>
  <c r="D4410" i="2"/>
  <c r="C4410" i="2"/>
  <c r="B4410" i="2"/>
  <c r="E4409" i="2"/>
  <c r="D4409" i="2"/>
  <c r="C4409" i="2"/>
  <c r="B4409" i="2"/>
  <c r="E4408" i="2"/>
  <c r="D4408" i="2"/>
  <c r="C4408" i="2"/>
  <c r="B4408" i="2"/>
  <c r="E4407" i="2"/>
  <c r="D4407" i="2"/>
  <c r="C4407" i="2"/>
  <c r="B4407" i="2"/>
  <c r="E4406" i="2"/>
  <c r="D4406" i="2"/>
  <c r="C4406" i="2"/>
  <c r="B4406" i="2"/>
  <c r="E4405" i="2"/>
  <c r="D4405" i="2"/>
  <c r="C4405" i="2"/>
  <c r="B4405" i="2"/>
  <c r="E4404" i="2"/>
  <c r="D4404" i="2"/>
  <c r="C4404" i="2"/>
  <c r="B4404" i="2"/>
  <c r="E4403" i="2"/>
  <c r="D4403" i="2"/>
  <c r="C4403" i="2"/>
  <c r="B4403" i="2"/>
  <c r="E4402" i="2"/>
  <c r="D4402" i="2"/>
  <c r="C4402" i="2"/>
  <c r="B4402" i="2"/>
  <c r="E4401" i="2"/>
  <c r="D4401" i="2"/>
  <c r="C4401" i="2"/>
  <c r="B4401" i="2"/>
  <c r="E4400" i="2"/>
  <c r="D4400" i="2"/>
  <c r="C4400" i="2"/>
  <c r="B4400" i="2"/>
  <c r="E4399" i="2"/>
  <c r="D4399" i="2"/>
  <c r="C4399" i="2"/>
  <c r="B4399" i="2"/>
  <c r="E4398" i="2"/>
  <c r="D4398" i="2"/>
  <c r="C4398" i="2"/>
  <c r="B4398" i="2"/>
  <c r="E4397" i="2"/>
  <c r="D4397" i="2"/>
  <c r="C4397" i="2"/>
  <c r="B4397" i="2"/>
  <c r="E4396" i="2"/>
  <c r="D4396" i="2"/>
  <c r="C4396" i="2"/>
  <c r="B4396" i="2"/>
  <c r="E4395" i="2"/>
  <c r="D4395" i="2"/>
  <c r="C4395" i="2"/>
  <c r="B4395" i="2"/>
  <c r="E4394" i="2"/>
  <c r="D4394" i="2"/>
  <c r="C4394" i="2"/>
  <c r="B4394" i="2"/>
  <c r="E4393" i="2"/>
  <c r="D4393" i="2"/>
  <c r="C4393" i="2"/>
  <c r="B4393" i="2"/>
  <c r="E4392" i="2"/>
  <c r="D4392" i="2"/>
  <c r="C4392" i="2"/>
  <c r="B4392" i="2"/>
  <c r="E4391" i="2"/>
  <c r="D4391" i="2"/>
  <c r="C4391" i="2"/>
  <c r="B4391" i="2"/>
  <c r="E4390" i="2"/>
  <c r="D4390" i="2"/>
  <c r="C4390" i="2"/>
  <c r="B4390" i="2"/>
  <c r="E4389" i="2"/>
  <c r="D4389" i="2"/>
  <c r="C4389" i="2"/>
  <c r="B4389" i="2"/>
  <c r="E4388" i="2"/>
  <c r="D4388" i="2"/>
  <c r="C4388" i="2"/>
  <c r="B4388" i="2"/>
  <c r="E4387" i="2"/>
  <c r="D4387" i="2"/>
  <c r="C4387" i="2"/>
  <c r="B4387" i="2"/>
  <c r="E4386" i="2"/>
  <c r="D4386" i="2"/>
  <c r="C4386" i="2"/>
  <c r="B4386" i="2"/>
  <c r="E4385" i="2"/>
  <c r="D4385" i="2"/>
  <c r="C4385" i="2"/>
  <c r="B4385" i="2"/>
  <c r="E4384" i="2"/>
  <c r="D4384" i="2"/>
  <c r="C4384" i="2"/>
  <c r="B4384" i="2"/>
  <c r="E4383" i="2"/>
  <c r="D4383" i="2"/>
  <c r="C4383" i="2"/>
  <c r="B4383" i="2"/>
  <c r="E4382" i="2"/>
  <c r="D4382" i="2"/>
  <c r="C4382" i="2"/>
  <c r="B4382" i="2"/>
  <c r="E4381" i="2"/>
  <c r="D4381" i="2"/>
  <c r="C4381" i="2"/>
  <c r="B4381" i="2"/>
  <c r="E4380" i="2"/>
  <c r="D4380" i="2"/>
  <c r="C4380" i="2"/>
  <c r="B4380" i="2"/>
  <c r="E4379" i="2"/>
  <c r="D4379" i="2"/>
  <c r="C4379" i="2"/>
  <c r="B4379" i="2"/>
  <c r="E4378" i="2"/>
  <c r="D4378" i="2"/>
  <c r="C4378" i="2"/>
  <c r="B4378" i="2"/>
  <c r="E4377" i="2"/>
  <c r="D4377" i="2"/>
  <c r="C4377" i="2"/>
  <c r="B4377" i="2"/>
  <c r="E4376" i="2"/>
  <c r="D4376" i="2"/>
  <c r="C4376" i="2"/>
  <c r="B4376" i="2"/>
  <c r="E4375" i="2"/>
  <c r="D4375" i="2"/>
  <c r="C4375" i="2"/>
  <c r="B4375" i="2"/>
  <c r="E4374" i="2"/>
  <c r="D4374" i="2"/>
  <c r="C4374" i="2"/>
  <c r="B4374" i="2"/>
  <c r="E4373" i="2"/>
  <c r="D4373" i="2"/>
  <c r="C4373" i="2"/>
  <c r="B4373" i="2"/>
  <c r="E4372" i="2"/>
  <c r="D4372" i="2"/>
  <c r="C4372" i="2"/>
  <c r="B4372" i="2"/>
  <c r="E4371" i="2"/>
  <c r="D4371" i="2"/>
  <c r="C4371" i="2"/>
  <c r="B4371" i="2"/>
  <c r="E4370" i="2"/>
  <c r="D4370" i="2"/>
  <c r="C4370" i="2"/>
  <c r="B4370" i="2"/>
  <c r="E4369" i="2"/>
  <c r="D4369" i="2"/>
  <c r="C4369" i="2"/>
  <c r="B4369" i="2"/>
  <c r="E4368" i="2"/>
  <c r="D4368" i="2"/>
  <c r="C4368" i="2"/>
  <c r="B4368" i="2"/>
  <c r="E4367" i="2"/>
  <c r="D4367" i="2"/>
  <c r="C4367" i="2"/>
  <c r="B4367" i="2"/>
  <c r="E4366" i="2"/>
  <c r="D4366" i="2"/>
  <c r="C4366" i="2"/>
  <c r="B4366" i="2"/>
  <c r="E4365" i="2"/>
  <c r="D4365" i="2"/>
  <c r="C4365" i="2"/>
  <c r="B4365" i="2"/>
  <c r="E4364" i="2"/>
  <c r="D4364" i="2"/>
  <c r="C4364" i="2"/>
  <c r="B4364" i="2"/>
  <c r="E4363" i="2"/>
  <c r="D4363" i="2"/>
  <c r="C4363" i="2"/>
  <c r="B4363" i="2"/>
  <c r="E4362" i="2"/>
  <c r="D4362" i="2"/>
  <c r="C4362" i="2"/>
  <c r="B4362" i="2"/>
  <c r="E4361" i="2"/>
  <c r="D4361" i="2"/>
  <c r="C4361" i="2"/>
  <c r="B4361" i="2"/>
  <c r="E4360" i="2"/>
  <c r="D4360" i="2"/>
  <c r="C4360" i="2"/>
  <c r="B4360" i="2"/>
  <c r="E4359" i="2"/>
  <c r="D4359" i="2"/>
  <c r="C4359" i="2"/>
  <c r="B4359" i="2"/>
  <c r="E4358" i="2"/>
  <c r="D4358" i="2"/>
  <c r="C4358" i="2"/>
  <c r="B4358" i="2"/>
  <c r="E4357" i="2"/>
  <c r="D4357" i="2"/>
  <c r="C4357" i="2"/>
  <c r="B4357" i="2"/>
  <c r="E4356" i="2"/>
  <c r="D4356" i="2"/>
  <c r="C4356" i="2"/>
  <c r="B4356" i="2"/>
  <c r="E4355" i="2"/>
  <c r="D4355" i="2"/>
  <c r="C4355" i="2"/>
  <c r="B4355" i="2"/>
  <c r="E4354" i="2"/>
  <c r="D4354" i="2"/>
  <c r="C4354" i="2"/>
  <c r="B4354" i="2"/>
  <c r="E4353" i="2"/>
  <c r="D4353" i="2"/>
  <c r="C4353" i="2"/>
  <c r="B4353" i="2"/>
  <c r="E4352" i="2"/>
  <c r="D4352" i="2"/>
  <c r="C4352" i="2"/>
  <c r="B4352" i="2"/>
  <c r="E4351" i="2"/>
  <c r="D4351" i="2"/>
  <c r="C4351" i="2"/>
  <c r="B4351" i="2"/>
  <c r="E4350" i="2"/>
  <c r="D4350" i="2"/>
  <c r="C4350" i="2"/>
  <c r="B4350" i="2"/>
  <c r="E4349" i="2"/>
  <c r="D4349" i="2"/>
  <c r="C4349" i="2"/>
  <c r="B4349" i="2"/>
  <c r="E4348" i="2"/>
  <c r="D4348" i="2"/>
  <c r="C4348" i="2"/>
  <c r="B4348" i="2"/>
  <c r="E4347" i="2"/>
  <c r="D4347" i="2"/>
  <c r="C4347" i="2"/>
  <c r="B4347" i="2"/>
  <c r="E4346" i="2"/>
  <c r="D4346" i="2"/>
  <c r="C4346" i="2"/>
  <c r="B4346" i="2"/>
  <c r="E4345" i="2"/>
  <c r="D4345" i="2"/>
  <c r="C4345" i="2"/>
  <c r="B4345" i="2"/>
  <c r="E4344" i="2"/>
  <c r="D4344" i="2"/>
  <c r="C4344" i="2"/>
  <c r="B4344" i="2"/>
  <c r="E4343" i="2"/>
  <c r="D4343" i="2"/>
  <c r="C4343" i="2"/>
  <c r="B4343" i="2"/>
  <c r="E4342" i="2"/>
  <c r="D4342" i="2"/>
  <c r="C4342" i="2"/>
  <c r="B4342" i="2"/>
  <c r="E4341" i="2"/>
  <c r="D4341" i="2"/>
  <c r="C4341" i="2"/>
  <c r="B4341" i="2"/>
  <c r="E4340" i="2"/>
  <c r="D4340" i="2"/>
  <c r="C4340" i="2"/>
  <c r="B4340" i="2"/>
  <c r="E4339" i="2"/>
  <c r="D4339" i="2"/>
  <c r="C4339" i="2"/>
  <c r="B4339" i="2"/>
  <c r="E4338" i="2"/>
  <c r="D4338" i="2"/>
  <c r="C4338" i="2"/>
  <c r="B4338" i="2"/>
  <c r="E4337" i="2"/>
  <c r="D4337" i="2"/>
  <c r="C4337" i="2"/>
  <c r="B4337" i="2"/>
  <c r="E4336" i="2"/>
  <c r="D4336" i="2"/>
  <c r="C4336" i="2"/>
  <c r="B4336" i="2"/>
  <c r="E4335" i="2"/>
  <c r="D4335" i="2"/>
  <c r="C4335" i="2"/>
  <c r="B4335" i="2"/>
  <c r="E4334" i="2"/>
  <c r="D4334" i="2"/>
  <c r="C4334" i="2"/>
  <c r="B4334" i="2"/>
  <c r="E4333" i="2"/>
  <c r="D4333" i="2"/>
  <c r="C4333" i="2"/>
  <c r="B4333" i="2"/>
  <c r="E4332" i="2"/>
  <c r="D4332" i="2"/>
  <c r="C4332" i="2"/>
  <c r="B4332" i="2"/>
  <c r="E4331" i="2"/>
  <c r="D4331" i="2"/>
  <c r="C4331" i="2"/>
  <c r="B4331" i="2"/>
  <c r="E4330" i="2"/>
  <c r="D4330" i="2"/>
  <c r="C4330" i="2"/>
  <c r="B4330" i="2"/>
  <c r="E4329" i="2"/>
  <c r="D4329" i="2"/>
  <c r="C4329" i="2"/>
  <c r="B4329" i="2"/>
  <c r="E4328" i="2"/>
  <c r="D4328" i="2"/>
  <c r="C4328" i="2"/>
  <c r="B4328" i="2"/>
  <c r="E4327" i="2"/>
  <c r="D4327" i="2"/>
  <c r="C4327" i="2"/>
  <c r="B4327" i="2"/>
  <c r="E4326" i="2"/>
  <c r="D4326" i="2"/>
  <c r="C4326" i="2"/>
  <c r="B4326" i="2"/>
  <c r="E4325" i="2"/>
  <c r="D4325" i="2"/>
  <c r="C4325" i="2"/>
  <c r="B4325" i="2"/>
  <c r="E4324" i="2"/>
  <c r="D4324" i="2"/>
  <c r="C4324" i="2"/>
  <c r="B4324" i="2"/>
  <c r="E4323" i="2"/>
  <c r="D4323" i="2"/>
  <c r="C4323" i="2"/>
  <c r="B4323" i="2"/>
  <c r="E4322" i="2"/>
  <c r="D4322" i="2"/>
  <c r="C4322" i="2"/>
  <c r="B4322" i="2"/>
  <c r="E4321" i="2"/>
  <c r="D4321" i="2"/>
  <c r="C4321" i="2"/>
  <c r="B4321" i="2"/>
  <c r="E4320" i="2"/>
  <c r="D4320" i="2"/>
  <c r="C4320" i="2"/>
  <c r="B4320" i="2"/>
  <c r="E4319" i="2"/>
  <c r="D4319" i="2"/>
  <c r="C4319" i="2"/>
  <c r="B4319" i="2"/>
  <c r="E4318" i="2"/>
  <c r="D4318" i="2"/>
  <c r="C4318" i="2"/>
  <c r="B4318" i="2"/>
  <c r="E4317" i="2"/>
  <c r="D4317" i="2"/>
  <c r="C4317" i="2"/>
  <c r="B4317" i="2"/>
  <c r="E4316" i="2"/>
  <c r="D4316" i="2"/>
  <c r="C4316" i="2"/>
  <c r="B4316" i="2"/>
  <c r="E4315" i="2"/>
  <c r="D4315" i="2"/>
  <c r="C4315" i="2"/>
  <c r="B4315" i="2"/>
  <c r="E4314" i="2"/>
  <c r="D4314" i="2"/>
  <c r="C4314" i="2"/>
  <c r="B4314" i="2"/>
  <c r="E4313" i="2"/>
  <c r="D4313" i="2"/>
  <c r="C4313" i="2"/>
  <c r="B4313" i="2"/>
  <c r="E4312" i="2"/>
  <c r="D4312" i="2"/>
  <c r="C4312" i="2"/>
  <c r="B4312" i="2"/>
  <c r="E4311" i="2"/>
  <c r="D4311" i="2"/>
  <c r="C4311" i="2"/>
  <c r="B4311" i="2"/>
  <c r="E4310" i="2"/>
  <c r="D4310" i="2"/>
  <c r="C4310" i="2"/>
  <c r="B4310" i="2"/>
  <c r="E4309" i="2"/>
  <c r="D4309" i="2"/>
  <c r="C4309" i="2"/>
  <c r="B4309" i="2"/>
  <c r="E4308" i="2"/>
  <c r="D4308" i="2"/>
  <c r="C4308" i="2"/>
  <c r="B4308" i="2"/>
  <c r="E4307" i="2"/>
  <c r="D4307" i="2"/>
  <c r="C4307" i="2"/>
  <c r="B4307" i="2"/>
  <c r="E4306" i="2"/>
  <c r="D4306" i="2"/>
  <c r="C4306" i="2"/>
  <c r="B4306" i="2"/>
  <c r="E4305" i="2"/>
  <c r="D4305" i="2"/>
  <c r="C4305" i="2"/>
  <c r="B4305" i="2"/>
  <c r="E4304" i="2"/>
  <c r="D4304" i="2"/>
  <c r="C4304" i="2"/>
  <c r="B4304" i="2"/>
  <c r="E4303" i="2"/>
  <c r="D4303" i="2"/>
  <c r="C4303" i="2"/>
  <c r="B4303" i="2"/>
  <c r="E4302" i="2"/>
  <c r="D4302" i="2"/>
  <c r="C4302" i="2"/>
  <c r="B4302" i="2"/>
  <c r="E4301" i="2"/>
  <c r="D4301" i="2"/>
  <c r="C4301" i="2"/>
  <c r="B4301" i="2"/>
  <c r="E4300" i="2"/>
  <c r="D4300" i="2"/>
  <c r="C4300" i="2"/>
  <c r="B4300" i="2"/>
  <c r="E4299" i="2"/>
  <c r="D4299" i="2"/>
  <c r="C4299" i="2"/>
  <c r="B4299" i="2"/>
  <c r="E4298" i="2"/>
  <c r="D4298" i="2"/>
  <c r="C4298" i="2"/>
  <c r="B4298" i="2"/>
  <c r="E4297" i="2"/>
  <c r="D4297" i="2"/>
  <c r="C4297" i="2"/>
  <c r="B4297" i="2"/>
  <c r="E4296" i="2"/>
  <c r="D4296" i="2"/>
  <c r="C4296" i="2"/>
  <c r="B4296" i="2"/>
  <c r="E4295" i="2"/>
  <c r="D4295" i="2"/>
  <c r="C4295" i="2"/>
  <c r="B4295" i="2"/>
  <c r="E4294" i="2"/>
  <c r="D4294" i="2"/>
  <c r="C4294" i="2"/>
  <c r="B4294" i="2"/>
  <c r="E4293" i="2"/>
  <c r="D4293" i="2"/>
  <c r="C4293" i="2"/>
  <c r="B4293" i="2"/>
  <c r="E4292" i="2"/>
  <c r="D4292" i="2"/>
  <c r="C4292" i="2"/>
  <c r="B4292" i="2"/>
  <c r="E4291" i="2"/>
  <c r="D4291" i="2"/>
  <c r="C4291" i="2"/>
  <c r="B4291" i="2"/>
  <c r="E4290" i="2"/>
  <c r="D4290" i="2"/>
  <c r="C4290" i="2"/>
  <c r="B4290" i="2"/>
  <c r="E4289" i="2"/>
  <c r="D4289" i="2"/>
  <c r="C4289" i="2"/>
  <c r="B4289" i="2"/>
  <c r="E4288" i="2"/>
  <c r="D4288" i="2"/>
  <c r="C4288" i="2"/>
  <c r="B4288" i="2"/>
  <c r="E4287" i="2"/>
  <c r="D4287" i="2"/>
  <c r="C4287" i="2"/>
  <c r="B4287" i="2"/>
  <c r="E4286" i="2"/>
  <c r="D4286" i="2"/>
  <c r="C4286" i="2"/>
  <c r="B4286" i="2"/>
  <c r="E4285" i="2"/>
  <c r="D4285" i="2"/>
  <c r="C4285" i="2"/>
  <c r="B4285" i="2"/>
  <c r="E4284" i="2"/>
  <c r="D4284" i="2"/>
  <c r="C4284" i="2"/>
  <c r="B4284" i="2"/>
  <c r="E4283" i="2"/>
  <c r="D4283" i="2"/>
  <c r="C4283" i="2"/>
  <c r="B4283" i="2"/>
  <c r="E4282" i="2"/>
  <c r="D4282" i="2"/>
  <c r="C4282" i="2"/>
  <c r="B4282" i="2"/>
  <c r="E4281" i="2"/>
  <c r="D4281" i="2"/>
  <c r="C4281" i="2"/>
  <c r="B4281" i="2"/>
  <c r="E4280" i="2"/>
  <c r="D4280" i="2"/>
  <c r="C4280" i="2"/>
  <c r="B4280" i="2"/>
  <c r="E4279" i="2"/>
  <c r="D4279" i="2"/>
  <c r="C4279" i="2"/>
  <c r="B4279" i="2"/>
  <c r="E4278" i="2"/>
  <c r="D4278" i="2"/>
  <c r="C4278" i="2"/>
  <c r="B4278" i="2"/>
  <c r="E4277" i="2"/>
  <c r="D4277" i="2"/>
  <c r="C4277" i="2"/>
  <c r="B4277" i="2"/>
  <c r="E4276" i="2"/>
  <c r="D4276" i="2"/>
  <c r="C4276" i="2"/>
  <c r="B4276" i="2"/>
  <c r="E4275" i="2"/>
  <c r="D4275" i="2"/>
  <c r="C4275" i="2"/>
  <c r="B4275" i="2"/>
  <c r="E4274" i="2"/>
  <c r="D4274" i="2"/>
  <c r="C4274" i="2"/>
  <c r="B4274" i="2"/>
  <c r="E4273" i="2"/>
  <c r="D4273" i="2"/>
  <c r="C4273" i="2"/>
  <c r="B4273" i="2"/>
  <c r="E4272" i="2"/>
  <c r="D4272" i="2"/>
  <c r="C4272" i="2"/>
  <c r="B4272" i="2"/>
  <c r="E4271" i="2"/>
  <c r="D4271" i="2"/>
  <c r="C4271" i="2"/>
  <c r="B4271" i="2"/>
  <c r="E4270" i="2"/>
  <c r="D4270" i="2"/>
  <c r="C4270" i="2"/>
  <c r="B4270" i="2"/>
  <c r="E4269" i="2"/>
  <c r="D4269" i="2"/>
  <c r="C4269" i="2"/>
  <c r="B4269" i="2"/>
  <c r="E4268" i="2"/>
  <c r="D4268" i="2"/>
  <c r="C4268" i="2"/>
  <c r="B4268" i="2"/>
  <c r="E4267" i="2"/>
  <c r="D4267" i="2"/>
  <c r="C4267" i="2"/>
  <c r="B4267" i="2"/>
  <c r="E4266" i="2"/>
  <c r="D4266" i="2"/>
  <c r="C4266" i="2"/>
  <c r="B4266" i="2"/>
  <c r="E4265" i="2"/>
  <c r="D4265" i="2"/>
  <c r="C4265" i="2"/>
  <c r="B4265" i="2"/>
  <c r="E4264" i="2"/>
  <c r="D4264" i="2"/>
  <c r="C4264" i="2"/>
  <c r="B4264" i="2"/>
  <c r="E4263" i="2"/>
  <c r="D4263" i="2"/>
  <c r="C4263" i="2"/>
  <c r="B4263" i="2"/>
  <c r="E4262" i="2"/>
  <c r="D4262" i="2"/>
  <c r="C4262" i="2"/>
  <c r="B4262" i="2"/>
  <c r="E4261" i="2"/>
  <c r="D4261" i="2"/>
  <c r="C4261" i="2"/>
  <c r="B4261" i="2"/>
  <c r="E4260" i="2"/>
  <c r="D4260" i="2"/>
  <c r="C4260" i="2"/>
  <c r="B4260" i="2"/>
  <c r="E4259" i="2"/>
  <c r="D4259" i="2"/>
  <c r="C4259" i="2"/>
  <c r="B4259" i="2"/>
  <c r="E4258" i="2"/>
  <c r="D4258" i="2"/>
  <c r="C4258" i="2"/>
  <c r="B4258" i="2"/>
  <c r="E4257" i="2"/>
  <c r="D4257" i="2"/>
  <c r="C4257" i="2"/>
  <c r="B4257" i="2"/>
  <c r="E4256" i="2"/>
  <c r="D4256" i="2"/>
  <c r="C4256" i="2"/>
  <c r="B4256" i="2"/>
  <c r="E4255" i="2"/>
  <c r="D4255" i="2"/>
  <c r="C4255" i="2"/>
  <c r="B4255" i="2"/>
  <c r="E4254" i="2"/>
  <c r="D4254" i="2"/>
  <c r="C4254" i="2"/>
  <c r="B4254" i="2"/>
  <c r="E4253" i="2"/>
  <c r="D4253" i="2"/>
  <c r="C4253" i="2"/>
  <c r="B4253" i="2"/>
  <c r="E4252" i="2"/>
  <c r="D4252" i="2"/>
  <c r="C4252" i="2"/>
  <c r="B4252" i="2"/>
  <c r="E4251" i="2"/>
  <c r="D4251" i="2"/>
  <c r="C4251" i="2"/>
  <c r="B4251" i="2"/>
  <c r="E4250" i="2"/>
  <c r="D4250" i="2"/>
  <c r="C4250" i="2"/>
  <c r="B4250" i="2"/>
  <c r="E4249" i="2"/>
  <c r="D4249" i="2"/>
  <c r="C4249" i="2"/>
  <c r="B4249" i="2"/>
  <c r="E4248" i="2"/>
  <c r="D4248" i="2"/>
  <c r="C4248" i="2"/>
  <c r="B4248" i="2"/>
  <c r="E4247" i="2"/>
  <c r="D4247" i="2"/>
  <c r="C4247" i="2"/>
  <c r="B4247" i="2"/>
  <c r="E4246" i="2"/>
  <c r="D4246" i="2"/>
  <c r="C4246" i="2"/>
  <c r="B4246" i="2"/>
  <c r="E4245" i="2"/>
  <c r="D4245" i="2"/>
  <c r="C4245" i="2"/>
  <c r="B4245" i="2"/>
  <c r="E4244" i="2"/>
  <c r="D4244" i="2"/>
  <c r="C4244" i="2"/>
  <c r="B4244" i="2"/>
  <c r="E4243" i="2"/>
  <c r="D4243" i="2"/>
  <c r="C4243" i="2"/>
  <c r="B4243" i="2"/>
  <c r="E4242" i="2"/>
  <c r="D4242" i="2"/>
  <c r="C4242" i="2"/>
  <c r="B4242" i="2"/>
  <c r="E4241" i="2"/>
  <c r="D4241" i="2"/>
  <c r="C4241" i="2"/>
  <c r="B4241" i="2"/>
  <c r="E4240" i="2"/>
  <c r="D4240" i="2"/>
  <c r="C4240" i="2"/>
  <c r="B4240" i="2"/>
  <c r="E4239" i="2"/>
  <c r="D4239" i="2"/>
  <c r="C4239" i="2"/>
  <c r="B4239" i="2"/>
  <c r="E4238" i="2"/>
  <c r="D4238" i="2"/>
  <c r="C4238" i="2"/>
  <c r="B4238" i="2"/>
  <c r="E4237" i="2"/>
  <c r="D4237" i="2"/>
  <c r="C4237" i="2"/>
  <c r="B4237" i="2"/>
  <c r="E4236" i="2"/>
  <c r="D4236" i="2"/>
  <c r="C4236" i="2"/>
  <c r="B4236" i="2"/>
  <c r="E4235" i="2"/>
  <c r="D4235" i="2"/>
  <c r="C4235" i="2"/>
  <c r="B4235" i="2"/>
  <c r="E4234" i="2"/>
  <c r="D4234" i="2"/>
  <c r="C4234" i="2"/>
  <c r="B4234" i="2"/>
  <c r="E4233" i="2"/>
  <c r="D4233" i="2"/>
  <c r="C4233" i="2"/>
  <c r="B4233" i="2"/>
  <c r="E4232" i="2"/>
  <c r="D4232" i="2"/>
  <c r="C4232" i="2"/>
  <c r="B4232" i="2"/>
  <c r="E4231" i="2"/>
  <c r="D4231" i="2"/>
  <c r="C4231" i="2"/>
  <c r="B4231" i="2"/>
  <c r="E4230" i="2"/>
  <c r="D4230" i="2"/>
  <c r="C4230" i="2"/>
  <c r="B4230" i="2"/>
  <c r="E4229" i="2"/>
  <c r="D4229" i="2"/>
  <c r="C4229" i="2"/>
  <c r="B4229" i="2"/>
  <c r="E4228" i="2"/>
  <c r="D4228" i="2"/>
  <c r="C4228" i="2"/>
  <c r="B4228" i="2"/>
  <c r="E4227" i="2"/>
  <c r="D4227" i="2"/>
  <c r="C4227" i="2"/>
  <c r="B4227" i="2"/>
  <c r="E4226" i="2"/>
  <c r="D4226" i="2"/>
  <c r="C4226" i="2"/>
  <c r="B4226" i="2"/>
  <c r="E4225" i="2"/>
  <c r="D4225" i="2"/>
  <c r="C4225" i="2"/>
  <c r="B4225" i="2"/>
  <c r="E4224" i="2"/>
  <c r="D4224" i="2"/>
  <c r="C4224" i="2"/>
  <c r="B4224" i="2"/>
  <c r="E4223" i="2"/>
  <c r="D4223" i="2"/>
  <c r="C4223" i="2"/>
  <c r="B4223" i="2"/>
  <c r="E4222" i="2"/>
  <c r="D4222" i="2"/>
  <c r="C4222" i="2"/>
  <c r="B4222" i="2"/>
  <c r="E4221" i="2"/>
  <c r="D4221" i="2"/>
  <c r="C4221" i="2"/>
  <c r="B4221" i="2"/>
  <c r="E4220" i="2"/>
  <c r="D4220" i="2"/>
  <c r="C4220" i="2"/>
  <c r="B4220" i="2"/>
  <c r="E4219" i="2"/>
  <c r="D4219" i="2"/>
  <c r="C4219" i="2"/>
  <c r="B4219" i="2"/>
  <c r="E4218" i="2"/>
  <c r="D4218" i="2"/>
  <c r="C4218" i="2"/>
  <c r="B4218" i="2"/>
  <c r="E4217" i="2"/>
  <c r="D4217" i="2"/>
  <c r="C4217" i="2"/>
  <c r="B4217" i="2"/>
  <c r="E4216" i="2"/>
  <c r="D4216" i="2"/>
  <c r="C4216" i="2"/>
  <c r="B4216" i="2"/>
  <c r="E4215" i="2"/>
  <c r="D4215" i="2"/>
  <c r="C4215" i="2"/>
  <c r="B4215" i="2"/>
  <c r="E4214" i="2"/>
  <c r="D4214" i="2"/>
  <c r="C4214" i="2"/>
  <c r="B4214" i="2"/>
  <c r="E4213" i="2"/>
  <c r="D4213" i="2"/>
  <c r="C4213" i="2"/>
  <c r="B4213" i="2"/>
  <c r="E4212" i="2"/>
  <c r="D4212" i="2"/>
  <c r="C4212" i="2"/>
  <c r="B4212" i="2"/>
  <c r="E4211" i="2"/>
  <c r="D4211" i="2"/>
  <c r="C4211" i="2"/>
  <c r="B4211" i="2"/>
  <c r="E4210" i="2"/>
  <c r="D4210" i="2"/>
  <c r="C4210" i="2"/>
  <c r="B4210" i="2"/>
  <c r="E4209" i="2"/>
  <c r="D4209" i="2"/>
  <c r="C4209" i="2"/>
  <c r="B4209" i="2"/>
  <c r="E4208" i="2"/>
  <c r="D4208" i="2"/>
  <c r="C4208" i="2"/>
  <c r="B4208" i="2"/>
  <c r="E4207" i="2"/>
  <c r="D4207" i="2"/>
  <c r="C4207" i="2"/>
  <c r="B4207" i="2"/>
  <c r="E4206" i="2"/>
  <c r="D4206" i="2"/>
  <c r="C4206" i="2"/>
  <c r="B4206" i="2"/>
  <c r="E4205" i="2"/>
  <c r="D4205" i="2"/>
  <c r="C4205" i="2"/>
  <c r="B4205" i="2"/>
  <c r="E4204" i="2"/>
  <c r="D4204" i="2"/>
  <c r="C4204" i="2"/>
  <c r="B4204" i="2"/>
  <c r="E4203" i="2"/>
  <c r="D4203" i="2"/>
  <c r="C4203" i="2"/>
  <c r="B4203" i="2"/>
  <c r="E4202" i="2"/>
  <c r="D4202" i="2"/>
  <c r="C4202" i="2"/>
  <c r="B4202" i="2"/>
  <c r="E4201" i="2"/>
  <c r="D4201" i="2"/>
  <c r="C4201" i="2"/>
  <c r="B4201" i="2"/>
  <c r="E4200" i="2"/>
  <c r="D4200" i="2"/>
  <c r="C4200" i="2"/>
  <c r="B4200" i="2"/>
  <c r="E4199" i="2"/>
  <c r="D4199" i="2"/>
  <c r="C4199" i="2"/>
  <c r="B4199" i="2"/>
  <c r="E4198" i="2"/>
  <c r="D4198" i="2"/>
  <c r="C4198" i="2"/>
  <c r="B4198" i="2"/>
  <c r="E4197" i="2"/>
  <c r="D4197" i="2"/>
  <c r="C4197" i="2"/>
  <c r="B4197" i="2"/>
  <c r="E4196" i="2"/>
  <c r="D4196" i="2"/>
  <c r="C4196" i="2"/>
  <c r="B4196" i="2"/>
  <c r="E4195" i="2"/>
  <c r="D4195" i="2"/>
  <c r="C4195" i="2"/>
  <c r="B4195" i="2"/>
  <c r="E4194" i="2"/>
  <c r="D4194" i="2"/>
  <c r="C4194" i="2"/>
  <c r="B4194" i="2"/>
  <c r="E4193" i="2"/>
  <c r="D4193" i="2"/>
  <c r="C4193" i="2"/>
  <c r="B4193" i="2"/>
  <c r="E4192" i="2"/>
  <c r="D4192" i="2"/>
  <c r="C4192" i="2"/>
  <c r="B4192" i="2"/>
  <c r="E4191" i="2"/>
  <c r="D4191" i="2"/>
  <c r="C4191" i="2"/>
  <c r="B4191" i="2"/>
  <c r="E4190" i="2"/>
  <c r="D4190" i="2"/>
  <c r="C4190" i="2"/>
  <c r="B4190" i="2"/>
  <c r="E4189" i="2"/>
  <c r="D4189" i="2"/>
  <c r="C4189" i="2"/>
  <c r="B4189" i="2"/>
  <c r="E4188" i="2"/>
  <c r="D4188" i="2"/>
  <c r="C4188" i="2"/>
  <c r="B4188" i="2"/>
  <c r="E4187" i="2"/>
  <c r="D4187" i="2"/>
  <c r="C4187" i="2"/>
  <c r="B4187" i="2"/>
  <c r="E4186" i="2"/>
  <c r="D4186" i="2"/>
  <c r="C4186" i="2"/>
  <c r="B4186" i="2"/>
  <c r="E4185" i="2"/>
  <c r="D4185" i="2"/>
  <c r="C4185" i="2"/>
  <c r="B4185" i="2"/>
  <c r="E4184" i="2"/>
  <c r="D4184" i="2"/>
  <c r="C4184" i="2"/>
  <c r="B4184" i="2"/>
  <c r="E4183" i="2"/>
  <c r="D4183" i="2"/>
  <c r="C4183" i="2"/>
  <c r="B4183" i="2"/>
  <c r="E4182" i="2"/>
  <c r="D4182" i="2"/>
  <c r="C4182" i="2"/>
  <c r="B4182" i="2"/>
  <c r="E4181" i="2"/>
  <c r="D4181" i="2"/>
  <c r="C4181" i="2"/>
  <c r="B4181" i="2"/>
  <c r="E4180" i="2"/>
  <c r="D4180" i="2"/>
  <c r="C4180" i="2"/>
  <c r="B4180" i="2"/>
  <c r="E4179" i="2"/>
  <c r="D4179" i="2"/>
  <c r="C4179" i="2"/>
  <c r="B4179" i="2"/>
  <c r="E4178" i="2"/>
  <c r="D4178" i="2"/>
  <c r="C4178" i="2"/>
  <c r="B4178" i="2"/>
  <c r="E4177" i="2"/>
  <c r="D4177" i="2"/>
  <c r="C4177" i="2"/>
  <c r="B4177" i="2"/>
  <c r="E4176" i="2"/>
  <c r="D4176" i="2"/>
  <c r="C4176" i="2"/>
  <c r="B4176" i="2"/>
  <c r="E4175" i="2"/>
  <c r="D4175" i="2"/>
  <c r="C4175" i="2"/>
  <c r="B4175" i="2"/>
  <c r="E4174" i="2"/>
  <c r="D4174" i="2"/>
  <c r="C4174" i="2"/>
  <c r="B4174" i="2"/>
  <c r="E4173" i="2"/>
  <c r="D4173" i="2"/>
  <c r="C4173" i="2"/>
  <c r="B4173" i="2"/>
  <c r="E4172" i="2"/>
  <c r="D4172" i="2"/>
  <c r="C4172" i="2"/>
  <c r="B4172" i="2"/>
  <c r="E4171" i="2"/>
  <c r="D4171" i="2"/>
  <c r="C4171" i="2"/>
  <c r="B4171" i="2"/>
  <c r="E4170" i="2"/>
  <c r="D4170" i="2"/>
  <c r="C4170" i="2"/>
  <c r="B4170" i="2"/>
  <c r="E4169" i="2"/>
  <c r="D4169" i="2"/>
  <c r="C4169" i="2"/>
  <c r="B4169" i="2"/>
  <c r="E4168" i="2"/>
  <c r="D4168" i="2"/>
  <c r="C4168" i="2"/>
  <c r="B4168" i="2"/>
  <c r="E4167" i="2"/>
  <c r="D4167" i="2"/>
  <c r="C4167" i="2"/>
  <c r="B4167" i="2"/>
  <c r="E4166" i="2"/>
  <c r="D4166" i="2"/>
  <c r="C4166" i="2"/>
  <c r="B4166" i="2"/>
  <c r="E4165" i="2"/>
  <c r="D4165" i="2"/>
  <c r="C4165" i="2"/>
  <c r="B4165" i="2"/>
  <c r="E4164" i="2"/>
  <c r="D4164" i="2"/>
  <c r="C4164" i="2"/>
  <c r="B4164" i="2"/>
  <c r="E4163" i="2"/>
  <c r="D4163" i="2"/>
  <c r="C4163" i="2"/>
  <c r="B4163" i="2"/>
  <c r="E4162" i="2"/>
  <c r="D4162" i="2"/>
  <c r="C4162" i="2"/>
  <c r="B4162" i="2"/>
  <c r="E4161" i="2"/>
  <c r="D4161" i="2"/>
  <c r="C4161" i="2"/>
  <c r="B4161" i="2"/>
  <c r="E4160" i="2"/>
  <c r="D4160" i="2"/>
  <c r="C4160" i="2"/>
  <c r="B4160" i="2"/>
  <c r="E4159" i="2"/>
  <c r="D4159" i="2"/>
  <c r="C4159" i="2"/>
  <c r="B4159" i="2"/>
  <c r="E4158" i="2"/>
  <c r="D4158" i="2"/>
  <c r="C4158" i="2"/>
  <c r="B4158" i="2"/>
  <c r="E4157" i="2"/>
  <c r="D4157" i="2"/>
  <c r="C4157" i="2"/>
  <c r="B4157" i="2"/>
  <c r="E4156" i="2"/>
  <c r="D4156" i="2"/>
  <c r="C4156" i="2"/>
  <c r="B4156" i="2"/>
  <c r="E4155" i="2"/>
  <c r="D4155" i="2"/>
  <c r="C4155" i="2"/>
  <c r="B4155" i="2"/>
  <c r="E4154" i="2"/>
  <c r="D4154" i="2"/>
  <c r="C4154" i="2"/>
  <c r="B4154" i="2"/>
  <c r="E4153" i="2"/>
  <c r="D4153" i="2"/>
  <c r="C4153" i="2"/>
  <c r="B4153" i="2"/>
  <c r="E4152" i="2"/>
  <c r="D4152" i="2"/>
  <c r="C4152" i="2"/>
  <c r="B4152" i="2"/>
  <c r="E4151" i="2"/>
  <c r="D4151" i="2"/>
  <c r="C4151" i="2"/>
  <c r="B4151" i="2"/>
  <c r="E4150" i="2"/>
  <c r="D4150" i="2"/>
  <c r="C4150" i="2"/>
  <c r="B4150" i="2"/>
  <c r="E4149" i="2"/>
  <c r="D4149" i="2"/>
  <c r="C4149" i="2"/>
  <c r="B4149" i="2"/>
  <c r="E4148" i="2"/>
  <c r="D4148" i="2"/>
  <c r="C4148" i="2"/>
  <c r="B4148" i="2"/>
  <c r="E4147" i="2"/>
  <c r="D4147" i="2"/>
  <c r="C4147" i="2"/>
  <c r="B4147" i="2"/>
  <c r="E4146" i="2"/>
  <c r="D4146" i="2"/>
  <c r="C4146" i="2"/>
  <c r="B4146" i="2"/>
  <c r="E4145" i="2"/>
  <c r="D4145" i="2"/>
  <c r="C4145" i="2"/>
  <c r="B4145" i="2"/>
  <c r="E4144" i="2"/>
  <c r="D4144" i="2"/>
  <c r="C4144" i="2"/>
  <c r="B4144" i="2"/>
  <c r="E4143" i="2"/>
  <c r="D4143" i="2"/>
  <c r="C4143" i="2"/>
  <c r="B4143" i="2"/>
  <c r="E4142" i="2"/>
  <c r="D4142" i="2"/>
  <c r="C4142" i="2"/>
  <c r="B4142" i="2"/>
  <c r="E4141" i="2"/>
  <c r="D4141" i="2"/>
  <c r="C4141" i="2"/>
  <c r="B4141" i="2"/>
  <c r="E4140" i="2"/>
  <c r="D4140" i="2"/>
  <c r="C4140" i="2"/>
  <c r="B4140" i="2"/>
  <c r="E4139" i="2"/>
  <c r="D4139" i="2"/>
  <c r="C4139" i="2"/>
  <c r="B4139" i="2"/>
  <c r="E4138" i="2"/>
  <c r="D4138" i="2"/>
  <c r="C4138" i="2"/>
  <c r="B4138" i="2"/>
  <c r="E4137" i="2"/>
  <c r="D4137" i="2"/>
  <c r="C4137" i="2"/>
  <c r="B4137" i="2"/>
  <c r="E4136" i="2"/>
  <c r="D4136" i="2"/>
  <c r="C4136" i="2"/>
  <c r="B4136" i="2"/>
  <c r="E4135" i="2"/>
  <c r="D4135" i="2"/>
  <c r="C4135" i="2"/>
  <c r="B4135" i="2"/>
  <c r="E4134" i="2"/>
  <c r="D4134" i="2"/>
  <c r="C4134" i="2"/>
  <c r="B4134" i="2"/>
  <c r="E4133" i="2"/>
  <c r="D4133" i="2"/>
  <c r="C4133" i="2"/>
  <c r="B4133" i="2"/>
  <c r="E4132" i="2"/>
  <c r="D4132" i="2"/>
  <c r="C4132" i="2"/>
  <c r="B4132" i="2"/>
  <c r="E4131" i="2"/>
  <c r="D4131" i="2"/>
  <c r="C4131" i="2"/>
  <c r="B4131" i="2"/>
  <c r="E4130" i="2"/>
  <c r="D4130" i="2"/>
  <c r="C4130" i="2"/>
  <c r="B4130" i="2"/>
  <c r="E4129" i="2"/>
  <c r="D4129" i="2"/>
  <c r="C4129" i="2"/>
  <c r="B4129" i="2"/>
  <c r="E4128" i="2"/>
  <c r="D4128" i="2"/>
  <c r="C4128" i="2"/>
  <c r="B4128" i="2"/>
  <c r="E4127" i="2"/>
  <c r="D4127" i="2"/>
  <c r="C4127" i="2"/>
  <c r="B4127" i="2"/>
  <c r="E4126" i="2"/>
  <c r="D4126" i="2"/>
  <c r="C4126" i="2"/>
  <c r="B4126" i="2"/>
  <c r="E4125" i="2"/>
  <c r="D4125" i="2"/>
  <c r="C4125" i="2"/>
  <c r="B4125" i="2"/>
  <c r="E4124" i="2"/>
  <c r="D4124" i="2"/>
  <c r="C4124" i="2"/>
  <c r="B4124" i="2"/>
  <c r="E4123" i="2"/>
  <c r="D4123" i="2"/>
  <c r="C4123" i="2"/>
  <c r="B4123" i="2"/>
  <c r="E4122" i="2"/>
  <c r="D4122" i="2"/>
  <c r="C4122" i="2"/>
  <c r="B4122" i="2"/>
  <c r="E4121" i="2"/>
  <c r="D4121" i="2"/>
  <c r="C4121" i="2"/>
  <c r="B4121" i="2"/>
  <c r="E4120" i="2"/>
  <c r="D4120" i="2"/>
  <c r="C4120" i="2"/>
  <c r="B4120" i="2"/>
  <c r="E4119" i="2"/>
  <c r="D4119" i="2"/>
  <c r="C4119" i="2"/>
  <c r="B4119" i="2"/>
  <c r="E4118" i="2"/>
  <c r="D4118" i="2"/>
  <c r="C4118" i="2"/>
  <c r="B4118" i="2"/>
  <c r="E4117" i="2"/>
  <c r="D4117" i="2"/>
  <c r="C4117" i="2"/>
  <c r="B4117" i="2"/>
  <c r="E4116" i="2"/>
  <c r="D4116" i="2"/>
  <c r="C4116" i="2"/>
  <c r="B4116" i="2"/>
  <c r="E4115" i="2"/>
  <c r="D4115" i="2"/>
  <c r="C4115" i="2"/>
  <c r="B4115" i="2"/>
  <c r="E4114" i="2"/>
  <c r="D4114" i="2"/>
  <c r="C4114" i="2"/>
  <c r="B4114" i="2"/>
  <c r="E4113" i="2"/>
  <c r="D4113" i="2"/>
  <c r="C4113" i="2"/>
  <c r="B4113" i="2"/>
  <c r="E4112" i="2"/>
  <c r="D4112" i="2"/>
  <c r="C4112" i="2"/>
  <c r="B4112" i="2"/>
  <c r="E4111" i="2"/>
  <c r="D4111" i="2"/>
  <c r="C4111" i="2"/>
  <c r="B4111" i="2"/>
  <c r="E4110" i="2"/>
  <c r="D4110" i="2"/>
  <c r="C4110" i="2"/>
  <c r="B4110" i="2"/>
  <c r="E4109" i="2"/>
  <c r="D4109" i="2"/>
  <c r="C4109" i="2"/>
  <c r="B4109" i="2"/>
  <c r="E4108" i="2"/>
  <c r="D4108" i="2"/>
  <c r="C4108" i="2"/>
  <c r="B4108" i="2"/>
  <c r="E4107" i="2"/>
  <c r="D4107" i="2"/>
  <c r="C4107" i="2"/>
  <c r="B4107" i="2"/>
  <c r="E4106" i="2"/>
  <c r="D4106" i="2"/>
  <c r="C4106" i="2"/>
  <c r="B4106" i="2"/>
  <c r="E4105" i="2"/>
  <c r="D4105" i="2"/>
  <c r="C4105" i="2"/>
  <c r="B4105" i="2"/>
  <c r="E4104" i="2"/>
  <c r="D4104" i="2"/>
  <c r="C4104" i="2"/>
  <c r="B4104" i="2"/>
  <c r="E4103" i="2"/>
  <c r="D4103" i="2"/>
  <c r="C4103" i="2"/>
  <c r="B4103" i="2"/>
  <c r="E4102" i="2"/>
  <c r="D4102" i="2"/>
  <c r="C4102" i="2"/>
  <c r="B4102" i="2"/>
  <c r="E4101" i="2"/>
  <c r="D4101" i="2"/>
  <c r="C4101" i="2"/>
  <c r="B4101" i="2"/>
  <c r="E4100" i="2"/>
  <c r="D4100" i="2"/>
  <c r="C4100" i="2"/>
  <c r="B4100" i="2"/>
  <c r="E4099" i="2"/>
  <c r="D4099" i="2"/>
  <c r="C4099" i="2"/>
  <c r="B4099" i="2"/>
  <c r="E4098" i="2"/>
  <c r="D4098" i="2"/>
  <c r="C4098" i="2"/>
  <c r="B4098" i="2"/>
  <c r="E4097" i="2"/>
  <c r="D4097" i="2"/>
  <c r="C4097" i="2"/>
  <c r="B4097" i="2"/>
  <c r="E4096" i="2"/>
  <c r="D4096" i="2"/>
  <c r="C4096" i="2"/>
  <c r="B4096" i="2"/>
  <c r="E4095" i="2"/>
  <c r="D4095" i="2"/>
  <c r="C4095" i="2"/>
  <c r="B4095" i="2"/>
  <c r="E4094" i="2"/>
  <c r="D4094" i="2"/>
  <c r="C4094" i="2"/>
  <c r="B4094" i="2"/>
  <c r="E4093" i="2"/>
  <c r="D4093" i="2"/>
  <c r="C4093" i="2"/>
  <c r="B4093" i="2"/>
  <c r="E4092" i="2"/>
  <c r="D4092" i="2"/>
  <c r="C4092" i="2"/>
  <c r="B4092" i="2"/>
  <c r="E4091" i="2"/>
  <c r="D4091" i="2"/>
  <c r="C4091" i="2"/>
  <c r="B4091" i="2"/>
  <c r="E4090" i="2"/>
  <c r="D4090" i="2"/>
  <c r="C4090" i="2"/>
  <c r="B4090" i="2"/>
  <c r="E4089" i="2"/>
  <c r="D4089" i="2"/>
  <c r="C4089" i="2"/>
  <c r="B4089" i="2"/>
  <c r="E4088" i="2"/>
  <c r="D4088" i="2"/>
  <c r="C4088" i="2"/>
  <c r="B4088" i="2"/>
  <c r="E4087" i="2"/>
  <c r="D4087" i="2"/>
  <c r="C4087" i="2"/>
  <c r="B4087" i="2"/>
  <c r="E4086" i="2"/>
  <c r="D4086" i="2"/>
  <c r="C4086" i="2"/>
  <c r="B4086" i="2"/>
  <c r="E4085" i="2"/>
  <c r="D4085" i="2"/>
  <c r="C4085" i="2"/>
  <c r="B4085" i="2"/>
  <c r="E4084" i="2"/>
  <c r="D4084" i="2"/>
  <c r="C4084" i="2"/>
  <c r="B4084" i="2"/>
  <c r="E4083" i="2"/>
  <c r="D4083" i="2"/>
  <c r="C4083" i="2"/>
  <c r="B4083" i="2"/>
  <c r="E4082" i="2"/>
  <c r="D4082" i="2"/>
  <c r="C4082" i="2"/>
  <c r="B4082" i="2"/>
  <c r="E4081" i="2"/>
  <c r="D4081" i="2"/>
  <c r="C4081" i="2"/>
  <c r="B4081" i="2"/>
  <c r="E4080" i="2"/>
  <c r="D4080" i="2"/>
  <c r="C4080" i="2"/>
  <c r="B4080" i="2"/>
  <c r="E4079" i="2"/>
  <c r="D4079" i="2"/>
  <c r="C4079" i="2"/>
  <c r="B4079" i="2"/>
  <c r="E4078" i="2"/>
  <c r="D4078" i="2"/>
  <c r="C4078" i="2"/>
  <c r="B4078" i="2"/>
  <c r="E4077" i="2"/>
  <c r="D4077" i="2"/>
  <c r="C4077" i="2"/>
  <c r="B4077" i="2"/>
  <c r="E4076" i="2"/>
  <c r="D4076" i="2"/>
  <c r="C4076" i="2"/>
  <c r="B4076" i="2"/>
  <c r="E4075" i="2"/>
  <c r="D4075" i="2"/>
  <c r="C4075" i="2"/>
  <c r="B4075" i="2"/>
  <c r="E4074" i="2"/>
  <c r="D4074" i="2"/>
  <c r="C4074" i="2"/>
  <c r="B4074" i="2"/>
  <c r="E4073" i="2"/>
  <c r="D4073" i="2"/>
  <c r="C4073" i="2"/>
  <c r="B4073" i="2"/>
  <c r="E4072" i="2"/>
  <c r="D4072" i="2"/>
  <c r="C4072" i="2"/>
  <c r="B4072" i="2"/>
  <c r="E4071" i="2"/>
  <c r="D4071" i="2"/>
  <c r="C4071" i="2"/>
  <c r="B4071" i="2"/>
  <c r="E4070" i="2"/>
  <c r="D4070" i="2"/>
  <c r="C4070" i="2"/>
  <c r="B4070" i="2"/>
  <c r="E4069" i="2"/>
  <c r="D4069" i="2"/>
  <c r="C4069" i="2"/>
  <c r="B4069" i="2"/>
  <c r="E4068" i="2"/>
  <c r="D4068" i="2"/>
  <c r="C4068" i="2"/>
  <c r="B4068" i="2"/>
  <c r="E4067" i="2"/>
  <c r="D4067" i="2"/>
  <c r="C4067" i="2"/>
  <c r="B4067" i="2"/>
  <c r="E4066" i="2"/>
  <c r="D4066" i="2"/>
  <c r="C4066" i="2"/>
  <c r="B4066" i="2"/>
  <c r="E4065" i="2"/>
  <c r="D4065" i="2"/>
  <c r="C4065" i="2"/>
  <c r="B4065" i="2"/>
  <c r="E4064" i="2"/>
  <c r="D4064" i="2"/>
  <c r="C4064" i="2"/>
  <c r="B4064" i="2"/>
  <c r="E4063" i="2"/>
  <c r="D4063" i="2"/>
  <c r="C4063" i="2"/>
  <c r="B4063" i="2"/>
  <c r="E4062" i="2"/>
  <c r="D4062" i="2"/>
  <c r="C4062" i="2"/>
  <c r="B4062" i="2"/>
  <c r="E4061" i="2"/>
  <c r="D4061" i="2"/>
  <c r="C4061" i="2"/>
  <c r="B4061" i="2"/>
  <c r="E4060" i="2"/>
  <c r="D4060" i="2"/>
  <c r="C4060" i="2"/>
  <c r="B4060" i="2"/>
  <c r="E4059" i="2"/>
  <c r="D4059" i="2"/>
  <c r="C4059" i="2"/>
  <c r="B4059" i="2"/>
  <c r="E4058" i="2"/>
  <c r="D4058" i="2"/>
  <c r="C4058" i="2"/>
  <c r="B4058" i="2"/>
  <c r="E4057" i="2"/>
  <c r="D4057" i="2"/>
  <c r="C4057" i="2"/>
  <c r="B4057" i="2"/>
  <c r="E4056" i="2"/>
  <c r="D4056" i="2"/>
  <c r="C4056" i="2"/>
  <c r="B4056" i="2"/>
  <c r="E4055" i="2"/>
  <c r="D4055" i="2"/>
  <c r="C4055" i="2"/>
  <c r="B4055" i="2"/>
  <c r="E4054" i="2"/>
  <c r="D4054" i="2"/>
  <c r="C4054" i="2"/>
  <c r="B4054" i="2"/>
  <c r="E4053" i="2"/>
  <c r="D4053" i="2"/>
  <c r="C4053" i="2"/>
  <c r="B4053" i="2"/>
  <c r="E4052" i="2"/>
  <c r="D4052" i="2"/>
  <c r="C4052" i="2"/>
  <c r="B4052" i="2"/>
  <c r="E4051" i="2"/>
  <c r="D4051" i="2"/>
  <c r="C4051" i="2"/>
  <c r="B4051" i="2"/>
  <c r="E4050" i="2"/>
  <c r="D4050" i="2"/>
  <c r="C4050" i="2"/>
  <c r="B4050" i="2"/>
  <c r="E4049" i="2"/>
  <c r="D4049" i="2"/>
  <c r="C4049" i="2"/>
  <c r="B4049" i="2"/>
  <c r="E4048" i="2"/>
  <c r="D4048" i="2"/>
  <c r="C4048" i="2"/>
  <c r="B4048" i="2"/>
  <c r="E4047" i="2"/>
  <c r="D4047" i="2"/>
  <c r="C4047" i="2"/>
  <c r="B4047" i="2"/>
  <c r="E4046" i="2"/>
  <c r="D4046" i="2"/>
  <c r="C4046" i="2"/>
  <c r="B4046" i="2"/>
  <c r="E4045" i="2"/>
  <c r="D4045" i="2"/>
  <c r="C4045" i="2"/>
  <c r="B4045" i="2"/>
  <c r="E4044" i="2"/>
  <c r="D4044" i="2"/>
  <c r="C4044" i="2"/>
  <c r="B4044" i="2"/>
  <c r="E4043" i="2"/>
  <c r="D4043" i="2"/>
  <c r="C4043" i="2"/>
  <c r="B4043" i="2"/>
  <c r="E4042" i="2"/>
  <c r="D4042" i="2"/>
  <c r="C4042" i="2"/>
  <c r="B4042" i="2"/>
  <c r="E4041" i="2"/>
  <c r="D4041" i="2"/>
  <c r="C4041" i="2"/>
  <c r="B4041" i="2"/>
  <c r="E4040" i="2"/>
  <c r="D4040" i="2"/>
  <c r="C4040" i="2"/>
  <c r="B4040" i="2"/>
  <c r="E4039" i="2"/>
  <c r="D4039" i="2"/>
  <c r="C4039" i="2"/>
  <c r="B4039" i="2"/>
  <c r="E4038" i="2"/>
  <c r="D4038" i="2"/>
  <c r="C4038" i="2"/>
  <c r="B4038" i="2"/>
  <c r="E4037" i="2"/>
  <c r="D4037" i="2"/>
  <c r="C4037" i="2"/>
  <c r="B4037" i="2"/>
  <c r="E4036" i="2"/>
  <c r="D4036" i="2"/>
  <c r="C4036" i="2"/>
  <c r="B4036" i="2"/>
  <c r="E4035" i="2"/>
  <c r="D4035" i="2"/>
  <c r="C4035" i="2"/>
  <c r="B4035" i="2"/>
  <c r="E4034" i="2"/>
  <c r="D4034" i="2"/>
  <c r="C4034" i="2"/>
  <c r="B4034" i="2"/>
  <c r="E4033" i="2"/>
  <c r="D4033" i="2"/>
  <c r="C4033" i="2"/>
  <c r="B4033" i="2"/>
  <c r="E4032" i="2"/>
  <c r="D4032" i="2"/>
  <c r="C4032" i="2"/>
  <c r="B4032" i="2"/>
  <c r="E4031" i="2"/>
  <c r="D4031" i="2"/>
  <c r="C4031" i="2"/>
  <c r="B4031" i="2"/>
  <c r="E4030" i="2"/>
  <c r="D4030" i="2"/>
  <c r="C4030" i="2"/>
  <c r="B4030" i="2"/>
  <c r="E4029" i="2"/>
  <c r="D4029" i="2"/>
  <c r="C4029" i="2"/>
  <c r="B4029" i="2"/>
  <c r="E4028" i="2"/>
  <c r="D4028" i="2"/>
  <c r="C4028" i="2"/>
  <c r="B4028" i="2"/>
  <c r="E4027" i="2"/>
  <c r="D4027" i="2"/>
  <c r="C4027" i="2"/>
  <c r="B4027" i="2"/>
  <c r="E4026" i="2"/>
  <c r="D4026" i="2"/>
  <c r="C4026" i="2"/>
  <c r="B4026" i="2"/>
  <c r="E4025" i="2"/>
  <c r="D4025" i="2"/>
  <c r="C4025" i="2"/>
  <c r="B4025" i="2"/>
  <c r="E4024" i="2"/>
  <c r="D4024" i="2"/>
  <c r="C4024" i="2"/>
  <c r="B4024" i="2"/>
  <c r="E4023" i="2"/>
  <c r="D4023" i="2"/>
  <c r="C4023" i="2"/>
  <c r="B4023" i="2"/>
  <c r="E4022" i="2"/>
  <c r="D4022" i="2"/>
  <c r="C4022" i="2"/>
  <c r="B4022" i="2"/>
  <c r="E4021" i="2"/>
  <c r="D4021" i="2"/>
  <c r="C4021" i="2"/>
  <c r="B4021" i="2"/>
  <c r="E4020" i="2"/>
  <c r="D4020" i="2"/>
  <c r="C4020" i="2"/>
  <c r="B4020" i="2"/>
  <c r="E4019" i="2"/>
  <c r="D4019" i="2"/>
  <c r="C4019" i="2"/>
  <c r="B4019" i="2"/>
  <c r="E4018" i="2"/>
  <c r="D4018" i="2"/>
  <c r="C4018" i="2"/>
  <c r="B4018" i="2"/>
  <c r="E4017" i="2"/>
  <c r="D4017" i="2"/>
  <c r="C4017" i="2"/>
  <c r="B4017" i="2"/>
  <c r="E4016" i="2"/>
  <c r="D4016" i="2"/>
  <c r="C4016" i="2"/>
  <c r="B4016" i="2"/>
  <c r="E4015" i="2"/>
  <c r="D4015" i="2"/>
  <c r="C4015" i="2"/>
  <c r="B4015" i="2"/>
  <c r="E4014" i="2"/>
  <c r="D4014" i="2"/>
  <c r="C4014" i="2"/>
  <c r="B4014" i="2"/>
  <c r="E4013" i="2"/>
  <c r="D4013" i="2"/>
  <c r="C4013" i="2"/>
  <c r="B4013" i="2"/>
  <c r="E4012" i="2"/>
  <c r="D4012" i="2"/>
  <c r="C4012" i="2"/>
  <c r="B4012" i="2"/>
  <c r="E4011" i="2"/>
  <c r="D4011" i="2"/>
  <c r="C4011" i="2"/>
  <c r="B4011" i="2"/>
  <c r="E4010" i="2"/>
  <c r="D4010" i="2"/>
  <c r="C4010" i="2"/>
  <c r="B4010" i="2"/>
  <c r="E4009" i="2"/>
  <c r="D4009" i="2"/>
  <c r="C4009" i="2"/>
  <c r="B4009" i="2"/>
  <c r="E4008" i="2"/>
  <c r="D4008" i="2"/>
  <c r="C4008" i="2"/>
  <c r="B4008" i="2"/>
  <c r="E4007" i="2"/>
  <c r="D4007" i="2"/>
  <c r="C4007" i="2"/>
  <c r="B4007" i="2"/>
  <c r="E4006" i="2"/>
  <c r="D4006" i="2"/>
  <c r="C4006" i="2"/>
  <c r="B4006" i="2"/>
  <c r="E4005" i="2"/>
  <c r="D4005" i="2"/>
  <c r="C4005" i="2"/>
  <c r="B4005" i="2"/>
  <c r="E4004" i="2"/>
  <c r="D4004" i="2"/>
  <c r="C4004" i="2"/>
  <c r="B4004" i="2"/>
  <c r="E4003" i="2"/>
  <c r="D4003" i="2"/>
  <c r="C4003" i="2"/>
  <c r="B4003" i="2"/>
  <c r="E4002" i="2"/>
  <c r="D4002" i="2"/>
  <c r="C4002" i="2"/>
  <c r="B4002" i="2"/>
  <c r="E4001" i="2"/>
  <c r="D4001" i="2"/>
  <c r="C4001" i="2"/>
  <c r="B4001" i="2"/>
  <c r="E4000" i="2"/>
  <c r="D4000" i="2"/>
  <c r="C4000" i="2"/>
  <c r="B4000" i="2"/>
  <c r="E3999" i="2"/>
  <c r="D3999" i="2"/>
  <c r="C3999" i="2"/>
  <c r="B3999" i="2"/>
  <c r="E3998" i="2"/>
  <c r="D3998" i="2"/>
  <c r="C3998" i="2"/>
  <c r="B3998" i="2"/>
  <c r="E3997" i="2"/>
  <c r="D3997" i="2"/>
  <c r="C3997" i="2"/>
  <c r="B3997" i="2"/>
  <c r="E3996" i="2"/>
  <c r="D3996" i="2"/>
  <c r="C3996" i="2"/>
  <c r="B3996" i="2"/>
  <c r="E3995" i="2"/>
  <c r="D3995" i="2"/>
  <c r="C3995" i="2"/>
  <c r="B3995" i="2"/>
  <c r="E3994" i="2"/>
  <c r="D3994" i="2"/>
  <c r="C3994" i="2"/>
  <c r="B3994" i="2"/>
  <c r="E3993" i="2"/>
  <c r="D3993" i="2"/>
  <c r="C3993" i="2"/>
  <c r="B3993" i="2"/>
  <c r="E3992" i="2"/>
  <c r="D3992" i="2"/>
  <c r="C3992" i="2"/>
  <c r="B3992" i="2"/>
  <c r="E3991" i="2"/>
  <c r="D3991" i="2"/>
  <c r="C3991" i="2"/>
  <c r="B3991" i="2"/>
  <c r="E3990" i="2"/>
  <c r="D3990" i="2"/>
  <c r="C3990" i="2"/>
  <c r="B3990" i="2"/>
  <c r="E3989" i="2"/>
  <c r="D3989" i="2"/>
  <c r="C3989" i="2"/>
  <c r="B3989" i="2"/>
  <c r="E3988" i="2"/>
  <c r="D3988" i="2"/>
  <c r="C3988" i="2"/>
  <c r="B3988" i="2"/>
  <c r="E3987" i="2"/>
  <c r="D3987" i="2"/>
  <c r="C3987" i="2"/>
  <c r="B3987" i="2"/>
  <c r="E3986" i="2"/>
  <c r="D3986" i="2"/>
  <c r="C3986" i="2"/>
  <c r="B3986" i="2"/>
  <c r="E3985" i="2"/>
  <c r="D3985" i="2"/>
  <c r="C3985" i="2"/>
  <c r="B3985" i="2"/>
  <c r="E3984" i="2"/>
  <c r="D3984" i="2"/>
  <c r="C3984" i="2"/>
  <c r="B3984" i="2"/>
  <c r="E3983" i="2"/>
  <c r="D3983" i="2"/>
  <c r="C3983" i="2"/>
  <c r="B3983" i="2"/>
  <c r="E3982" i="2"/>
  <c r="D3982" i="2"/>
  <c r="C3982" i="2"/>
  <c r="B3982" i="2"/>
  <c r="E3981" i="2"/>
  <c r="D3981" i="2"/>
  <c r="C3981" i="2"/>
  <c r="B3981" i="2"/>
  <c r="E3980" i="2"/>
  <c r="D3980" i="2"/>
  <c r="C3980" i="2"/>
  <c r="B3980" i="2"/>
  <c r="E3979" i="2"/>
  <c r="D3979" i="2"/>
  <c r="C3979" i="2"/>
  <c r="B3979" i="2"/>
  <c r="E3978" i="2"/>
  <c r="D3978" i="2"/>
  <c r="C3978" i="2"/>
  <c r="B3978" i="2"/>
  <c r="E3977" i="2"/>
  <c r="D3977" i="2"/>
  <c r="C3977" i="2"/>
  <c r="B3977" i="2"/>
  <c r="E3976" i="2"/>
  <c r="D3976" i="2"/>
  <c r="C3976" i="2"/>
  <c r="B3976" i="2"/>
  <c r="E3975" i="2"/>
  <c r="D3975" i="2"/>
  <c r="C3975" i="2"/>
  <c r="B3975" i="2"/>
  <c r="E3974" i="2"/>
  <c r="D3974" i="2"/>
  <c r="C3974" i="2"/>
  <c r="B3974" i="2"/>
  <c r="E3973" i="2"/>
  <c r="D3973" i="2"/>
  <c r="C3973" i="2"/>
  <c r="B3973" i="2"/>
  <c r="E3972" i="2"/>
  <c r="D3972" i="2"/>
  <c r="C3972" i="2"/>
  <c r="B3972" i="2"/>
  <c r="E3971" i="2"/>
  <c r="D3971" i="2"/>
  <c r="C3971" i="2"/>
  <c r="B3971" i="2"/>
  <c r="E3970" i="2"/>
  <c r="D3970" i="2"/>
  <c r="C3970" i="2"/>
  <c r="B3970" i="2"/>
  <c r="E3969" i="2"/>
  <c r="D3969" i="2"/>
  <c r="C3969" i="2"/>
  <c r="B3969" i="2"/>
  <c r="E3968" i="2"/>
  <c r="D3968" i="2"/>
  <c r="C3968" i="2"/>
  <c r="B3968" i="2"/>
  <c r="E3967" i="2"/>
  <c r="D3967" i="2"/>
  <c r="C3967" i="2"/>
  <c r="B3967" i="2"/>
  <c r="E3966" i="2"/>
  <c r="D3966" i="2"/>
  <c r="C3966" i="2"/>
  <c r="B3966" i="2"/>
  <c r="E3965" i="2"/>
  <c r="D3965" i="2"/>
  <c r="C3965" i="2"/>
  <c r="B3965" i="2"/>
  <c r="E3964" i="2"/>
  <c r="D3964" i="2"/>
  <c r="C3964" i="2"/>
  <c r="B3964" i="2"/>
  <c r="E3963" i="2"/>
  <c r="D3963" i="2"/>
  <c r="C3963" i="2"/>
  <c r="B3963" i="2"/>
  <c r="E3962" i="2"/>
  <c r="D3962" i="2"/>
  <c r="C3962" i="2"/>
  <c r="B3962" i="2"/>
  <c r="E3961" i="2"/>
  <c r="D3961" i="2"/>
  <c r="C3961" i="2"/>
  <c r="B3961" i="2"/>
  <c r="E3960" i="2"/>
  <c r="D3960" i="2"/>
  <c r="C3960" i="2"/>
  <c r="B3960" i="2"/>
  <c r="E3959" i="2"/>
  <c r="D3959" i="2"/>
  <c r="C3959" i="2"/>
  <c r="B3959" i="2"/>
  <c r="E3958" i="2"/>
  <c r="D3958" i="2"/>
  <c r="C3958" i="2"/>
  <c r="B3958" i="2"/>
  <c r="E3957" i="2"/>
  <c r="D3957" i="2"/>
  <c r="C3957" i="2"/>
  <c r="B3957" i="2"/>
  <c r="E3956" i="2"/>
  <c r="D3956" i="2"/>
  <c r="C3956" i="2"/>
  <c r="B3956" i="2"/>
  <c r="E3955" i="2"/>
  <c r="D3955" i="2"/>
  <c r="C3955" i="2"/>
  <c r="B3955" i="2"/>
  <c r="E3954" i="2"/>
  <c r="D3954" i="2"/>
  <c r="C3954" i="2"/>
  <c r="B3954" i="2"/>
  <c r="E3953" i="2"/>
  <c r="D3953" i="2"/>
  <c r="C3953" i="2"/>
  <c r="B3953" i="2"/>
  <c r="E3952" i="2"/>
  <c r="D3952" i="2"/>
  <c r="C3952" i="2"/>
  <c r="B3952" i="2"/>
  <c r="E3951" i="2"/>
  <c r="D3951" i="2"/>
  <c r="C3951" i="2"/>
  <c r="B3951" i="2"/>
  <c r="E3950" i="2"/>
  <c r="D3950" i="2"/>
  <c r="C3950" i="2"/>
  <c r="B3950" i="2"/>
  <c r="E3949" i="2"/>
  <c r="D3949" i="2"/>
  <c r="C3949" i="2"/>
  <c r="B3949" i="2"/>
  <c r="E3948" i="2"/>
  <c r="D3948" i="2"/>
  <c r="C3948" i="2"/>
  <c r="B3948" i="2"/>
  <c r="E3947" i="2"/>
  <c r="D3947" i="2"/>
  <c r="C3947" i="2"/>
  <c r="B3947" i="2"/>
  <c r="E3946" i="2"/>
  <c r="D3946" i="2"/>
  <c r="C3946" i="2"/>
  <c r="B3946" i="2"/>
  <c r="E3945" i="2"/>
  <c r="D3945" i="2"/>
  <c r="C3945" i="2"/>
  <c r="B3945" i="2"/>
  <c r="E3944" i="2"/>
  <c r="D3944" i="2"/>
  <c r="C3944" i="2"/>
  <c r="B3944" i="2"/>
  <c r="E3943" i="2"/>
  <c r="D3943" i="2"/>
  <c r="C3943" i="2"/>
  <c r="B3943" i="2"/>
  <c r="E3942" i="2"/>
  <c r="D3942" i="2"/>
  <c r="C3942" i="2"/>
  <c r="B3942" i="2"/>
  <c r="E3941" i="2"/>
  <c r="D3941" i="2"/>
  <c r="C3941" i="2"/>
  <c r="B3941" i="2"/>
  <c r="E3940" i="2"/>
  <c r="D3940" i="2"/>
  <c r="C3940" i="2"/>
  <c r="B3940" i="2"/>
  <c r="E3939" i="2"/>
  <c r="D3939" i="2"/>
  <c r="C3939" i="2"/>
  <c r="B3939" i="2"/>
  <c r="E3938" i="2"/>
  <c r="D3938" i="2"/>
  <c r="C3938" i="2"/>
  <c r="B3938" i="2"/>
  <c r="E3937" i="2"/>
  <c r="D3937" i="2"/>
  <c r="C3937" i="2"/>
  <c r="B3937" i="2"/>
  <c r="E3936" i="2"/>
  <c r="D3936" i="2"/>
  <c r="C3936" i="2"/>
  <c r="B3936" i="2"/>
  <c r="E3935" i="2"/>
  <c r="D3935" i="2"/>
  <c r="C3935" i="2"/>
  <c r="B3935" i="2"/>
  <c r="E3934" i="2"/>
  <c r="D3934" i="2"/>
  <c r="C3934" i="2"/>
  <c r="B3934" i="2"/>
  <c r="E3933" i="2"/>
  <c r="D3933" i="2"/>
  <c r="C3933" i="2"/>
  <c r="B3933" i="2"/>
  <c r="E3932" i="2"/>
  <c r="D3932" i="2"/>
  <c r="C3932" i="2"/>
  <c r="B3932" i="2"/>
  <c r="E3931" i="2"/>
  <c r="D3931" i="2"/>
  <c r="C3931" i="2"/>
  <c r="B3931" i="2"/>
  <c r="E3930" i="2"/>
  <c r="D3930" i="2"/>
  <c r="C3930" i="2"/>
  <c r="B3930" i="2"/>
  <c r="E3929" i="2"/>
  <c r="D3929" i="2"/>
  <c r="C3929" i="2"/>
  <c r="B3929" i="2"/>
  <c r="E3928" i="2"/>
  <c r="D3928" i="2"/>
  <c r="C3928" i="2"/>
  <c r="B3928" i="2"/>
  <c r="E3927" i="2"/>
  <c r="D3927" i="2"/>
  <c r="C3927" i="2"/>
  <c r="B3927" i="2"/>
  <c r="E3926" i="2"/>
  <c r="D3926" i="2"/>
  <c r="C3926" i="2"/>
  <c r="B3926" i="2"/>
  <c r="E3925" i="2"/>
  <c r="D3925" i="2"/>
  <c r="C3925" i="2"/>
  <c r="B3925" i="2"/>
  <c r="E3924" i="2"/>
  <c r="D3924" i="2"/>
  <c r="C3924" i="2"/>
  <c r="B3924" i="2"/>
  <c r="E3923" i="2"/>
  <c r="D3923" i="2"/>
  <c r="C3923" i="2"/>
  <c r="B3923" i="2"/>
  <c r="E3922" i="2"/>
  <c r="D3922" i="2"/>
  <c r="C3922" i="2"/>
  <c r="B3922" i="2"/>
  <c r="E3921" i="2"/>
  <c r="D3921" i="2"/>
  <c r="C3921" i="2"/>
  <c r="B3921" i="2"/>
  <c r="E3920" i="2"/>
  <c r="D3920" i="2"/>
  <c r="C3920" i="2"/>
  <c r="B3920" i="2"/>
  <c r="E3919" i="2"/>
  <c r="D3919" i="2"/>
  <c r="C3919" i="2"/>
  <c r="B3919" i="2"/>
  <c r="E3918" i="2"/>
  <c r="D3918" i="2"/>
  <c r="C3918" i="2"/>
  <c r="B3918" i="2"/>
  <c r="E3917" i="2"/>
  <c r="D3917" i="2"/>
  <c r="C3917" i="2"/>
  <c r="B3917" i="2"/>
  <c r="E3916" i="2"/>
  <c r="D3916" i="2"/>
  <c r="C3916" i="2"/>
  <c r="B3916" i="2"/>
  <c r="E3915" i="2"/>
  <c r="D3915" i="2"/>
  <c r="C3915" i="2"/>
  <c r="B3915" i="2"/>
  <c r="E3914" i="2"/>
  <c r="D3914" i="2"/>
  <c r="C3914" i="2"/>
  <c r="B3914" i="2"/>
  <c r="E3913" i="2"/>
  <c r="D3913" i="2"/>
  <c r="C3913" i="2"/>
  <c r="B3913" i="2"/>
  <c r="E3912" i="2"/>
  <c r="D3912" i="2"/>
  <c r="C3912" i="2"/>
  <c r="B3912" i="2"/>
  <c r="E3911" i="2"/>
  <c r="D3911" i="2"/>
  <c r="C3911" i="2"/>
  <c r="B3911" i="2"/>
  <c r="E3910" i="2"/>
  <c r="D3910" i="2"/>
  <c r="C3910" i="2"/>
  <c r="B3910" i="2"/>
  <c r="E3909" i="2"/>
  <c r="D3909" i="2"/>
  <c r="C3909" i="2"/>
  <c r="B3909" i="2"/>
  <c r="E3908" i="2"/>
  <c r="D3908" i="2"/>
  <c r="C3908" i="2"/>
  <c r="B3908" i="2"/>
  <c r="E3907" i="2"/>
  <c r="D3907" i="2"/>
  <c r="C3907" i="2"/>
  <c r="B3907" i="2"/>
  <c r="E3906" i="2"/>
  <c r="D3906" i="2"/>
  <c r="C3906" i="2"/>
  <c r="B3906" i="2"/>
  <c r="E3905" i="2"/>
  <c r="D3905" i="2"/>
  <c r="C3905" i="2"/>
  <c r="B3905" i="2"/>
  <c r="E3904" i="2"/>
  <c r="D3904" i="2"/>
  <c r="C3904" i="2"/>
  <c r="B3904" i="2"/>
  <c r="E3903" i="2"/>
  <c r="D3903" i="2"/>
  <c r="C3903" i="2"/>
  <c r="B3903" i="2"/>
  <c r="E3902" i="2"/>
  <c r="D3902" i="2"/>
  <c r="C3902" i="2"/>
  <c r="B3902" i="2"/>
  <c r="E3901" i="2"/>
  <c r="D3901" i="2"/>
  <c r="C3901" i="2"/>
  <c r="B3901" i="2"/>
  <c r="E3900" i="2"/>
  <c r="D3900" i="2"/>
  <c r="C3900" i="2"/>
  <c r="B3900" i="2"/>
  <c r="E3899" i="2"/>
  <c r="D3899" i="2"/>
  <c r="C3899" i="2"/>
  <c r="B3899" i="2"/>
  <c r="E3898" i="2"/>
  <c r="D3898" i="2"/>
  <c r="C3898" i="2"/>
  <c r="B3898" i="2"/>
  <c r="E3897" i="2"/>
  <c r="D3897" i="2"/>
  <c r="C3897" i="2"/>
  <c r="B3897" i="2"/>
  <c r="E3896" i="2"/>
  <c r="D3896" i="2"/>
  <c r="C3896" i="2"/>
  <c r="B3896" i="2"/>
  <c r="E3895" i="2"/>
  <c r="D3895" i="2"/>
  <c r="C3895" i="2"/>
  <c r="B3895" i="2"/>
  <c r="E3894" i="2"/>
  <c r="D3894" i="2"/>
  <c r="C3894" i="2"/>
  <c r="B3894" i="2"/>
  <c r="E3893" i="2"/>
  <c r="D3893" i="2"/>
  <c r="C3893" i="2"/>
  <c r="B3893" i="2"/>
  <c r="E3892" i="2"/>
  <c r="D3892" i="2"/>
  <c r="C3892" i="2"/>
  <c r="B3892" i="2"/>
  <c r="E3891" i="2"/>
  <c r="D3891" i="2"/>
  <c r="C3891" i="2"/>
  <c r="B3891" i="2"/>
  <c r="E3890" i="2"/>
  <c r="D3890" i="2"/>
  <c r="C3890" i="2"/>
  <c r="B3890" i="2"/>
  <c r="E3889" i="2"/>
  <c r="D3889" i="2"/>
  <c r="C3889" i="2"/>
  <c r="B3889" i="2"/>
  <c r="E3888" i="2"/>
  <c r="D3888" i="2"/>
  <c r="C3888" i="2"/>
  <c r="B3888" i="2"/>
  <c r="E3887" i="2"/>
  <c r="D3887" i="2"/>
  <c r="C3887" i="2"/>
  <c r="B3887" i="2"/>
  <c r="E3886" i="2"/>
  <c r="D3886" i="2"/>
  <c r="C3886" i="2"/>
  <c r="B3886" i="2"/>
  <c r="E3885" i="2"/>
  <c r="D3885" i="2"/>
  <c r="C3885" i="2"/>
  <c r="B3885" i="2"/>
  <c r="E3884" i="2"/>
  <c r="D3884" i="2"/>
  <c r="C3884" i="2"/>
  <c r="B3884" i="2"/>
  <c r="E3883" i="2"/>
  <c r="D3883" i="2"/>
  <c r="C3883" i="2"/>
  <c r="B3883" i="2"/>
  <c r="E3882" i="2"/>
  <c r="D3882" i="2"/>
  <c r="C3882" i="2"/>
  <c r="B3882" i="2"/>
  <c r="E3881" i="2"/>
  <c r="D3881" i="2"/>
  <c r="C3881" i="2"/>
  <c r="B3881" i="2"/>
  <c r="E3880" i="2"/>
  <c r="D3880" i="2"/>
  <c r="C3880" i="2"/>
  <c r="B3880" i="2"/>
  <c r="E3879" i="2"/>
  <c r="D3879" i="2"/>
  <c r="C3879" i="2"/>
  <c r="B3879" i="2"/>
  <c r="E3878" i="2"/>
  <c r="D3878" i="2"/>
  <c r="C3878" i="2"/>
  <c r="B3878" i="2"/>
  <c r="E3877" i="2"/>
  <c r="D3877" i="2"/>
  <c r="C3877" i="2"/>
  <c r="B3877" i="2"/>
  <c r="E3876" i="2"/>
  <c r="D3876" i="2"/>
  <c r="C3876" i="2"/>
  <c r="B3876" i="2"/>
  <c r="E3875" i="2"/>
  <c r="D3875" i="2"/>
  <c r="C3875" i="2"/>
  <c r="B3875" i="2"/>
  <c r="E3874" i="2"/>
  <c r="D3874" i="2"/>
  <c r="C3874" i="2"/>
  <c r="B3874" i="2"/>
  <c r="E3873" i="2"/>
  <c r="D3873" i="2"/>
  <c r="C3873" i="2"/>
  <c r="B3873" i="2"/>
  <c r="E3872" i="2"/>
  <c r="D3872" i="2"/>
  <c r="C3872" i="2"/>
  <c r="B3872" i="2"/>
  <c r="E3871" i="2"/>
  <c r="D3871" i="2"/>
  <c r="C3871" i="2"/>
  <c r="B3871" i="2"/>
  <c r="E3870" i="2"/>
  <c r="D3870" i="2"/>
  <c r="C3870" i="2"/>
  <c r="B3870" i="2"/>
  <c r="E3869" i="2"/>
  <c r="D3869" i="2"/>
  <c r="C3869" i="2"/>
  <c r="B3869" i="2"/>
  <c r="E3868" i="2"/>
  <c r="D3868" i="2"/>
  <c r="C3868" i="2"/>
  <c r="B3868" i="2"/>
  <c r="E3867" i="2"/>
  <c r="D3867" i="2"/>
  <c r="C3867" i="2"/>
  <c r="B3867" i="2"/>
  <c r="E3866" i="2"/>
  <c r="D3866" i="2"/>
  <c r="C3866" i="2"/>
  <c r="B3866" i="2"/>
  <c r="E3865" i="2"/>
  <c r="D3865" i="2"/>
  <c r="C3865" i="2"/>
  <c r="B3865" i="2"/>
  <c r="E3864" i="2"/>
  <c r="D3864" i="2"/>
  <c r="C3864" i="2"/>
  <c r="B3864" i="2"/>
  <c r="E3863" i="2"/>
  <c r="D3863" i="2"/>
  <c r="C3863" i="2"/>
  <c r="B3863" i="2"/>
  <c r="E3862" i="2"/>
  <c r="D3862" i="2"/>
  <c r="C3862" i="2"/>
  <c r="B3862" i="2"/>
  <c r="E3861" i="2"/>
  <c r="D3861" i="2"/>
  <c r="C3861" i="2"/>
  <c r="B3861" i="2"/>
  <c r="E3860" i="2"/>
  <c r="D3860" i="2"/>
  <c r="C3860" i="2"/>
  <c r="B3860" i="2"/>
  <c r="E3859" i="2"/>
  <c r="D3859" i="2"/>
  <c r="C3859" i="2"/>
  <c r="B3859" i="2"/>
  <c r="E3858" i="2"/>
  <c r="D3858" i="2"/>
  <c r="C3858" i="2"/>
  <c r="B3858" i="2"/>
  <c r="E3857" i="2"/>
  <c r="D3857" i="2"/>
  <c r="C3857" i="2"/>
  <c r="B3857" i="2"/>
  <c r="E3856" i="2"/>
  <c r="D3856" i="2"/>
  <c r="C3856" i="2"/>
  <c r="B3856" i="2"/>
  <c r="E3855" i="2"/>
  <c r="D3855" i="2"/>
  <c r="C3855" i="2"/>
  <c r="B3855" i="2"/>
  <c r="E3854" i="2"/>
  <c r="D3854" i="2"/>
  <c r="C3854" i="2"/>
  <c r="B3854" i="2"/>
  <c r="E3853" i="2"/>
  <c r="D3853" i="2"/>
  <c r="C3853" i="2"/>
  <c r="B3853" i="2"/>
  <c r="E3852" i="2"/>
  <c r="D3852" i="2"/>
  <c r="C3852" i="2"/>
  <c r="B3852" i="2"/>
  <c r="E3851" i="2"/>
  <c r="D3851" i="2"/>
  <c r="C3851" i="2"/>
  <c r="B3851" i="2"/>
  <c r="E3850" i="2"/>
  <c r="D3850" i="2"/>
  <c r="C3850" i="2"/>
  <c r="B3850" i="2"/>
  <c r="E3849" i="2"/>
  <c r="D3849" i="2"/>
  <c r="C3849" i="2"/>
  <c r="B3849" i="2"/>
  <c r="E3848" i="2"/>
  <c r="D3848" i="2"/>
  <c r="C3848" i="2"/>
  <c r="B3848" i="2"/>
  <c r="E3847" i="2"/>
  <c r="D3847" i="2"/>
  <c r="C3847" i="2"/>
  <c r="B3847" i="2"/>
  <c r="E3846" i="2"/>
  <c r="D3846" i="2"/>
  <c r="C3846" i="2"/>
  <c r="B3846" i="2"/>
  <c r="E3845" i="2"/>
  <c r="D3845" i="2"/>
  <c r="C3845" i="2"/>
  <c r="B3845" i="2"/>
  <c r="E3844" i="2"/>
  <c r="D3844" i="2"/>
  <c r="C3844" i="2"/>
  <c r="B3844" i="2"/>
  <c r="E3843" i="2"/>
  <c r="D3843" i="2"/>
  <c r="C3843" i="2"/>
  <c r="B3843" i="2"/>
  <c r="E3842" i="2"/>
  <c r="D3842" i="2"/>
  <c r="C3842" i="2"/>
  <c r="B3842" i="2"/>
  <c r="E3841" i="2"/>
  <c r="D3841" i="2"/>
  <c r="C3841" i="2"/>
  <c r="B3841" i="2"/>
  <c r="E3840" i="2"/>
  <c r="D3840" i="2"/>
  <c r="C3840" i="2"/>
  <c r="B3840" i="2"/>
  <c r="E3839" i="2"/>
  <c r="D3839" i="2"/>
  <c r="C3839" i="2"/>
  <c r="B3839" i="2"/>
  <c r="E3838" i="2"/>
  <c r="D3838" i="2"/>
  <c r="C3838" i="2"/>
  <c r="B3838" i="2"/>
  <c r="E3837" i="2"/>
  <c r="D3837" i="2"/>
  <c r="C3837" i="2"/>
  <c r="B3837" i="2"/>
  <c r="E3836" i="2"/>
  <c r="D3836" i="2"/>
  <c r="C3836" i="2"/>
  <c r="B3836" i="2"/>
  <c r="E3835" i="2"/>
  <c r="D3835" i="2"/>
  <c r="C3835" i="2"/>
  <c r="B3835" i="2"/>
  <c r="E3834" i="2"/>
  <c r="D3834" i="2"/>
  <c r="C3834" i="2"/>
  <c r="B3834" i="2"/>
  <c r="E3833" i="2"/>
  <c r="D3833" i="2"/>
  <c r="C3833" i="2"/>
  <c r="B3833" i="2"/>
  <c r="E3832" i="2"/>
  <c r="D3832" i="2"/>
  <c r="C3832" i="2"/>
  <c r="B3832" i="2"/>
  <c r="E3831" i="2"/>
  <c r="D3831" i="2"/>
  <c r="C3831" i="2"/>
  <c r="B3831" i="2"/>
  <c r="E3830" i="2"/>
  <c r="D3830" i="2"/>
  <c r="C3830" i="2"/>
  <c r="B3830" i="2"/>
  <c r="E3829" i="2"/>
  <c r="D3829" i="2"/>
  <c r="C3829" i="2"/>
  <c r="B3829" i="2"/>
  <c r="E3828" i="2"/>
  <c r="D3828" i="2"/>
  <c r="C3828" i="2"/>
  <c r="B3828" i="2"/>
  <c r="E3827" i="2"/>
  <c r="D3827" i="2"/>
  <c r="C3827" i="2"/>
  <c r="B3827" i="2"/>
  <c r="E3826" i="2"/>
  <c r="D3826" i="2"/>
  <c r="C3826" i="2"/>
  <c r="B3826" i="2"/>
  <c r="E3825" i="2"/>
  <c r="D3825" i="2"/>
  <c r="C3825" i="2"/>
  <c r="B3825" i="2"/>
  <c r="E3824" i="2"/>
  <c r="D3824" i="2"/>
  <c r="C3824" i="2"/>
  <c r="B3824" i="2"/>
  <c r="E3823" i="2"/>
  <c r="D3823" i="2"/>
  <c r="C3823" i="2"/>
  <c r="B3823" i="2"/>
  <c r="E3822" i="2"/>
  <c r="D3822" i="2"/>
  <c r="C3822" i="2"/>
  <c r="B3822" i="2"/>
  <c r="E3821" i="2"/>
  <c r="D3821" i="2"/>
  <c r="C3821" i="2"/>
  <c r="B3821" i="2"/>
  <c r="E3820" i="2"/>
  <c r="D3820" i="2"/>
  <c r="C3820" i="2"/>
  <c r="B3820" i="2"/>
  <c r="E3819" i="2"/>
  <c r="D3819" i="2"/>
  <c r="C3819" i="2"/>
  <c r="B3819" i="2"/>
  <c r="E3818" i="2"/>
  <c r="D3818" i="2"/>
  <c r="C3818" i="2"/>
  <c r="B3818" i="2"/>
  <c r="E3817" i="2"/>
  <c r="D3817" i="2"/>
  <c r="C3817" i="2"/>
  <c r="B3817" i="2"/>
  <c r="E3816" i="2"/>
  <c r="D3816" i="2"/>
  <c r="C3816" i="2"/>
  <c r="B3816" i="2"/>
  <c r="E3815" i="2"/>
  <c r="D3815" i="2"/>
  <c r="C3815" i="2"/>
  <c r="B3815" i="2"/>
  <c r="E3814" i="2"/>
  <c r="D3814" i="2"/>
  <c r="C3814" i="2"/>
  <c r="B3814" i="2"/>
  <c r="E3813" i="2"/>
  <c r="D3813" i="2"/>
  <c r="C3813" i="2"/>
  <c r="B3813" i="2"/>
  <c r="E3812" i="2"/>
  <c r="D3812" i="2"/>
  <c r="C3812" i="2"/>
  <c r="B3812" i="2"/>
  <c r="E3811" i="2"/>
  <c r="D3811" i="2"/>
  <c r="C3811" i="2"/>
  <c r="B3811" i="2"/>
  <c r="E3810" i="2"/>
  <c r="D3810" i="2"/>
  <c r="C3810" i="2"/>
  <c r="B3810" i="2"/>
  <c r="E3809" i="2"/>
  <c r="D3809" i="2"/>
  <c r="C3809" i="2"/>
  <c r="B3809" i="2"/>
  <c r="E3808" i="2"/>
  <c r="D3808" i="2"/>
  <c r="C3808" i="2"/>
  <c r="B3808" i="2"/>
  <c r="E3807" i="2"/>
  <c r="D3807" i="2"/>
  <c r="C3807" i="2"/>
  <c r="B3807" i="2"/>
  <c r="E3806" i="2"/>
  <c r="D3806" i="2"/>
  <c r="C3806" i="2"/>
  <c r="B3806" i="2"/>
  <c r="E3805" i="2"/>
  <c r="D3805" i="2"/>
  <c r="C3805" i="2"/>
  <c r="B3805" i="2"/>
  <c r="E3804" i="2"/>
  <c r="D3804" i="2"/>
  <c r="C3804" i="2"/>
  <c r="B3804" i="2"/>
  <c r="E3803" i="2"/>
  <c r="D3803" i="2"/>
  <c r="C3803" i="2"/>
  <c r="B3803" i="2"/>
  <c r="E3802" i="2"/>
  <c r="D3802" i="2"/>
  <c r="C3802" i="2"/>
  <c r="B3802" i="2"/>
  <c r="E3801" i="2"/>
  <c r="D3801" i="2"/>
  <c r="C3801" i="2"/>
  <c r="B3801" i="2"/>
  <c r="E3800" i="2"/>
  <c r="D3800" i="2"/>
  <c r="C3800" i="2"/>
  <c r="B3800" i="2"/>
  <c r="E3799" i="2"/>
  <c r="D3799" i="2"/>
  <c r="C3799" i="2"/>
  <c r="B3799" i="2"/>
  <c r="E3798" i="2"/>
  <c r="D3798" i="2"/>
  <c r="C3798" i="2"/>
  <c r="B3798" i="2"/>
  <c r="E3797" i="2"/>
  <c r="D3797" i="2"/>
  <c r="C3797" i="2"/>
  <c r="B3797" i="2"/>
  <c r="E3796" i="2"/>
  <c r="D3796" i="2"/>
  <c r="C3796" i="2"/>
  <c r="B3796" i="2"/>
  <c r="E3795" i="2"/>
  <c r="D3795" i="2"/>
  <c r="C3795" i="2"/>
  <c r="B3795" i="2"/>
  <c r="E3794" i="2"/>
  <c r="D3794" i="2"/>
  <c r="C3794" i="2"/>
  <c r="B3794" i="2"/>
  <c r="E3793" i="2"/>
  <c r="D3793" i="2"/>
  <c r="C3793" i="2"/>
  <c r="B3793" i="2"/>
  <c r="E3792" i="2"/>
  <c r="D3792" i="2"/>
  <c r="C3792" i="2"/>
  <c r="B3792" i="2"/>
  <c r="E3791" i="2"/>
  <c r="D3791" i="2"/>
  <c r="C3791" i="2"/>
  <c r="B3791" i="2"/>
  <c r="E3790" i="2"/>
  <c r="D3790" i="2"/>
  <c r="C3790" i="2"/>
  <c r="B3790" i="2"/>
  <c r="E3789" i="2"/>
  <c r="D3789" i="2"/>
  <c r="C3789" i="2"/>
  <c r="B3789" i="2"/>
  <c r="E3788" i="2"/>
  <c r="D3788" i="2"/>
  <c r="C3788" i="2"/>
  <c r="B3788" i="2"/>
  <c r="E3787" i="2"/>
  <c r="D3787" i="2"/>
  <c r="C3787" i="2"/>
  <c r="B3787" i="2"/>
  <c r="E3786" i="2"/>
  <c r="D3786" i="2"/>
  <c r="C3786" i="2"/>
  <c r="B3786" i="2"/>
  <c r="E3785" i="2"/>
  <c r="D3785" i="2"/>
  <c r="C3785" i="2"/>
  <c r="B3785" i="2"/>
  <c r="E3784" i="2"/>
  <c r="D3784" i="2"/>
  <c r="C3784" i="2"/>
  <c r="B3784" i="2"/>
  <c r="E3783" i="2"/>
  <c r="D3783" i="2"/>
  <c r="C3783" i="2"/>
  <c r="B3783" i="2"/>
  <c r="E3782" i="2"/>
  <c r="D3782" i="2"/>
  <c r="C3782" i="2"/>
  <c r="B3782" i="2"/>
  <c r="E3781" i="2"/>
  <c r="D3781" i="2"/>
  <c r="C3781" i="2"/>
  <c r="B3781" i="2"/>
  <c r="E3780" i="2"/>
  <c r="D3780" i="2"/>
  <c r="C3780" i="2"/>
  <c r="B3780" i="2"/>
  <c r="E3779" i="2"/>
  <c r="D3779" i="2"/>
  <c r="C3779" i="2"/>
  <c r="B3779" i="2"/>
  <c r="E3778" i="2"/>
  <c r="D3778" i="2"/>
  <c r="C3778" i="2"/>
  <c r="B3778" i="2"/>
  <c r="E3777" i="2"/>
  <c r="D3777" i="2"/>
  <c r="C3777" i="2"/>
  <c r="B3777" i="2"/>
  <c r="E3776" i="2"/>
  <c r="D3776" i="2"/>
  <c r="C3776" i="2"/>
  <c r="B3776" i="2"/>
  <c r="E3775" i="2"/>
  <c r="D3775" i="2"/>
  <c r="C3775" i="2"/>
  <c r="B3775" i="2"/>
  <c r="E3774" i="2"/>
  <c r="D3774" i="2"/>
  <c r="C3774" i="2"/>
  <c r="B3774" i="2"/>
  <c r="E3773" i="2"/>
  <c r="D3773" i="2"/>
  <c r="C3773" i="2"/>
  <c r="B3773" i="2"/>
  <c r="E3772" i="2"/>
  <c r="D3772" i="2"/>
  <c r="C3772" i="2"/>
  <c r="B3772" i="2"/>
  <c r="E3771" i="2"/>
  <c r="D3771" i="2"/>
  <c r="C3771" i="2"/>
  <c r="B3771" i="2"/>
  <c r="E3770" i="2"/>
  <c r="D3770" i="2"/>
  <c r="C3770" i="2"/>
  <c r="B3770" i="2"/>
  <c r="E3769" i="2"/>
  <c r="D3769" i="2"/>
  <c r="C3769" i="2"/>
  <c r="B3769" i="2"/>
  <c r="E3768" i="2"/>
  <c r="D3768" i="2"/>
  <c r="C3768" i="2"/>
  <c r="B3768" i="2"/>
  <c r="E3767" i="2"/>
  <c r="D3767" i="2"/>
  <c r="C3767" i="2"/>
  <c r="B3767" i="2"/>
  <c r="E3766" i="2"/>
  <c r="D3766" i="2"/>
  <c r="C3766" i="2"/>
  <c r="B3766" i="2"/>
  <c r="E3765" i="2"/>
  <c r="D3765" i="2"/>
  <c r="C3765" i="2"/>
  <c r="B3765" i="2"/>
  <c r="E3764" i="2"/>
  <c r="D3764" i="2"/>
  <c r="C3764" i="2"/>
  <c r="B3764" i="2"/>
  <c r="E3763" i="2"/>
  <c r="D3763" i="2"/>
  <c r="C3763" i="2"/>
  <c r="B3763" i="2"/>
  <c r="E3762" i="2"/>
  <c r="D3762" i="2"/>
  <c r="C3762" i="2"/>
  <c r="B3762" i="2"/>
  <c r="E3761" i="2"/>
  <c r="D3761" i="2"/>
  <c r="C3761" i="2"/>
  <c r="B3761" i="2"/>
  <c r="E3760" i="2"/>
  <c r="D3760" i="2"/>
  <c r="C3760" i="2"/>
  <c r="B3760" i="2"/>
  <c r="E3759" i="2"/>
  <c r="D3759" i="2"/>
  <c r="C3759" i="2"/>
  <c r="B3759" i="2"/>
  <c r="E3758" i="2"/>
  <c r="D3758" i="2"/>
  <c r="C3758" i="2"/>
  <c r="B3758" i="2"/>
  <c r="E3757" i="2"/>
  <c r="D3757" i="2"/>
  <c r="C3757" i="2"/>
  <c r="B3757" i="2"/>
  <c r="E3756" i="2"/>
  <c r="D3756" i="2"/>
  <c r="C3756" i="2"/>
  <c r="B3756" i="2"/>
  <c r="E3755" i="2"/>
  <c r="D3755" i="2"/>
  <c r="C3755" i="2"/>
  <c r="B3755" i="2"/>
  <c r="E3754" i="2"/>
  <c r="D3754" i="2"/>
  <c r="C3754" i="2"/>
  <c r="B3754" i="2"/>
  <c r="E3753" i="2"/>
  <c r="D3753" i="2"/>
  <c r="C3753" i="2"/>
  <c r="B3753" i="2"/>
  <c r="E3752" i="2"/>
  <c r="D3752" i="2"/>
  <c r="C3752" i="2"/>
  <c r="B3752" i="2"/>
  <c r="E3751" i="2"/>
  <c r="D3751" i="2"/>
  <c r="C3751" i="2"/>
  <c r="B3751" i="2"/>
  <c r="E3750" i="2"/>
  <c r="D3750" i="2"/>
  <c r="C3750" i="2"/>
  <c r="B3750" i="2"/>
  <c r="E3749" i="2"/>
  <c r="D3749" i="2"/>
  <c r="C3749" i="2"/>
  <c r="B3749" i="2"/>
  <c r="E3748" i="2"/>
  <c r="D3748" i="2"/>
  <c r="C3748" i="2"/>
  <c r="B3748" i="2"/>
  <c r="E3747" i="2"/>
  <c r="D3747" i="2"/>
  <c r="C3747" i="2"/>
  <c r="B3747" i="2"/>
  <c r="E3746" i="2"/>
  <c r="D3746" i="2"/>
  <c r="C3746" i="2"/>
  <c r="B3746" i="2"/>
  <c r="E3745" i="2"/>
  <c r="D3745" i="2"/>
  <c r="C3745" i="2"/>
  <c r="B3745" i="2"/>
  <c r="E3744" i="2"/>
  <c r="D3744" i="2"/>
  <c r="C3744" i="2"/>
  <c r="B3744" i="2"/>
  <c r="E3743" i="2"/>
  <c r="D3743" i="2"/>
  <c r="C3743" i="2"/>
  <c r="B3743" i="2"/>
  <c r="E3742" i="2"/>
  <c r="D3742" i="2"/>
  <c r="C3742" i="2"/>
  <c r="B3742" i="2"/>
  <c r="E3741" i="2"/>
  <c r="D3741" i="2"/>
  <c r="C3741" i="2"/>
  <c r="B3741" i="2"/>
  <c r="E3740" i="2"/>
  <c r="D3740" i="2"/>
  <c r="C3740" i="2"/>
  <c r="B3740" i="2"/>
  <c r="E3739" i="2"/>
  <c r="D3739" i="2"/>
  <c r="C3739" i="2"/>
  <c r="B3739" i="2"/>
  <c r="E3738" i="2"/>
  <c r="D3738" i="2"/>
  <c r="C3738" i="2"/>
  <c r="B3738" i="2"/>
  <c r="E3737" i="2"/>
  <c r="D3737" i="2"/>
  <c r="C3737" i="2"/>
  <c r="B3737" i="2"/>
  <c r="E3736" i="2"/>
  <c r="D3736" i="2"/>
  <c r="C3736" i="2"/>
  <c r="B3736" i="2"/>
  <c r="E3735" i="2"/>
  <c r="D3735" i="2"/>
  <c r="C3735" i="2"/>
  <c r="B3735" i="2"/>
  <c r="E3734" i="2"/>
  <c r="D3734" i="2"/>
  <c r="C3734" i="2"/>
  <c r="B3734" i="2"/>
  <c r="E3733" i="2"/>
  <c r="D3733" i="2"/>
  <c r="C3733" i="2"/>
  <c r="B3733" i="2"/>
  <c r="E3732" i="2"/>
  <c r="D3732" i="2"/>
  <c r="C3732" i="2"/>
  <c r="B3732" i="2"/>
  <c r="E3731" i="2"/>
  <c r="D3731" i="2"/>
  <c r="C3731" i="2"/>
  <c r="B3731" i="2"/>
  <c r="E3730" i="2"/>
  <c r="D3730" i="2"/>
  <c r="C3730" i="2"/>
  <c r="B3730" i="2"/>
  <c r="E3729" i="2"/>
  <c r="D3729" i="2"/>
  <c r="C3729" i="2"/>
  <c r="B3729" i="2"/>
  <c r="E3728" i="2"/>
  <c r="D3728" i="2"/>
  <c r="C3728" i="2"/>
  <c r="B3728" i="2"/>
  <c r="E3727" i="2"/>
  <c r="D3727" i="2"/>
  <c r="C3727" i="2"/>
  <c r="B3727" i="2"/>
  <c r="E3726" i="2"/>
  <c r="D3726" i="2"/>
  <c r="C3726" i="2"/>
  <c r="B3726" i="2"/>
  <c r="E3725" i="2"/>
  <c r="D3725" i="2"/>
  <c r="C3725" i="2"/>
  <c r="B3725" i="2"/>
  <c r="E3724" i="2"/>
  <c r="D3724" i="2"/>
  <c r="C3724" i="2"/>
  <c r="B3724" i="2"/>
  <c r="E3723" i="2"/>
  <c r="D3723" i="2"/>
  <c r="C3723" i="2"/>
  <c r="B3723" i="2"/>
  <c r="E3722" i="2"/>
  <c r="D3722" i="2"/>
  <c r="C3722" i="2"/>
  <c r="B3722" i="2"/>
  <c r="E3721" i="2"/>
  <c r="D3721" i="2"/>
  <c r="C3721" i="2"/>
  <c r="B3721" i="2"/>
  <c r="E3720" i="2"/>
  <c r="D3720" i="2"/>
  <c r="C3720" i="2"/>
  <c r="B3720" i="2"/>
  <c r="E3719" i="2"/>
  <c r="D3719" i="2"/>
  <c r="C3719" i="2"/>
  <c r="B3719" i="2"/>
  <c r="E3718" i="2"/>
  <c r="D3718" i="2"/>
  <c r="C3718" i="2"/>
  <c r="B3718" i="2"/>
  <c r="E3717" i="2"/>
  <c r="D3717" i="2"/>
  <c r="C3717" i="2"/>
  <c r="B3717" i="2"/>
  <c r="E3716" i="2"/>
  <c r="D3716" i="2"/>
  <c r="C3716" i="2"/>
  <c r="B3716" i="2"/>
  <c r="E3715" i="2"/>
  <c r="D3715" i="2"/>
  <c r="C3715" i="2"/>
  <c r="B3715" i="2"/>
  <c r="E3714" i="2"/>
  <c r="D3714" i="2"/>
  <c r="C3714" i="2"/>
  <c r="B3714" i="2"/>
  <c r="E3713" i="2"/>
  <c r="D3713" i="2"/>
  <c r="C3713" i="2"/>
  <c r="B3713" i="2"/>
  <c r="E3712" i="2"/>
  <c r="D3712" i="2"/>
  <c r="C3712" i="2"/>
  <c r="B3712" i="2"/>
  <c r="E3711" i="2"/>
  <c r="D3711" i="2"/>
  <c r="C3711" i="2"/>
  <c r="B3711" i="2"/>
  <c r="E3710" i="2"/>
  <c r="D3710" i="2"/>
  <c r="C3710" i="2"/>
  <c r="B3710" i="2"/>
  <c r="E3709" i="2"/>
  <c r="D3709" i="2"/>
  <c r="C3709" i="2"/>
  <c r="B3709" i="2"/>
  <c r="E3708" i="2"/>
  <c r="D3708" i="2"/>
  <c r="C3708" i="2"/>
  <c r="B3708" i="2"/>
  <c r="E3707" i="2"/>
  <c r="D3707" i="2"/>
  <c r="C3707" i="2"/>
  <c r="B3707" i="2"/>
  <c r="E3706" i="2"/>
  <c r="D3706" i="2"/>
  <c r="C3706" i="2"/>
  <c r="B3706" i="2"/>
  <c r="E3705" i="2"/>
  <c r="D3705" i="2"/>
  <c r="C3705" i="2"/>
  <c r="B3705" i="2"/>
  <c r="E3704" i="2"/>
  <c r="D3704" i="2"/>
  <c r="C3704" i="2"/>
  <c r="B3704" i="2"/>
  <c r="E3703" i="2"/>
  <c r="D3703" i="2"/>
  <c r="C3703" i="2"/>
  <c r="B3703" i="2"/>
  <c r="E3702" i="2"/>
  <c r="D3702" i="2"/>
  <c r="C3702" i="2"/>
  <c r="B3702" i="2"/>
  <c r="E3701" i="2"/>
  <c r="D3701" i="2"/>
  <c r="C3701" i="2"/>
  <c r="B3701" i="2"/>
  <c r="E3700" i="2"/>
  <c r="D3700" i="2"/>
  <c r="C3700" i="2"/>
  <c r="B3700" i="2"/>
  <c r="E3699" i="2"/>
  <c r="D3699" i="2"/>
  <c r="C3699" i="2"/>
  <c r="B3699" i="2"/>
  <c r="E3698" i="2"/>
  <c r="D3698" i="2"/>
  <c r="C3698" i="2"/>
  <c r="B3698" i="2"/>
  <c r="E3697" i="2"/>
  <c r="D3697" i="2"/>
  <c r="C3697" i="2"/>
  <c r="B3697" i="2"/>
  <c r="E3696" i="2"/>
  <c r="D3696" i="2"/>
  <c r="C3696" i="2"/>
  <c r="B3696" i="2"/>
  <c r="E3695" i="2"/>
  <c r="D3695" i="2"/>
  <c r="C3695" i="2"/>
  <c r="B3695" i="2"/>
  <c r="E3694" i="2"/>
  <c r="D3694" i="2"/>
  <c r="C3694" i="2"/>
  <c r="B3694" i="2"/>
  <c r="E3693" i="2"/>
  <c r="D3693" i="2"/>
  <c r="C3693" i="2"/>
  <c r="B3693" i="2"/>
  <c r="E3692" i="2"/>
  <c r="D3692" i="2"/>
  <c r="C3692" i="2"/>
  <c r="B3692" i="2"/>
  <c r="E3691" i="2"/>
  <c r="D3691" i="2"/>
  <c r="C3691" i="2"/>
  <c r="B3691" i="2"/>
  <c r="E3690" i="2"/>
  <c r="D3690" i="2"/>
  <c r="C3690" i="2"/>
  <c r="B3690" i="2"/>
  <c r="E3689" i="2"/>
  <c r="D3689" i="2"/>
  <c r="C3689" i="2"/>
  <c r="B3689" i="2"/>
  <c r="E3688" i="2"/>
  <c r="D3688" i="2"/>
  <c r="C3688" i="2"/>
  <c r="B3688" i="2"/>
  <c r="E3687" i="2"/>
  <c r="D3687" i="2"/>
  <c r="C3687" i="2"/>
  <c r="B3687" i="2"/>
  <c r="E3686" i="2"/>
  <c r="D3686" i="2"/>
  <c r="C3686" i="2"/>
  <c r="B3686" i="2"/>
  <c r="E3685" i="2"/>
  <c r="D3685" i="2"/>
  <c r="C3685" i="2"/>
  <c r="B3685" i="2"/>
  <c r="E3684" i="2"/>
  <c r="D3684" i="2"/>
  <c r="C3684" i="2"/>
  <c r="B3684" i="2"/>
  <c r="E3683" i="2"/>
  <c r="D3683" i="2"/>
  <c r="C3683" i="2"/>
  <c r="B3683" i="2"/>
  <c r="E3682" i="2"/>
  <c r="D3682" i="2"/>
  <c r="C3682" i="2"/>
  <c r="B3682" i="2"/>
  <c r="E3681" i="2"/>
  <c r="D3681" i="2"/>
  <c r="C3681" i="2"/>
  <c r="B3681" i="2"/>
  <c r="E3680" i="2"/>
  <c r="D3680" i="2"/>
  <c r="C3680" i="2"/>
  <c r="B3680" i="2"/>
  <c r="E3679" i="2"/>
  <c r="D3679" i="2"/>
  <c r="C3679" i="2"/>
  <c r="B3679" i="2"/>
  <c r="E3678" i="2"/>
  <c r="D3678" i="2"/>
  <c r="C3678" i="2"/>
  <c r="B3678" i="2"/>
  <c r="E3677" i="2"/>
  <c r="D3677" i="2"/>
  <c r="C3677" i="2"/>
  <c r="B3677" i="2"/>
  <c r="E3676" i="2"/>
  <c r="D3676" i="2"/>
  <c r="C3676" i="2"/>
  <c r="B3676" i="2"/>
  <c r="E3675" i="2"/>
  <c r="D3675" i="2"/>
  <c r="C3675" i="2"/>
  <c r="B3675" i="2"/>
  <c r="E3674" i="2"/>
  <c r="D3674" i="2"/>
  <c r="C3674" i="2"/>
  <c r="B3674" i="2"/>
  <c r="E3673" i="2"/>
  <c r="D3673" i="2"/>
  <c r="C3673" i="2"/>
  <c r="B3673" i="2"/>
  <c r="E3672" i="2"/>
  <c r="D3672" i="2"/>
  <c r="C3672" i="2"/>
  <c r="B3672" i="2"/>
  <c r="E3671" i="2"/>
  <c r="D3671" i="2"/>
  <c r="C3671" i="2"/>
  <c r="B3671" i="2"/>
  <c r="E3670" i="2"/>
  <c r="D3670" i="2"/>
  <c r="C3670" i="2"/>
  <c r="B3670" i="2"/>
  <c r="E3669" i="2"/>
  <c r="D3669" i="2"/>
  <c r="C3669" i="2"/>
  <c r="B3669" i="2"/>
  <c r="E3668" i="2"/>
  <c r="D3668" i="2"/>
  <c r="C3668" i="2"/>
  <c r="B3668" i="2"/>
  <c r="E3667" i="2"/>
  <c r="D3667" i="2"/>
  <c r="C3667" i="2"/>
  <c r="B3667" i="2"/>
  <c r="E3666" i="2"/>
  <c r="D3666" i="2"/>
  <c r="C3666" i="2"/>
  <c r="B3666" i="2"/>
  <c r="E3665" i="2"/>
  <c r="D3665" i="2"/>
  <c r="C3665" i="2"/>
  <c r="B3665" i="2"/>
  <c r="E3664" i="2"/>
  <c r="D3664" i="2"/>
  <c r="C3664" i="2"/>
  <c r="B3664" i="2"/>
  <c r="E3663" i="2"/>
  <c r="D3663" i="2"/>
  <c r="C3663" i="2"/>
  <c r="B3663" i="2"/>
  <c r="E3662" i="2"/>
  <c r="D3662" i="2"/>
  <c r="C3662" i="2"/>
  <c r="B3662" i="2"/>
  <c r="E3661" i="2"/>
  <c r="D3661" i="2"/>
  <c r="C3661" i="2"/>
  <c r="B3661" i="2"/>
  <c r="E3660" i="2"/>
  <c r="D3660" i="2"/>
  <c r="C3660" i="2"/>
  <c r="B3660" i="2"/>
  <c r="E3659" i="2"/>
  <c r="D3659" i="2"/>
  <c r="C3659" i="2"/>
  <c r="B3659" i="2"/>
  <c r="E3658" i="2"/>
  <c r="D3658" i="2"/>
  <c r="C3658" i="2"/>
  <c r="B3658" i="2"/>
  <c r="E3657" i="2"/>
  <c r="D3657" i="2"/>
  <c r="C3657" i="2"/>
  <c r="B3657" i="2"/>
  <c r="E3656" i="2"/>
  <c r="D3656" i="2"/>
  <c r="C3656" i="2"/>
  <c r="B3656" i="2"/>
  <c r="E3655" i="2"/>
  <c r="D3655" i="2"/>
  <c r="C3655" i="2"/>
  <c r="B3655" i="2"/>
  <c r="E3654" i="2"/>
  <c r="D3654" i="2"/>
  <c r="C3654" i="2"/>
  <c r="B3654" i="2"/>
  <c r="E3653" i="2"/>
  <c r="D3653" i="2"/>
  <c r="C3653" i="2"/>
  <c r="B3653" i="2"/>
  <c r="E3652" i="2"/>
  <c r="D3652" i="2"/>
  <c r="C3652" i="2"/>
  <c r="B3652" i="2"/>
  <c r="E3651" i="2"/>
  <c r="D3651" i="2"/>
  <c r="C3651" i="2"/>
  <c r="B3651" i="2"/>
  <c r="E3650" i="2"/>
  <c r="D3650" i="2"/>
  <c r="C3650" i="2"/>
  <c r="B3650" i="2"/>
  <c r="E3649" i="2"/>
  <c r="D3649" i="2"/>
  <c r="C3649" i="2"/>
  <c r="B3649" i="2"/>
  <c r="E3648" i="2"/>
  <c r="D3648" i="2"/>
  <c r="C3648" i="2"/>
  <c r="B3648" i="2"/>
  <c r="E3647" i="2"/>
  <c r="D3647" i="2"/>
  <c r="C3647" i="2"/>
  <c r="B3647" i="2"/>
  <c r="E3646" i="2"/>
  <c r="D3646" i="2"/>
  <c r="C3646" i="2"/>
  <c r="B3646" i="2"/>
  <c r="E3645" i="2"/>
  <c r="D3645" i="2"/>
  <c r="C3645" i="2"/>
  <c r="B3645" i="2"/>
  <c r="E3644" i="2"/>
  <c r="D3644" i="2"/>
  <c r="C3644" i="2"/>
  <c r="B3644" i="2"/>
  <c r="E3643" i="2"/>
  <c r="D3643" i="2"/>
  <c r="C3643" i="2"/>
  <c r="B3643" i="2"/>
  <c r="E3642" i="2"/>
  <c r="D3642" i="2"/>
  <c r="C3642" i="2"/>
  <c r="B3642" i="2"/>
  <c r="E3641" i="2"/>
  <c r="D3641" i="2"/>
  <c r="C3641" i="2"/>
  <c r="B3641" i="2"/>
  <c r="E3640" i="2"/>
  <c r="D3640" i="2"/>
  <c r="C3640" i="2"/>
  <c r="B3640" i="2"/>
  <c r="E3639" i="2"/>
  <c r="D3639" i="2"/>
  <c r="C3639" i="2"/>
  <c r="B3639" i="2"/>
  <c r="E3638" i="2"/>
  <c r="D3638" i="2"/>
  <c r="C3638" i="2"/>
  <c r="B3638" i="2"/>
  <c r="E3637" i="2"/>
  <c r="D3637" i="2"/>
  <c r="C3637" i="2"/>
  <c r="B3637" i="2"/>
  <c r="E3636" i="2"/>
  <c r="D3636" i="2"/>
  <c r="C3636" i="2"/>
  <c r="B3636" i="2"/>
  <c r="E3635" i="2"/>
  <c r="D3635" i="2"/>
  <c r="C3635" i="2"/>
  <c r="B3635" i="2"/>
  <c r="E3634" i="2"/>
  <c r="D3634" i="2"/>
  <c r="C3634" i="2"/>
  <c r="B3634" i="2"/>
  <c r="E3633" i="2"/>
  <c r="D3633" i="2"/>
  <c r="C3633" i="2"/>
  <c r="B3633" i="2"/>
  <c r="E3632" i="2"/>
  <c r="D3632" i="2"/>
  <c r="C3632" i="2"/>
  <c r="B3632" i="2"/>
  <c r="E3631" i="2"/>
  <c r="D3631" i="2"/>
  <c r="C3631" i="2"/>
  <c r="B3631" i="2"/>
  <c r="E3630" i="2"/>
  <c r="D3630" i="2"/>
  <c r="C3630" i="2"/>
  <c r="B3630" i="2"/>
  <c r="E3629" i="2"/>
  <c r="D3629" i="2"/>
  <c r="C3629" i="2"/>
  <c r="B3629" i="2"/>
  <c r="E3628" i="2"/>
  <c r="D3628" i="2"/>
  <c r="C3628" i="2"/>
  <c r="B3628" i="2"/>
  <c r="E3627" i="2"/>
  <c r="D3627" i="2"/>
  <c r="C3627" i="2"/>
  <c r="B3627" i="2"/>
  <c r="E3626" i="2"/>
  <c r="D3626" i="2"/>
  <c r="C3626" i="2"/>
  <c r="B3626" i="2"/>
  <c r="E3625" i="2"/>
  <c r="D3625" i="2"/>
  <c r="C3625" i="2"/>
  <c r="B3625" i="2"/>
  <c r="E3624" i="2"/>
  <c r="D3624" i="2"/>
  <c r="C3624" i="2"/>
  <c r="B3624" i="2"/>
  <c r="E3623" i="2"/>
  <c r="D3623" i="2"/>
  <c r="C3623" i="2"/>
  <c r="B3623" i="2"/>
  <c r="E3622" i="2"/>
  <c r="D3622" i="2"/>
  <c r="C3622" i="2"/>
  <c r="B3622" i="2"/>
  <c r="E3621" i="2"/>
  <c r="D3621" i="2"/>
  <c r="C3621" i="2"/>
  <c r="B3621" i="2"/>
  <c r="E3620" i="2"/>
  <c r="D3620" i="2"/>
  <c r="C3620" i="2"/>
  <c r="B3620" i="2"/>
  <c r="E3619" i="2"/>
  <c r="D3619" i="2"/>
  <c r="C3619" i="2"/>
  <c r="B3619" i="2"/>
  <c r="E3618" i="2"/>
  <c r="D3618" i="2"/>
  <c r="C3618" i="2"/>
  <c r="B3618" i="2"/>
  <c r="E3617" i="2"/>
  <c r="D3617" i="2"/>
  <c r="C3617" i="2"/>
  <c r="B3617" i="2"/>
  <c r="E3616" i="2"/>
  <c r="D3616" i="2"/>
  <c r="C3616" i="2"/>
  <c r="B3616" i="2"/>
  <c r="E3615" i="2"/>
  <c r="D3615" i="2"/>
  <c r="C3615" i="2"/>
  <c r="B3615" i="2"/>
  <c r="E3614" i="2"/>
  <c r="D3614" i="2"/>
  <c r="C3614" i="2"/>
  <c r="B3614" i="2"/>
  <c r="E3613" i="2"/>
  <c r="D3613" i="2"/>
  <c r="C3613" i="2"/>
  <c r="B3613" i="2"/>
  <c r="E3612" i="2"/>
  <c r="D3612" i="2"/>
  <c r="C3612" i="2"/>
  <c r="B3612" i="2"/>
  <c r="E3611" i="2"/>
  <c r="D3611" i="2"/>
  <c r="C3611" i="2"/>
  <c r="B3611" i="2"/>
  <c r="E3610" i="2"/>
  <c r="D3610" i="2"/>
  <c r="C3610" i="2"/>
  <c r="B3610" i="2"/>
  <c r="E3609" i="2"/>
  <c r="D3609" i="2"/>
  <c r="C3609" i="2"/>
  <c r="B3609" i="2"/>
  <c r="E3608" i="2"/>
  <c r="D3608" i="2"/>
  <c r="C3608" i="2"/>
  <c r="B3608" i="2"/>
  <c r="E3607" i="2"/>
  <c r="D3607" i="2"/>
  <c r="C3607" i="2"/>
  <c r="B3607" i="2"/>
  <c r="E3606" i="2"/>
  <c r="D3606" i="2"/>
  <c r="C3606" i="2"/>
  <c r="B3606" i="2"/>
  <c r="E3605" i="2"/>
  <c r="D3605" i="2"/>
  <c r="C3605" i="2"/>
  <c r="B3605" i="2"/>
  <c r="E3604" i="2"/>
  <c r="D3604" i="2"/>
  <c r="C3604" i="2"/>
  <c r="B3604" i="2"/>
  <c r="E3603" i="2"/>
  <c r="D3603" i="2"/>
  <c r="C3603" i="2"/>
  <c r="B3603" i="2"/>
  <c r="E3602" i="2"/>
  <c r="D3602" i="2"/>
  <c r="C3602" i="2"/>
  <c r="B3602" i="2"/>
  <c r="E3601" i="2"/>
  <c r="D3601" i="2"/>
  <c r="C3601" i="2"/>
  <c r="B3601" i="2"/>
  <c r="E3600" i="2"/>
  <c r="D3600" i="2"/>
  <c r="C3600" i="2"/>
  <c r="B3600" i="2"/>
  <c r="E3599" i="2"/>
  <c r="D3599" i="2"/>
  <c r="C3599" i="2"/>
  <c r="B3599" i="2"/>
  <c r="E3598" i="2"/>
  <c r="D3598" i="2"/>
  <c r="C3598" i="2"/>
  <c r="B3598" i="2"/>
  <c r="E3597" i="2"/>
  <c r="D3597" i="2"/>
  <c r="C3597" i="2"/>
  <c r="B3597" i="2"/>
  <c r="E3596" i="2"/>
  <c r="D3596" i="2"/>
  <c r="C3596" i="2"/>
  <c r="B3596" i="2"/>
  <c r="E3595" i="2"/>
  <c r="D3595" i="2"/>
  <c r="C3595" i="2"/>
  <c r="B3595" i="2"/>
  <c r="E3594" i="2"/>
  <c r="D3594" i="2"/>
  <c r="C3594" i="2"/>
  <c r="B3594" i="2"/>
  <c r="E3593" i="2"/>
  <c r="D3593" i="2"/>
  <c r="C3593" i="2"/>
  <c r="B3593" i="2"/>
  <c r="E3592" i="2"/>
  <c r="D3592" i="2"/>
  <c r="C3592" i="2"/>
  <c r="B3592" i="2"/>
  <c r="E3591" i="2"/>
  <c r="D3591" i="2"/>
  <c r="C3591" i="2"/>
  <c r="B3591" i="2"/>
  <c r="E3590" i="2"/>
  <c r="D3590" i="2"/>
  <c r="C3590" i="2"/>
  <c r="B3590" i="2"/>
  <c r="E3589" i="2"/>
  <c r="D3589" i="2"/>
  <c r="C3589" i="2"/>
  <c r="B3589" i="2"/>
  <c r="E3588" i="2"/>
  <c r="D3588" i="2"/>
  <c r="C3588" i="2"/>
  <c r="B3588" i="2"/>
  <c r="E3587" i="2"/>
  <c r="D3587" i="2"/>
  <c r="C3587" i="2"/>
  <c r="B3587" i="2"/>
  <c r="E3586" i="2"/>
  <c r="D3586" i="2"/>
  <c r="C3586" i="2"/>
  <c r="B3586" i="2"/>
  <c r="E3585" i="2"/>
  <c r="D3585" i="2"/>
  <c r="C3585" i="2"/>
  <c r="B3585" i="2"/>
  <c r="E3584" i="2"/>
  <c r="D3584" i="2"/>
  <c r="C3584" i="2"/>
  <c r="B3584" i="2"/>
  <c r="E3583" i="2"/>
  <c r="D3583" i="2"/>
  <c r="C3583" i="2"/>
  <c r="B3583" i="2"/>
  <c r="E3582" i="2"/>
  <c r="D3582" i="2"/>
  <c r="C3582" i="2"/>
  <c r="B3582" i="2"/>
  <c r="E3581" i="2"/>
  <c r="D3581" i="2"/>
  <c r="C3581" i="2"/>
  <c r="B3581" i="2"/>
  <c r="E3580" i="2"/>
  <c r="D3580" i="2"/>
  <c r="C3580" i="2"/>
  <c r="B3580" i="2"/>
  <c r="E3579" i="2"/>
  <c r="D3579" i="2"/>
  <c r="C3579" i="2"/>
  <c r="B3579" i="2"/>
  <c r="E3578" i="2"/>
  <c r="D3578" i="2"/>
  <c r="C3578" i="2"/>
  <c r="B3578" i="2"/>
  <c r="E3577" i="2"/>
  <c r="D3577" i="2"/>
  <c r="C3577" i="2"/>
  <c r="B3577" i="2"/>
  <c r="E3576" i="2"/>
  <c r="D3576" i="2"/>
  <c r="C3576" i="2"/>
  <c r="B3576" i="2"/>
  <c r="E3575" i="2"/>
  <c r="D3575" i="2"/>
  <c r="C3575" i="2"/>
  <c r="B3575" i="2"/>
  <c r="E3574" i="2"/>
  <c r="D3574" i="2"/>
  <c r="C3574" i="2"/>
  <c r="B3574" i="2"/>
  <c r="E3573" i="2"/>
  <c r="D3573" i="2"/>
  <c r="C3573" i="2"/>
  <c r="B3573" i="2"/>
  <c r="E3572" i="2"/>
  <c r="D3572" i="2"/>
  <c r="C3572" i="2"/>
  <c r="B3572" i="2"/>
  <c r="E3571" i="2"/>
  <c r="D3571" i="2"/>
  <c r="C3571" i="2"/>
  <c r="B3571" i="2"/>
  <c r="E3570" i="2"/>
  <c r="D3570" i="2"/>
  <c r="C3570" i="2"/>
  <c r="B3570" i="2"/>
  <c r="E3569" i="2"/>
  <c r="D3569" i="2"/>
  <c r="C3569" i="2"/>
  <c r="B3569" i="2"/>
  <c r="E3568" i="2"/>
  <c r="D3568" i="2"/>
  <c r="C3568" i="2"/>
  <c r="B3568" i="2"/>
  <c r="E3567" i="2"/>
  <c r="D3567" i="2"/>
  <c r="C3567" i="2"/>
  <c r="B3567" i="2"/>
  <c r="E3566" i="2"/>
  <c r="D3566" i="2"/>
  <c r="C3566" i="2"/>
  <c r="B3566" i="2"/>
  <c r="E3565" i="2"/>
  <c r="D3565" i="2"/>
  <c r="C3565" i="2"/>
  <c r="B3565" i="2"/>
  <c r="E3564" i="2"/>
  <c r="D3564" i="2"/>
  <c r="C3564" i="2"/>
  <c r="B3564" i="2"/>
  <c r="E3563" i="2"/>
  <c r="D3563" i="2"/>
  <c r="C3563" i="2"/>
  <c r="B3563" i="2"/>
  <c r="E3562" i="2"/>
  <c r="D3562" i="2"/>
  <c r="C3562" i="2"/>
  <c r="B3562" i="2"/>
  <c r="E3561" i="2"/>
  <c r="D3561" i="2"/>
  <c r="C3561" i="2"/>
  <c r="B3561" i="2"/>
  <c r="E3560" i="2"/>
  <c r="D3560" i="2"/>
  <c r="C3560" i="2"/>
  <c r="B3560" i="2"/>
  <c r="E3559" i="2"/>
  <c r="D3559" i="2"/>
  <c r="C3559" i="2"/>
  <c r="B3559" i="2"/>
  <c r="E3558" i="2"/>
  <c r="D3558" i="2"/>
  <c r="C3558" i="2"/>
  <c r="B3558" i="2"/>
  <c r="E3557" i="2"/>
  <c r="D3557" i="2"/>
  <c r="C3557" i="2"/>
  <c r="B3557" i="2"/>
  <c r="E3556" i="2"/>
  <c r="D3556" i="2"/>
  <c r="C3556" i="2"/>
  <c r="B3556" i="2"/>
  <c r="E3555" i="2"/>
  <c r="D3555" i="2"/>
  <c r="C3555" i="2"/>
  <c r="B3555" i="2"/>
  <c r="E3554" i="2"/>
  <c r="D3554" i="2"/>
  <c r="C3554" i="2"/>
  <c r="B3554" i="2"/>
  <c r="E3553" i="2"/>
  <c r="D3553" i="2"/>
  <c r="C3553" i="2"/>
  <c r="B3553" i="2"/>
  <c r="E3552" i="2"/>
  <c r="D3552" i="2"/>
  <c r="C3552" i="2"/>
  <c r="B3552" i="2"/>
  <c r="E3551" i="2"/>
  <c r="D3551" i="2"/>
  <c r="C3551" i="2"/>
  <c r="B3551" i="2"/>
  <c r="E3550" i="2"/>
  <c r="D3550" i="2"/>
  <c r="C3550" i="2"/>
  <c r="B3550" i="2"/>
  <c r="E3549" i="2"/>
  <c r="D3549" i="2"/>
  <c r="C3549" i="2"/>
  <c r="B3549" i="2"/>
  <c r="E3548" i="2"/>
  <c r="D3548" i="2"/>
  <c r="C3548" i="2"/>
  <c r="B3548" i="2"/>
  <c r="E3547" i="2"/>
  <c r="D3547" i="2"/>
  <c r="C3547" i="2"/>
  <c r="B3547" i="2"/>
  <c r="E3546" i="2"/>
  <c r="D3546" i="2"/>
  <c r="C3546" i="2"/>
  <c r="B3546" i="2"/>
  <c r="E3545" i="2"/>
  <c r="D3545" i="2"/>
  <c r="C3545" i="2"/>
  <c r="B3545" i="2"/>
  <c r="E3544" i="2"/>
  <c r="D3544" i="2"/>
  <c r="C3544" i="2"/>
  <c r="B3544" i="2"/>
  <c r="E3543" i="2"/>
  <c r="D3543" i="2"/>
  <c r="C3543" i="2"/>
  <c r="B3543" i="2"/>
  <c r="E3542" i="2"/>
  <c r="D3542" i="2"/>
  <c r="C3542" i="2"/>
  <c r="B3542" i="2"/>
  <c r="E3541" i="2"/>
  <c r="D3541" i="2"/>
  <c r="C3541" i="2"/>
  <c r="B3541" i="2"/>
  <c r="E3540" i="2"/>
  <c r="D3540" i="2"/>
  <c r="C3540" i="2"/>
  <c r="B3540" i="2"/>
  <c r="E3539" i="2"/>
  <c r="D3539" i="2"/>
  <c r="C3539" i="2"/>
  <c r="B3539" i="2"/>
  <c r="E3538" i="2"/>
  <c r="D3538" i="2"/>
  <c r="C3538" i="2"/>
  <c r="B3538" i="2"/>
  <c r="E3537" i="2"/>
  <c r="D3537" i="2"/>
  <c r="C3537" i="2"/>
  <c r="B3537" i="2"/>
  <c r="E3536" i="2"/>
  <c r="D3536" i="2"/>
  <c r="C3536" i="2"/>
  <c r="B3536" i="2"/>
  <c r="E3535" i="2"/>
  <c r="D3535" i="2"/>
  <c r="C3535" i="2"/>
  <c r="B3535" i="2"/>
  <c r="E3534" i="2"/>
  <c r="D3534" i="2"/>
  <c r="C3534" i="2"/>
  <c r="B3534" i="2"/>
  <c r="E3533" i="2"/>
  <c r="D3533" i="2"/>
  <c r="C3533" i="2"/>
  <c r="B3533" i="2"/>
  <c r="E3532" i="2"/>
  <c r="D3532" i="2"/>
  <c r="C3532" i="2"/>
  <c r="B3532" i="2"/>
  <c r="E3531" i="2"/>
  <c r="D3531" i="2"/>
  <c r="C3531" i="2"/>
  <c r="B3531" i="2"/>
  <c r="E3530" i="2"/>
  <c r="D3530" i="2"/>
  <c r="C3530" i="2"/>
  <c r="B3530" i="2"/>
  <c r="E3529" i="2"/>
  <c r="D3529" i="2"/>
  <c r="C3529" i="2"/>
  <c r="B3529" i="2"/>
  <c r="E3528" i="2"/>
  <c r="D3528" i="2"/>
  <c r="C3528" i="2"/>
  <c r="B3528" i="2"/>
  <c r="E3527" i="2"/>
  <c r="D3527" i="2"/>
  <c r="C3527" i="2"/>
  <c r="B3527" i="2"/>
  <c r="E3526" i="2"/>
  <c r="D3526" i="2"/>
  <c r="C3526" i="2"/>
  <c r="B3526" i="2"/>
  <c r="E3525" i="2"/>
  <c r="D3525" i="2"/>
  <c r="C3525" i="2"/>
  <c r="B3525" i="2"/>
  <c r="E3524" i="2"/>
  <c r="D3524" i="2"/>
  <c r="C3524" i="2"/>
  <c r="B3524" i="2"/>
  <c r="E3523" i="2"/>
  <c r="D3523" i="2"/>
  <c r="C3523" i="2"/>
  <c r="B3523" i="2"/>
  <c r="E3522" i="2"/>
  <c r="D3522" i="2"/>
  <c r="C3522" i="2"/>
  <c r="B3522" i="2"/>
  <c r="E3521" i="2"/>
  <c r="D3521" i="2"/>
  <c r="C3521" i="2"/>
  <c r="B3521" i="2"/>
  <c r="E3520" i="2"/>
  <c r="D3520" i="2"/>
  <c r="C3520" i="2"/>
  <c r="B3520" i="2"/>
  <c r="E3519" i="2"/>
  <c r="D3519" i="2"/>
  <c r="C3519" i="2"/>
  <c r="B3519" i="2"/>
  <c r="E3518" i="2"/>
  <c r="D3518" i="2"/>
  <c r="C3518" i="2"/>
  <c r="B3518" i="2"/>
  <c r="E3517" i="2"/>
  <c r="D3517" i="2"/>
  <c r="C3517" i="2"/>
  <c r="B3517" i="2"/>
  <c r="E3516" i="2"/>
  <c r="D3516" i="2"/>
  <c r="C3516" i="2"/>
  <c r="B3516" i="2"/>
  <c r="E3515" i="2"/>
  <c r="D3515" i="2"/>
  <c r="C3515" i="2"/>
  <c r="B3515" i="2"/>
  <c r="E3514" i="2"/>
  <c r="D3514" i="2"/>
  <c r="C3514" i="2"/>
  <c r="B3514" i="2"/>
  <c r="E3513" i="2"/>
  <c r="D3513" i="2"/>
  <c r="C3513" i="2"/>
  <c r="B3513" i="2"/>
  <c r="E3512" i="2"/>
  <c r="D3512" i="2"/>
  <c r="C3512" i="2"/>
  <c r="B3512" i="2"/>
  <c r="E3511" i="2"/>
  <c r="D3511" i="2"/>
  <c r="C3511" i="2"/>
  <c r="B3511" i="2"/>
  <c r="E3510" i="2"/>
  <c r="D3510" i="2"/>
  <c r="C3510" i="2"/>
  <c r="B3510" i="2"/>
  <c r="E3509" i="2"/>
  <c r="D3509" i="2"/>
  <c r="C3509" i="2"/>
  <c r="B3509" i="2"/>
  <c r="E3508" i="2"/>
  <c r="D3508" i="2"/>
  <c r="C3508" i="2"/>
  <c r="B3508" i="2"/>
  <c r="E3507" i="2"/>
  <c r="D3507" i="2"/>
  <c r="C3507" i="2"/>
  <c r="B3507" i="2"/>
  <c r="E3506" i="2"/>
  <c r="D3506" i="2"/>
  <c r="C3506" i="2"/>
  <c r="B3506" i="2"/>
  <c r="E3505" i="2"/>
  <c r="D3505" i="2"/>
  <c r="C3505" i="2"/>
  <c r="B3505" i="2"/>
  <c r="E3504" i="2"/>
  <c r="D3504" i="2"/>
  <c r="C3504" i="2"/>
  <c r="B3504" i="2"/>
  <c r="E3503" i="2"/>
  <c r="D3503" i="2"/>
  <c r="C3503" i="2"/>
  <c r="B3503" i="2"/>
  <c r="E3502" i="2"/>
  <c r="D3502" i="2"/>
  <c r="C3502" i="2"/>
  <c r="B3502" i="2"/>
  <c r="E3501" i="2"/>
  <c r="D3501" i="2"/>
  <c r="C3501" i="2"/>
  <c r="B3501" i="2"/>
  <c r="E3500" i="2"/>
  <c r="D3500" i="2"/>
  <c r="C3500" i="2"/>
  <c r="B3500" i="2"/>
  <c r="E3499" i="2"/>
  <c r="D3499" i="2"/>
  <c r="C3499" i="2"/>
  <c r="B3499" i="2"/>
  <c r="E3498" i="2"/>
  <c r="D3498" i="2"/>
  <c r="C3498" i="2"/>
  <c r="B3498" i="2"/>
  <c r="E3497" i="2"/>
  <c r="D3497" i="2"/>
  <c r="C3497" i="2"/>
  <c r="B3497" i="2"/>
  <c r="E3496" i="2"/>
  <c r="D3496" i="2"/>
  <c r="C3496" i="2"/>
  <c r="B3496" i="2"/>
  <c r="E3495" i="2"/>
  <c r="D3495" i="2"/>
  <c r="C3495" i="2"/>
  <c r="B3495" i="2"/>
  <c r="E3494" i="2"/>
  <c r="D3494" i="2"/>
  <c r="C3494" i="2"/>
  <c r="B3494" i="2"/>
  <c r="E3493" i="2"/>
  <c r="D3493" i="2"/>
  <c r="C3493" i="2"/>
  <c r="B3493" i="2"/>
  <c r="E3492" i="2"/>
  <c r="D3492" i="2"/>
  <c r="C3492" i="2"/>
  <c r="B3492" i="2"/>
  <c r="E3491" i="2"/>
  <c r="D3491" i="2"/>
  <c r="C3491" i="2"/>
  <c r="B3491" i="2"/>
  <c r="E3490" i="2"/>
  <c r="D3490" i="2"/>
  <c r="C3490" i="2"/>
  <c r="B3490" i="2"/>
  <c r="E3489" i="2"/>
  <c r="D3489" i="2"/>
  <c r="C3489" i="2"/>
  <c r="B3489" i="2"/>
  <c r="E3488" i="2"/>
  <c r="D3488" i="2"/>
  <c r="C3488" i="2"/>
  <c r="B3488" i="2"/>
  <c r="E3487" i="2"/>
  <c r="D3487" i="2"/>
  <c r="C3487" i="2"/>
  <c r="B3487" i="2"/>
  <c r="E3486" i="2"/>
  <c r="D3486" i="2"/>
  <c r="C3486" i="2"/>
  <c r="B3486" i="2"/>
  <c r="E3485" i="2"/>
  <c r="D3485" i="2"/>
  <c r="C3485" i="2"/>
  <c r="B3485" i="2"/>
  <c r="E3484" i="2"/>
  <c r="D3484" i="2"/>
  <c r="C3484" i="2"/>
  <c r="B3484" i="2"/>
  <c r="E3483" i="2"/>
  <c r="D3483" i="2"/>
  <c r="C3483" i="2"/>
  <c r="B3483" i="2"/>
  <c r="E3482" i="2"/>
  <c r="D3482" i="2"/>
  <c r="C3482" i="2"/>
  <c r="B3482" i="2"/>
  <c r="E3481" i="2"/>
  <c r="D3481" i="2"/>
  <c r="C3481" i="2"/>
  <c r="B3481" i="2"/>
  <c r="E3480" i="2"/>
  <c r="D3480" i="2"/>
  <c r="C3480" i="2"/>
  <c r="B3480" i="2"/>
  <c r="E3479" i="2"/>
  <c r="D3479" i="2"/>
  <c r="C3479" i="2"/>
  <c r="B3479" i="2"/>
  <c r="E3478" i="2"/>
  <c r="D3478" i="2"/>
  <c r="C3478" i="2"/>
  <c r="B3478" i="2"/>
  <c r="E3477" i="2"/>
  <c r="D3477" i="2"/>
  <c r="C3477" i="2"/>
  <c r="B3477" i="2"/>
  <c r="E3476" i="2"/>
  <c r="D3476" i="2"/>
  <c r="C3476" i="2"/>
  <c r="B3476" i="2"/>
  <c r="E3475" i="2"/>
  <c r="D3475" i="2"/>
  <c r="C3475" i="2"/>
  <c r="B3475" i="2"/>
  <c r="E3474" i="2"/>
  <c r="D3474" i="2"/>
  <c r="C3474" i="2"/>
  <c r="B3474" i="2"/>
  <c r="E3473" i="2"/>
  <c r="D3473" i="2"/>
  <c r="C3473" i="2"/>
  <c r="B3473" i="2"/>
  <c r="E3472" i="2"/>
  <c r="D3472" i="2"/>
  <c r="C3472" i="2"/>
  <c r="B3472" i="2"/>
  <c r="E3471" i="2"/>
  <c r="D3471" i="2"/>
  <c r="C3471" i="2"/>
  <c r="B3471" i="2"/>
  <c r="E3470" i="2"/>
  <c r="D3470" i="2"/>
  <c r="C3470" i="2"/>
  <c r="B3470" i="2"/>
  <c r="E3469" i="2"/>
  <c r="D3469" i="2"/>
  <c r="C3469" i="2"/>
  <c r="B3469" i="2"/>
  <c r="E3468" i="2"/>
  <c r="D3468" i="2"/>
  <c r="C3468" i="2"/>
  <c r="B3468" i="2"/>
  <c r="E3467" i="2"/>
  <c r="D3467" i="2"/>
  <c r="C3467" i="2"/>
  <c r="B3467" i="2"/>
  <c r="E3466" i="2"/>
  <c r="D3466" i="2"/>
  <c r="C3466" i="2"/>
  <c r="B3466" i="2"/>
  <c r="E3465" i="2"/>
  <c r="D3465" i="2"/>
  <c r="C3465" i="2"/>
  <c r="B3465" i="2"/>
  <c r="E3464" i="2"/>
  <c r="D3464" i="2"/>
  <c r="C3464" i="2"/>
  <c r="B3464" i="2"/>
  <c r="E3463" i="2"/>
  <c r="D3463" i="2"/>
  <c r="C3463" i="2"/>
  <c r="B3463" i="2"/>
  <c r="E3462" i="2"/>
  <c r="D3462" i="2"/>
  <c r="C3462" i="2"/>
  <c r="B3462" i="2"/>
  <c r="E3461" i="2"/>
  <c r="D3461" i="2"/>
  <c r="C3461" i="2"/>
  <c r="B3461" i="2"/>
  <c r="E3460" i="2"/>
  <c r="D3460" i="2"/>
  <c r="C3460" i="2"/>
  <c r="B3460" i="2"/>
  <c r="E3459" i="2"/>
  <c r="D3459" i="2"/>
  <c r="C3459" i="2"/>
  <c r="B3459" i="2"/>
  <c r="E3458" i="2"/>
  <c r="D3458" i="2"/>
  <c r="C3458" i="2"/>
  <c r="B3458" i="2"/>
  <c r="E3457" i="2"/>
  <c r="D3457" i="2"/>
  <c r="C3457" i="2"/>
  <c r="B3457" i="2"/>
  <c r="E3456" i="2"/>
  <c r="D3456" i="2"/>
  <c r="C3456" i="2"/>
  <c r="B3456" i="2"/>
  <c r="E3455" i="2"/>
  <c r="D3455" i="2"/>
  <c r="C3455" i="2"/>
  <c r="B3455" i="2"/>
  <c r="E3454" i="2"/>
  <c r="D3454" i="2"/>
  <c r="C3454" i="2"/>
  <c r="B3454" i="2"/>
  <c r="E3453" i="2"/>
  <c r="D3453" i="2"/>
  <c r="C3453" i="2"/>
  <c r="B3453" i="2"/>
  <c r="E3452" i="2"/>
  <c r="D3452" i="2"/>
  <c r="C3452" i="2"/>
  <c r="B3452" i="2"/>
  <c r="E3451" i="2"/>
  <c r="D3451" i="2"/>
  <c r="C3451" i="2"/>
  <c r="B3451" i="2"/>
  <c r="E3450" i="2"/>
  <c r="D3450" i="2"/>
  <c r="C3450" i="2"/>
  <c r="B3450" i="2"/>
  <c r="E3449" i="2"/>
  <c r="D3449" i="2"/>
  <c r="C3449" i="2"/>
  <c r="B3449" i="2"/>
  <c r="E3448" i="2"/>
  <c r="D3448" i="2"/>
  <c r="C3448" i="2"/>
  <c r="B3448" i="2"/>
  <c r="E3447" i="2"/>
  <c r="D3447" i="2"/>
  <c r="C3447" i="2"/>
  <c r="B3447" i="2"/>
  <c r="E3446" i="2"/>
  <c r="D3446" i="2"/>
  <c r="C3446" i="2"/>
  <c r="B3446" i="2"/>
  <c r="E3445" i="2"/>
  <c r="D3445" i="2"/>
  <c r="C3445" i="2"/>
  <c r="B3445" i="2"/>
  <c r="E3444" i="2"/>
  <c r="D3444" i="2"/>
  <c r="C3444" i="2"/>
  <c r="B3444" i="2"/>
  <c r="E3443" i="2"/>
  <c r="D3443" i="2"/>
  <c r="C3443" i="2"/>
  <c r="B3443" i="2"/>
  <c r="E3442" i="2"/>
  <c r="D3442" i="2"/>
  <c r="C3442" i="2"/>
  <c r="B3442" i="2"/>
  <c r="E3441" i="2"/>
  <c r="D3441" i="2"/>
  <c r="C3441" i="2"/>
  <c r="B3441" i="2"/>
  <c r="E3440" i="2"/>
  <c r="D3440" i="2"/>
  <c r="C3440" i="2"/>
  <c r="B3440" i="2"/>
  <c r="E3439" i="2"/>
  <c r="D3439" i="2"/>
  <c r="C3439" i="2"/>
  <c r="B3439" i="2"/>
  <c r="E3438" i="2"/>
  <c r="D3438" i="2"/>
  <c r="C3438" i="2"/>
  <c r="B3438" i="2"/>
  <c r="E3437" i="2"/>
  <c r="D3437" i="2"/>
  <c r="C3437" i="2"/>
  <c r="B3437" i="2"/>
  <c r="E3436" i="2"/>
  <c r="D3436" i="2"/>
  <c r="C3436" i="2"/>
  <c r="B3436" i="2"/>
  <c r="E3435" i="2"/>
  <c r="D3435" i="2"/>
  <c r="C3435" i="2"/>
  <c r="B3435" i="2"/>
  <c r="E3434" i="2"/>
  <c r="D3434" i="2"/>
  <c r="C3434" i="2"/>
  <c r="B3434" i="2"/>
  <c r="E3433" i="2"/>
  <c r="D3433" i="2"/>
  <c r="C3433" i="2"/>
  <c r="B3433" i="2"/>
  <c r="E3432" i="2"/>
  <c r="D3432" i="2"/>
  <c r="C3432" i="2"/>
  <c r="B3432" i="2"/>
  <c r="E3431" i="2"/>
  <c r="D3431" i="2"/>
  <c r="C3431" i="2"/>
  <c r="B3431" i="2"/>
  <c r="E3430" i="2"/>
  <c r="D3430" i="2"/>
  <c r="C3430" i="2"/>
  <c r="B3430" i="2"/>
  <c r="E3429" i="2"/>
  <c r="D3429" i="2"/>
  <c r="C3429" i="2"/>
  <c r="B3429" i="2"/>
  <c r="E3428" i="2"/>
  <c r="D3428" i="2"/>
  <c r="C3428" i="2"/>
  <c r="B3428" i="2"/>
  <c r="E3427" i="2"/>
  <c r="D3427" i="2"/>
  <c r="C3427" i="2"/>
  <c r="B3427" i="2"/>
  <c r="E3426" i="2"/>
  <c r="D3426" i="2"/>
  <c r="C3426" i="2"/>
  <c r="B3426" i="2"/>
  <c r="E3425" i="2"/>
  <c r="D3425" i="2"/>
  <c r="C3425" i="2"/>
  <c r="B3425" i="2"/>
  <c r="E3424" i="2"/>
  <c r="D3424" i="2"/>
  <c r="C3424" i="2"/>
  <c r="B3424" i="2"/>
  <c r="E3423" i="2"/>
  <c r="D3423" i="2"/>
  <c r="C3423" i="2"/>
  <c r="B3423" i="2"/>
  <c r="E3422" i="2"/>
  <c r="D3422" i="2"/>
  <c r="C3422" i="2"/>
  <c r="B3422" i="2"/>
  <c r="E3421" i="2"/>
  <c r="D3421" i="2"/>
  <c r="C3421" i="2"/>
  <c r="B3421" i="2"/>
  <c r="E3420" i="2"/>
  <c r="D3420" i="2"/>
  <c r="C3420" i="2"/>
  <c r="B3420" i="2"/>
  <c r="E3419" i="2"/>
  <c r="D3419" i="2"/>
  <c r="C3419" i="2"/>
  <c r="B3419" i="2"/>
  <c r="E3418" i="2"/>
  <c r="D3418" i="2"/>
  <c r="C3418" i="2"/>
  <c r="B3418" i="2"/>
  <c r="E3417" i="2"/>
  <c r="D3417" i="2"/>
  <c r="C3417" i="2"/>
  <c r="B3417" i="2"/>
  <c r="E3416" i="2"/>
  <c r="D3416" i="2"/>
  <c r="C3416" i="2"/>
  <c r="B3416" i="2"/>
  <c r="E3415" i="2"/>
  <c r="D3415" i="2"/>
  <c r="C3415" i="2"/>
  <c r="B3415" i="2"/>
  <c r="E3414" i="2"/>
  <c r="D3414" i="2"/>
  <c r="C3414" i="2"/>
  <c r="B3414" i="2"/>
  <c r="E3413" i="2"/>
  <c r="D3413" i="2"/>
  <c r="C3413" i="2"/>
  <c r="B3413" i="2"/>
  <c r="E3412" i="2"/>
  <c r="D3412" i="2"/>
  <c r="C3412" i="2"/>
  <c r="B3412" i="2"/>
  <c r="E3411" i="2"/>
  <c r="D3411" i="2"/>
  <c r="C3411" i="2"/>
  <c r="B3411" i="2"/>
  <c r="E3410" i="2"/>
  <c r="D3410" i="2"/>
  <c r="C3410" i="2"/>
  <c r="B3410" i="2"/>
  <c r="E3409" i="2"/>
  <c r="D3409" i="2"/>
  <c r="C3409" i="2"/>
  <c r="B3409" i="2"/>
  <c r="E3408" i="2"/>
  <c r="D3408" i="2"/>
  <c r="C3408" i="2"/>
  <c r="B3408" i="2"/>
  <c r="E3407" i="2"/>
  <c r="D3407" i="2"/>
  <c r="C3407" i="2"/>
  <c r="B3407" i="2"/>
  <c r="E3406" i="2"/>
  <c r="D3406" i="2"/>
  <c r="C3406" i="2"/>
  <c r="B3406" i="2"/>
  <c r="E3405" i="2"/>
  <c r="D3405" i="2"/>
  <c r="C3405" i="2"/>
  <c r="B3405" i="2"/>
  <c r="E3404" i="2"/>
  <c r="D3404" i="2"/>
  <c r="C3404" i="2"/>
  <c r="B3404" i="2"/>
  <c r="E3403" i="2"/>
  <c r="D3403" i="2"/>
  <c r="C3403" i="2"/>
  <c r="B3403" i="2"/>
  <c r="E3402" i="2"/>
  <c r="D3402" i="2"/>
  <c r="C3402" i="2"/>
  <c r="B3402" i="2"/>
  <c r="E3401" i="2"/>
  <c r="D3401" i="2"/>
  <c r="C3401" i="2"/>
  <c r="B3401" i="2"/>
  <c r="E3400" i="2"/>
  <c r="D3400" i="2"/>
  <c r="C3400" i="2"/>
  <c r="B3400" i="2"/>
  <c r="E3399" i="2"/>
  <c r="D3399" i="2"/>
  <c r="C3399" i="2"/>
  <c r="B3399" i="2"/>
  <c r="E3398" i="2"/>
  <c r="D3398" i="2"/>
  <c r="C3398" i="2"/>
  <c r="B3398" i="2"/>
  <c r="E3397" i="2"/>
  <c r="D3397" i="2"/>
  <c r="C3397" i="2"/>
  <c r="B3397" i="2"/>
  <c r="E3396" i="2"/>
  <c r="D3396" i="2"/>
  <c r="C3396" i="2"/>
  <c r="B3396" i="2"/>
  <c r="E3395" i="2"/>
  <c r="D3395" i="2"/>
  <c r="C3395" i="2"/>
  <c r="B3395" i="2"/>
  <c r="E3394" i="2"/>
  <c r="D3394" i="2"/>
  <c r="C3394" i="2"/>
  <c r="B3394" i="2"/>
  <c r="E3393" i="2"/>
  <c r="D3393" i="2"/>
  <c r="C3393" i="2"/>
  <c r="B3393" i="2"/>
  <c r="E3392" i="2"/>
  <c r="D3392" i="2"/>
  <c r="C3392" i="2"/>
  <c r="B3392" i="2"/>
  <c r="E3391" i="2"/>
  <c r="D3391" i="2"/>
  <c r="C3391" i="2"/>
  <c r="B3391" i="2"/>
  <c r="E3390" i="2"/>
  <c r="D3390" i="2"/>
  <c r="C3390" i="2"/>
  <c r="B3390" i="2"/>
  <c r="E3389" i="2"/>
  <c r="D3389" i="2"/>
  <c r="C3389" i="2"/>
  <c r="B3389" i="2"/>
  <c r="E3388" i="2"/>
  <c r="D3388" i="2"/>
  <c r="C3388" i="2"/>
  <c r="B3388" i="2"/>
  <c r="E3387" i="2"/>
  <c r="D3387" i="2"/>
  <c r="C3387" i="2"/>
  <c r="B3387" i="2"/>
  <c r="E3386" i="2"/>
  <c r="D3386" i="2"/>
  <c r="C3386" i="2"/>
  <c r="B3386" i="2"/>
  <c r="E3385" i="2"/>
  <c r="D3385" i="2"/>
  <c r="C3385" i="2"/>
  <c r="B3385" i="2"/>
  <c r="E3384" i="2"/>
  <c r="D3384" i="2"/>
  <c r="C3384" i="2"/>
  <c r="B3384" i="2"/>
  <c r="E3383" i="2"/>
  <c r="D3383" i="2"/>
  <c r="C3383" i="2"/>
  <c r="B3383" i="2"/>
  <c r="E3382" i="2"/>
  <c r="D3382" i="2"/>
  <c r="C3382" i="2"/>
  <c r="B3382" i="2"/>
  <c r="E3381" i="2"/>
  <c r="D3381" i="2"/>
  <c r="C3381" i="2"/>
  <c r="B3381" i="2"/>
  <c r="E3380" i="2"/>
  <c r="D3380" i="2"/>
  <c r="C3380" i="2"/>
  <c r="B3380" i="2"/>
  <c r="E3379" i="2"/>
  <c r="D3379" i="2"/>
  <c r="C3379" i="2"/>
  <c r="B3379" i="2"/>
  <c r="E3378" i="2"/>
  <c r="D3378" i="2"/>
  <c r="C3378" i="2"/>
  <c r="B3378" i="2"/>
  <c r="E3377" i="2"/>
  <c r="D3377" i="2"/>
  <c r="C3377" i="2"/>
  <c r="B3377" i="2"/>
  <c r="E3376" i="2"/>
  <c r="D3376" i="2"/>
  <c r="C3376" i="2"/>
  <c r="B3376" i="2"/>
  <c r="E3375" i="2"/>
  <c r="D3375" i="2"/>
  <c r="C3375" i="2"/>
  <c r="B3375" i="2"/>
  <c r="E3374" i="2"/>
  <c r="D3374" i="2"/>
  <c r="C3374" i="2"/>
  <c r="B3374" i="2"/>
  <c r="E3373" i="2"/>
  <c r="D3373" i="2"/>
  <c r="C3373" i="2"/>
  <c r="B3373" i="2"/>
  <c r="E3372" i="2"/>
  <c r="D3372" i="2"/>
  <c r="C3372" i="2"/>
  <c r="B3372" i="2"/>
  <c r="E3371" i="2"/>
  <c r="D3371" i="2"/>
  <c r="C3371" i="2"/>
  <c r="B3371" i="2"/>
  <c r="E3370" i="2"/>
  <c r="D3370" i="2"/>
  <c r="C3370" i="2"/>
  <c r="B3370" i="2"/>
  <c r="E3369" i="2"/>
  <c r="D3369" i="2"/>
  <c r="C3369" i="2"/>
  <c r="B3369" i="2"/>
  <c r="E3368" i="2"/>
  <c r="D3368" i="2"/>
  <c r="C3368" i="2"/>
  <c r="B3368" i="2"/>
  <c r="E3367" i="2"/>
  <c r="D3367" i="2"/>
  <c r="C3367" i="2"/>
  <c r="B3367" i="2"/>
  <c r="E3366" i="2"/>
  <c r="D3366" i="2"/>
  <c r="C3366" i="2"/>
  <c r="B3366" i="2"/>
  <c r="E3365" i="2"/>
  <c r="D3365" i="2"/>
  <c r="C3365" i="2"/>
  <c r="B3365" i="2"/>
  <c r="E3364" i="2"/>
  <c r="D3364" i="2"/>
  <c r="C3364" i="2"/>
  <c r="B3364" i="2"/>
  <c r="E3363" i="2"/>
  <c r="D3363" i="2"/>
  <c r="C3363" i="2"/>
  <c r="B3363" i="2"/>
  <c r="E3362" i="2"/>
  <c r="D3362" i="2"/>
  <c r="C3362" i="2"/>
  <c r="B3362" i="2"/>
  <c r="E3361" i="2"/>
  <c r="D3361" i="2"/>
  <c r="C3361" i="2"/>
  <c r="B3361" i="2"/>
  <c r="E3360" i="2"/>
  <c r="D3360" i="2"/>
  <c r="C3360" i="2"/>
  <c r="B3360" i="2"/>
  <c r="E3359" i="2"/>
  <c r="D3359" i="2"/>
  <c r="C3359" i="2"/>
  <c r="B3359" i="2"/>
  <c r="E3358" i="2"/>
  <c r="D3358" i="2"/>
  <c r="C3358" i="2"/>
  <c r="B3358" i="2"/>
  <c r="E3357" i="2"/>
  <c r="D3357" i="2"/>
  <c r="C3357" i="2"/>
  <c r="B3357" i="2"/>
  <c r="E3356" i="2"/>
  <c r="D3356" i="2"/>
  <c r="C3356" i="2"/>
  <c r="B3356" i="2"/>
  <c r="E3355" i="2"/>
  <c r="D3355" i="2"/>
  <c r="C3355" i="2"/>
  <c r="B3355" i="2"/>
  <c r="E3354" i="2"/>
  <c r="D3354" i="2"/>
  <c r="C3354" i="2"/>
  <c r="B3354" i="2"/>
  <c r="E3353" i="2"/>
  <c r="D3353" i="2"/>
  <c r="C3353" i="2"/>
  <c r="B3353" i="2"/>
  <c r="E3352" i="2"/>
  <c r="D3352" i="2"/>
  <c r="C3352" i="2"/>
  <c r="B3352" i="2"/>
  <c r="E3351" i="2"/>
  <c r="D3351" i="2"/>
  <c r="C3351" i="2"/>
  <c r="B3351" i="2"/>
  <c r="E3350" i="2"/>
  <c r="D3350" i="2"/>
  <c r="C3350" i="2"/>
  <c r="B3350" i="2"/>
  <c r="E3349" i="2"/>
  <c r="D3349" i="2"/>
  <c r="C3349" i="2"/>
  <c r="B3349" i="2"/>
  <c r="E3348" i="2"/>
  <c r="D3348" i="2"/>
  <c r="C3348" i="2"/>
  <c r="B3348" i="2"/>
  <c r="E3347" i="2"/>
  <c r="D3347" i="2"/>
  <c r="C3347" i="2"/>
  <c r="B3347" i="2"/>
  <c r="E3346" i="2"/>
  <c r="D3346" i="2"/>
  <c r="C3346" i="2"/>
  <c r="B3346" i="2"/>
  <c r="E3345" i="2"/>
  <c r="D3345" i="2"/>
  <c r="C3345" i="2"/>
  <c r="B3345" i="2"/>
  <c r="E3344" i="2"/>
  <c r="D3344" i="2"/>
  <c r="C3344" i="2"/>
  <c r="B3344" i="2"/>
  <c r="E3343" i="2"/>
  <c r="D3343" i="2"/>
  <c r="C3343" i="2"/>
  <c r="B3343" i="2"/>
  <c r="E3342" i="2"/>
  <c r="D3342" i="2"/>
  <c r="C3342" i="2"/>
  <c r="B3342" i="2"/>
  <c r="E3341" i="2"/>
  <c r="D3341" i="2"/>
  <c r="C3341" i="2"/>
  <c r="B3341" i="2"/>
  <c r="E3340" i="2"/>
  <c r="D3340" i="2"/>
  <c r="C3340" i="2"/>
  <c r="B3340" i="2"/>
  <c r="E3339" i="2"/>
  <c r="D3339" i="2"/>
  <c r="C3339" i="2"/>
  <c r="B3339" i="2"/>
  <c r="E3338" i="2"/>
  <c r="D3338" i="2"/>
  <c r="C3338" i="2"/>
  <c r="B3338" i="2"/>
  <c r="E3337" i="2"/>
  <c r="D3337" i="2"/>
  <c r="C3337" i="2"/>
  <c r="B3337" i="2"/>
  <c r="E3336" i="2"/>
  <c r="D3336" i="2"/>
  <c r="C3336" i="2"/>
  <c r="B3336" i="2"/>
  <c r="E3335" i="2"/>
  <c r="D3335" i="2"/>
  <c r="C3335" i="2"/>
  <c r="B3335" i="2"/>
  <c r="E3334" i="2"/>
  <c r="D3334" i="2"/>
  <c r="C3334" i="2"/>
  <c r="B3334" i="2"/>
  <c r="E3333" i="2"/>
  <c r="D3333" i="2"/>
  <c r="C3333" i="2"/>
  <c r="B3333" i="2"/>
  <c r="E3332" i="2"/>
  <c r="D3332" i="2"/>
  <c r="C3332" i="2"/>
  <c r="B3332" i="2"/>
  <c r="E3331" i="2"/>
  <c r="D3331" i="2"/>
  <c r="C3331" i="2"/>
  <c r="B3331" i="2"/>
  <c r="E3330" i="2"/>
  <c r="D3330" i="2"/>
  <c r="C3330" i="2"/>
  <c r="B3330" i="2"/>
  <c r="E3329" i="2"/>
  <c r="D3329" i="2"/>
  <c r="C3329" i="2"/>
  <c r="B3329" i="2"/>
  <c r="E3328" i="2"/>
  <c r="D3328" i="2"/>
  <c r="C3328" i="2"/>
  <c r="B3328" i="2"/>
  <c r="E3327" i="2"/>
  <c r="D3327" i="2"/>
  <c r="C3327" i="2"/>
  <c r="B3327" i="2"/>
  <c r="E3326" i="2"/>
  <c r="D3326" i="2"/>
  <c r="C3326" i="2"/>
  <c r="B3326" i="2"/>
  <c r="E3325" i="2"/>
  <c r="D3325" i="2"/>
  <c r="C3325" i="2"/>
  <c r="B3325" i="2"/>
  <c r="E3324" i="2"/>
  <c r="D3324" i="2"/>
  <c r="C3324" i="2"/>
  <c r="B3324" i="2"/>
  <c r="E3323" i="2"/>
  <c r="D3323" i="2"/>
  <c r="C3323" i="2"/>
  <c r="B3323" i="2"/>
  <c r="E3322" i="2"/>
  <c r="D3322" i="2"/>
  <c r="C3322" i="2"/>
  <c r="B3322" i="2"/>
  <c r="E3321" i="2"/>
  <c r="D3321" i="2"/>
  <c r="C3321" i="2"/>
  <c r="B3321" i="2"/>
  <c r="E3320" i="2"/>
  <c r="D3320" i="2"/>
  <c r="C3320" i="2"/>
  <c r="B3320" i="2"/>
  <c r="E3319" i="2"/>
  <c r="D3319" i="2"/>
  <c r="C3319" i="2"/>
  <c r="B3319" i="2"/>
  <c r="E3318" i="2"/>
  <c r="D3318" i="2"/>
  <c r="C3318" i="2"/>
  <c r="B3318" i="2"/>
  <c r="E3317" i="2"/>
  <c r="D3317" i="2"/>
  <c r="C3317" i="2"/>
  <c r="B3317" i="2"/>
  <c r="E3316" i="2"/>
  <c r="D3316" i="2"/>
  <c r="C3316" i="2"/>
  <c r="B3316" i="2"/>
  <c r="E3315" i="2"/>
  <c r="D3315" i="2"/>
  <c r="C3315" i="2"/>
  <c r="B3315" i="2"/>
  <c r="E3314" i="2"/>
  <c r="D3314" i="2"/>
  <c r="C3314" i="2"/>
  <c r="B3314" i="2"/>
  <c r="E3313" i="2"/>
  <c r="D3313" i="2"/>
  <c r="C3313" i="2"/>
  <c r="B3313" i="2"/>
  <c r="E3312" i="2"/>
  <c r="D3312" i="2"/>
  <c r="C3312" i="2"/>
  <c r="B3312" i="2"/>
  <c r="E3311" i="2"/>
  <c r="D3311" i="2"/>
  <c r="C3311" i="2"/>
  <c r="B3311" i="2"/>
  <c r="E3310" i="2"/>
  <c r="D3310" i="2"/>
  <c r="C3310" i="2"/>
  <c r="B3310" i="2"/>
  <c r="E3309" i="2"/>
  <c r="D3309" i="2"/>
  <c r="C3309" i="2"/>
  <c r="B3309" i="2"/>
  <c r="E3308" i="2"/>
  <c r="D3308" i="2"/>
  <c r="C3308" i="2"/>
  <c r="B3308" i="2"/>
  <c r="E3307" i="2"/>
  <c r="D3307" i="2"/>
  <c r="C3307" i="2"/>
  <c r="B3307" i="2"/>
  <c r="E3306" i="2"/>
  <c r="D3306" i="2"/>
  <c r="C3306" i="2"/>
  <c r="B3306" i="2"/>
  <c r="E3305" i="2"/>
  <c r="D3305" i="2"/>
  <c r="C3305" i="2"/>
  <c r="B3305" i="2"/>
  <c r="E3304" i="2"/>
  <c r="D3304" i="2"/>
  <c r="C3304" i="2"/>
  <c r="B3304" i="2"/>
  <c r="E3303" i="2"/>
  <c r="D3303" i="2"/>
  <c r="C3303" i="2"/>
  <c r="B3303" i="2"/>
  <c r="E3302" i="2"/>
  <c r="D3302" i="2"/>
  <c r="C3302" i="2"/>
  <c r="B3302" i="2"/>
  <c r="E3301" i="2"/>
  <c r="D3301" i="2"/>
  <c r="C3301" i="2"/>
  <c r="B3301" i="2"/>
  <c r="E3300" i="2"/>
  <c r="D3300" i="2"/>
  <c r="C3300" i="2"/>
  <c r="B3300" i="2"/>
  <c r="E3299" i="2"/>
  <c r="D3299" i="2"/>
  <c r="C3299" i="2"/>
  <c r="B3299" i="2"/>
  <c r="E3298" i="2"/>
  <c r="D3298" i="2"/>
  <c r="C3298" i="2"/>
  <c r="B3298" i="2"/>
  <c r="E3297" i="2"/>
  <c r="D3297" i="2"/>
  <c r="C3297" i="2"/>
  <c r="B3297" i="2"/>
  <c r="E3296" i="2"/>
  <c r="D3296" i="2"/>
  <c r="C3296" i="2"/>
  <c r="B3296" i="2"/>
  <c r="E3295" i="2"/>
  <c r="D3295" i="2"/>
  <c r="C3295" i="2"/>
  <c r="B3295" i="2"/>
  <c r="E3294" i="2"/>
  <c r="D3294" i="2"/>
  <c r="C3294" i="2"/>
  <c r="B3294" i="2"/>
  <c r="E3293" i="2"/>
  <c r="D3293" i="2"/>
  <c r="C3293" i="2"/>
  <c r="B3293" i="2"/>
  <c r="E3292" i="2"/>
  <c r="D3292" i="2"/>
  <c r="C3292" i="2"/>
  <c r="B3292" i="2"/>
  <c r="E3291" i="2"/>
  <c r="D3291" i="2"/>
  <c r="C3291" i="2"/>
  <c r="B3291" i="2"/>
  <c r="E3290" i="2"/>
  <c r="D3290" i="2"/>
  <c r="C3290" i="2"/>
  <c r="B3290" i="2"/>
  <c r="E3289" i="2"/>
  <c r="D3289" i="2"/>
  <c r="C3289" i="2"/>
  <c r="B3289" i="2"/>
  <c r="E3288" i="2"/>
  <c r="D3288" i="2"/>
  <c r="C3288" i="2"/>
  <c r="B3288" i="2"/>
  <c r="E3287" i="2"/>
  <c r="D3287" i="2"/>
  <c r="C3287" i="2"/>
  <c r="B3287" i="2"/>
  <c r="E3286" i="2"/>
  <c r="D3286" i="2"/>
  <c r="C3286" i="2"/>
  <c r="B3286" i="2"/>
  <c r="E3285" i="2"/>
  <c r="D3285" i="2"/>
  <c r="C3285" i="2"/>
  <c r="B3285" i="2"/>
  <c r="E3284" i="2"/>
  <c r="D3284" i="2"/>
  <c r="C3284" i="2"/>
  <c r="B3284" i="2"/>
  <c r="E3283" i="2"/>
  <c r="D3283" i="2"/>
  <c r="C3283" i="2"/>
  <c r="B3283" i="2"/>
  <c r="E3282" i="2"/>
  <c r="D3282" i="2"/>
  <c r="C3282" i="2"/>
  <c r="B3282" i="2"/>
  <c r="E3281" i="2"/>
  <c r="D3281" i="2"/>
  <c r="C3281" i="2"/>
  <c r="B3281" i="2"/>
  <c r="E3280" i="2"/>
  <c r="D3280" i="2"/>
  <c r="C3280" i="2"/>
  <c r="B3280" i="2"/>
  <c r="E3279" i="2"/>
  <c r="D3279" i="2"/>
  <c r="C3279" i="2"/>
  <c r="B3279" i="2"/>
  <c r="E3278" i="2"/>
  <c r="D3278" i="2"/>
  <c r="C3278" i="2"/>
  <c r="B3278" i="2"/>
  <c r="E3277" i="2"/>
  <c r="D3277" i="2"/>
  <c r="C3277" i="2"/>
  <c r="B3277" i="2"/>
  <c r="E3276" i="2"/>
  <c r="D3276" i="2"/>
  <c r="C3276" i="2"/>
  <c r="B3276" i="2"/>
  <c r="E3275" i="2"/>
  <c r="D3275" i="2"/>
  <c r="C3275" i="2"/>
  <c r="B3275" i="2"/>
  <c r="E3274" i="2"/>
  <c r="D3274" i="2"/>
  <c r="C3274" i="2"/>
  <c r="B3274" i="2"/>
  <c r="E3273" i="2"/>
  <c r="D3273" i="2"/>
  <c r="C3273" i="2"/>
  <c r="B3273" i="2"/>
  <c r="E3272" i="2"/>
  <c r="D3272" i="2"/>
  <c r="C3272" i="2"/>
  <c r="B3272" i="2"/>
  <c r="E3271" i="2"/>
  <c r="D3271" i="2"/>
  <c r="C3271" i="2"/>
  <c r="B3271" i="2"/>
  <c r="E3270" i="2"/>
  <c r="D3270" i="2"/>
  <c r="C3270" i="2"/>
  <c r="B3270" i="2"/>
  <c r="E3269" i="2"/>
  <c r="D3269" i="2"/>
  <c r="C3269" i="2"/>
  <c r="B3269" i="2"/>
  <c r="E3268" i="2"/>
  <c r="D3268" i="2"/>
  <c r="C3268" i="2"/>
  <c r="B3268" i="2"/>
  <c r="E3267" i="2"/>
  <c r="D3267" i="2"/>
  <c r="C3267" i="2"/>
  <c r="B3267" i="2"/>
  <c r="E3266" i="2"/>
  <c r="D3266" i="2"/>
  <c r="C3266" i="2"/>
  <c r="B3266" i="2"/>
  <c r="E3265" i="2"/>
  <c r="D3265" i="2"/>
  <c r="C3265" i="2"/>
  <c r="B3265" i="2"/>
  <c r="E3264" i="2"/>
  <c r="D3264" i="2"/>
  <c r="C3264" i="2"/>
  <c r="B3264" i="2"/>
  <c r="E3263" i="2"/>
  <c r="D3263" i="2"/>
  <c r="C3263" i="2"/>
  <c r="B3263" i="2"/>
  <c r="E3262" i="2"/>
  <c r="D3262" i="2"/>
  <c r="C3262" i="2"/>
  <c r="B3262" i="2"/>
  <c r="E3261" i="2"/>
  <c r="D3261" i="2"/>
  <c r="C3261" i="2"/>
  <c r="B3261" i="2"/>
  <c r="E3260" i="2"/>
  <c r="D3260" i="2"/>
  <c r="C3260" i="2"/>
  <c r="B3260" i="2"/>
  <c r="E3259" i="2"/>
  <c r="D3259" i="2"/>
  <c r="C3259" i="2"/>
  <c r="B3259" i="2"/>
  <c r="E3258" i="2"/>
  <c r="D3258" i="2"/>
  <c r="C3258" i="2"/>
  <c r="B3258" i="2"/>
  <c r="E3257" i="2"/>
  <c r="D3257" i="2"/>
  <c r="C3257" i="2"/>
  <c r="B3257" i="2"/>
  <c r="E3256" i="2"/>
  <c r="D3256" i="2"/>
  <c r="C3256" i="2"/>
  <c r="B3256" i="2"/>
  <c r="E3255" i="2"/>
  <c r="D3255" i="2"/>
  <c r="C3255" i="2"/>
  <c r="B3255" i="2"/>
  <c r="E3254" i="2"/>
  <c r="D3254" i="2"/>
  <c r="C3254" i="2"/>
  <c r="B3254" i="2"/>
  <c r="E3253" i="2"/>
  <c r="D3253" i="2"/>
  <c r="C3253" i="2"/>
  <c r="B3253" i="2"/>
  <c r="E3252" i="2"/>
  <c r="D3252" i="2"/>
  <c r="C3252" i="2"/>
  <c r="B3252" i="2"/>
  <c r="E3251" i="2"/>
  <c r="D3251" i="2"/>
  <c r="C3251" i="2"/>
  <c r="B3251" i="2"/>
  <c r="E3250" i="2"/>
  <c r="D3250" i="2"/>
  <c r="C3250" i="2"/>
  <c r="B3250" i="2"/>
  <c r="E3249" i="2"/>
  <c r="D3249" i="2"/>
  <c r="C3249" i="2"/>
  <c r="B3249" i="2"/>
  <c r="E3248" i="2"/>
  <c r="D3248" i="2"/>
  <c r="C3248" i="2"/>
  <c r="B3248" i="2"/>
  <c r="E3247" i="2"/>
  <c r="D3247" i="2"/>
  <c r="C3247" i="2"/>
  <c r="B3247" i="2"/>
  <c r="E3246" i="2"/>
  <c r="D3246" i="2"/>
  <c r="C3246" i="2"/>
  <c r="B3246" i="2"/>
  <c r="E3245" i="2"/>
  <c r="D3245" i="2"/>
  <c r="C3245" i="2"/>
  <c r="B3245" i="2"/>
  <c r="E3244" i="2"/>
  <c r="D3244" i="2"/>
  <c r="C3244" i="2"/>
  <c r="B3244" i="2"/>
  <c r="E3243" i="2"/>
  <c r="D3243" i="2"/>
  <c r="C3243" i="2"/>
  <c r="B3243" i="2"/>
  <c r="E3242" i="2"/>
  <c r="D3242" i="2"/>
  <c r="C3242" i="2"/>
  <c r="B3242" i="2"/>
  <c r="E3241" i="2"/>
  <c r="D3241" i="2"/>
  <c r="C3241" i="2"/>
  <c r="B3241" i="2"/>
  <c r="E3240" i="2"/>
  <c r="D3240" i="2"/>
  <c r="C3240" i="2"/>
  <c r="B3240" i="2"/>
  <c r="E3239" i="2"/>
  <c r="D3239" i="2"/>
  <c r="C3239" i="2"/>
  <c r="B3239" i="2"/>
  <c r="E3238" i="2"/>
  <c r="D3238" i="2"/>
  <c r="C3238" i="2"/>
  <c r="B3238" i="2"/>
  <c r="E3237" i="2"/>
  <c r="D3237" i="2"/>
  <c r="C3237" i="2"/>
  <c r="B3237" i="2"/>
  <c r="E3236" i="2"/>
  <c r="D3236" i="2"/>
  <c r="C3236" i="2"/>
  <c r="B3236" i="2"/>
  <c r="E3235" i="2"/>
  <c r="D3235" i="2"/>
  <c r="C3235" i="2"/>
  <c r="B3235" i="2"/>
  <c r="E3234" i="2"/>
  <c r="D3234" i="2"/>
  <c r="C3234" i="2"/>
  <c r="B3234" i="2"/>
  <c r="E3233" i="2"/>
  <c r="D3233" i="2"/>
  <c r="C3233" i="2"/>
  <c r="B3233" i="2"/>
  <c r="E3232" i="2"/>
  <c r="D3232" i="2"/>
  <c r="C3232" i="2"/>
  <c r="B3232" i="2"/>
  <c r="E3231" i="2"/>
  <c r="D3231" i="2"/>
  <c r="C3231" i="2"/>
  <c r="B3231" i="2"/>
  <c r="E3230" i="2"/>
  <c r="D3230" i="2"/>
  <c r="C3230" i="2"/>
  <c r="B3230" i="2"/>
  <c r="E3229" i="2"/>
  <c r="D3229" i="2"/>
  <c r="C3229" i="2"/>
  <c r="B3229" i="2"/>
  <c r="E3228" i="2"/>
  <c r="D3228" i="2"/>
  <c r="C3228" i="2"/>
  <c r="B3228" i="2"/>
  <c r="E3227" i="2"/>
  <c r="D3227" i="2"/>
  <c r="C3227" i="2"/>
  <c r="B3227" i="2"/>
  <c r="E3226" i="2"/>
  <c r="D3226" i="2"/>
  <c r="C3226" i="2"/>
  <c r="B3226" i="2"/>
  <c r="E3225" i="2"/>
  <c r="D3225" i="2"/>
  <c r="C3225" i="2"/>
  <c r="B3225" i="2"/>
  <c r="E3224" i="2"/>
  <c r="D3224" i="2"/>
  <c r="C3224" i="2"/>
  <c r="B3224" i="2"/>
  <c r="E3223" i="2"/>
  <c r="D3223" i="2"/>
  <c r="C3223" i="2"/>
  <c r="B3223" i="2"/>
  <c r="E3222" i="2"/>
  <c r="D3222" i="2"/>
  <c r="C3222" i="2"/>
  <c r="B3222" i="2"/>
  <c r="E3221" i="2"/>
  <c r="D3221" i="2"/>
  <c r="C3221" i="2"/>
  <c r="B3221" i="2"/>
  <c r="E3220" i="2"/>
  <c r="D3220" i="2"/>
  <c r="C3220" i="2"/>
  <c r="B3220" i="2"/>
  <c r="E3219" i="2"/>
  <c r="D3219" i="2"/>
  <c r="C3219" i="2"/>
  <c r="B3219" i="2"/>
  <c r="E3218" i="2"/>
  <c r="D3218" i="2"/>
  <c r="C3218" i="2"/>
  <c r="B3218" i="2"/>
  <c r="E3217" i="2"/>
  <c r="D3217" i="2"/>
  <c r="C3217" i="2"/>
  <c r="B3217" i="2"/>
  <c r="E3216" i="2"/>
  <c r="D3216" i="2"/>
  <c r="C3216" i="2"/>
  <c r="B3216" i="2"/>
  <c r="E3215" i="2"/>
  <c r="D3215" i="2"/>
  <c r="C3215" i="2"/>
  <c r="B3215" i="2"/>
  <c r="E3214" i="2"/>
  <c r="D3214" i="2"/>
  <c r="C3214" i="2"/>
  <c r="B3214" i="2"/>
  <c r="E3213" i="2"/>
  <c r="D3213" i="2"/>
  <c r="C3213" i="2"/>
  <c r="B3213" i="2"/>
  <c r="E3212" i="2"/>
  <c r="D3212" i="2"/>
  <c r="C3212" i="2"/>
  <c r="B3212" i="2"/>
  <c r="E3211" i="2"/>
  <c r="D3211" i="2"/>
  <c r="C3211" i="2"/>
  <c r="B3211" i="2"/>
  <c r="E3210" i="2"/>
  <c r="D3210" i="2"/>
  <c r="C3210" i="2"/>
  <c r="B3210" i="2"/>
  <c r="E3209" i="2"/>
  <c r="D3209" i="2"/>
  <c r="C3209" i="2"/>
  <c r="B3209" i="2"/>
  <c r="E3208" i="2"/>
  <c r="D3208" i="2"/>
  <c r="C3208" i="2"/>
  <c r="B3208" i="2"/>
  <c r="E3207" i="2"/>
  <c r="D3207" i="2"/>
  <c r="C3207" i="2"/>
  <c r="B3207" i="2"/>
  <c r="E3206" i="2"/>
  <c r="D3206" i="2"/>
  <c r="C3206" i="2"/>
  <c r="B3206" i="2"/>
  <c r="E3205" i="2"/>
  <c r="D3205" i="2"/>
  <c r="C3205" i="2"/>
  <c r="B3205" i="2"/>
  <c r="E3204" i="2"/>
  <c r="D3204" i="2"/>
  <c r="C3204" i="2"/>
  <c r="B3204" i="2"/>
  <c r="E3203" i="2"/>
  <c r="D3203" i="2"/>
  <c r="C3203" i="2"/>
  <c r="B3203" i="2"/>
  <c r="E3202" i="2"/>
  <c r="D3202" i="2"/>
  <c r="C3202" i="2"/>
  <c r="B3202" i="2"/>
  <c r="E3201" i="2"/>
  <c r="D3201" i="2"/>
  <c r="C3201" i="2"/>
  <c r="B3201" i="2"/>
  <c r="E3200" i="2"/>
  <c r="D3200" i="2"/>
  <c r="C3200" i="2"/>
  <c r="B3200" i="2"/>
  <c r="E3199" i="2"/>
  <c r="D3199" i="2"/>
  <c r="C3199" i="2"/>
  <c r="B3199" i="2"/>
  <c r="E3198" i="2"/>
  <c r="D3198" i="2"/>
  <c r="C3198" i="2"/>
  <c r="B3198" i="2"/>
  <c r="E3197" i="2"/>
  <c r="D3197" i="2"/>
  <c r="C3197" i="2"/>
  <c r="B3197" i="2"/>
  <c r="E3196" i="2"/>
  <c r="D3196" i="2"/>
  <c r="C3196" i="2"/>
  <c r="B3196" i="2"/>
  <c r="E3195" i="2"/>
  <c r="D3195" i="2"/>
  <c r="C3195" i="2"/>
  <c r="B3195" i="2"/>
  <c r="E3194" i="2"/>
  <c r="D3194" i="2"/>
  <c r="C3194" i="2"/>
  <c r="B3194" i="2"/>
  <c r="E3193" i="2"/>
  <c r="D3193" i="2"/>
  <c r="C3193" i="2"/>
  <c r="B3193" i="2"/>
  <c r="E3192" i="2"/>
  <c r="D3192" i="2"/>
  <c r="C3192" i="2"/>
  <c r="B3192" i="2"/>
  <c r="E3191" i="2"/>
  <c r="D3191" i="2"/>
  <c r="C3191" i="2"/>
  <c r="B3191" i="2"/>
  <c r="E3190" i="2"/>
  <c r="D3190" i="2"/>
  <c r="C3190" i="2"/>
  <c r="B3190" i="2"/>
  <c r="E3189" i="2"/>
  <c r="D3189" i="2"/>
  <c r="C3189" i="2"/>
  <c r="B3189" i="2"/>
  <c r="E3188" i="2"/>
  <c r="D3188" i="2"/>
  <c r="C3188" i="2"/>
  <c r="B3188" i="2"/>
  <c r="E3187" i="2"/>
  <c r="D3187" i="2"/>
  <c r="C3187" i="2"/>
  <c r="B3187" i="2"/>
  <c r="E3186" i="2"/>
  <c r="D3186" i="2"/>
  <c r="C3186" i="2"/>
  <c r="B3186" i="2"/>
  <c r="E3185" i="2"/>
  <c r="D3185" i="2"/>
  <c r="C3185" i="2"/>
  <c r="B3185" i="2"/>
  <c r="E3184" i="2"/>
  <c r="D3184" i="2"/>
  <c r="C3184" i="2"/>
  <c r="B3184" i="2"/>
  <c r="E3183" i="2"/>
  <c r="D3183" i="2"/>
  <c r="C3183" i="2"/>
  <c r="B3183" i="2"/>
  <c r="E3182" i="2"/>
  <c r="D3182" i="2"/>
  <c r="C3182" i="2"/>
  <c r="B3182" i="2"/>
  <c r="E3181" i="2"/>
  <c r="D3181" i="2"/>
  <c r="C3181" i="2"/>
  <c r="B3181" i="2"/>
  <c r="E3180" i="2"/>
  <c r="D3180" i="2"/>
  <c r="C3180" i="2"/>
  <c r="B3180" i="2"/>
  <c r="E3179" i="2"/>
  <c r="D3179" i="2"/>
  <c r="C3179" i="2"/>
  <c r="B3179" i="2"/>
  <c r="E3178" i="2"/>
  <c r="D3178" i="2"/>
  <c r="C3178" i="2"/>
  <c r="B3178" i="2"/>
  <c r="E3177" i="2"/>
  <c r="D3177" i="2"/>
  <c r="C3177" i="2"/>
  <c r="B3177" i="2"/>
  <c r="E3176" i="2"/>
  <c r="D3176" i="2"/>
  <c r="C3176" i="2"/>
  <c r="B3176" i="2"/>
  <c r="E3175" i="2"/>
  <c r="D3175" i="2"/>
  <c r="C3175" i="2"/>
  <c r="B3175" i="2"/>
  <c r="E3174" i="2"/>
  <c r="D3174" i="2"/>
  <c r="C3174" i="2"/>
  <c r="B3174" i="2"/>
  <c r="E3173" i="2"/>
  <c r="D3173" i="2"/>
  <c r="C3173" i="2"/>
  <c r="B3173" i="2"/>
  <c r="E3172" i="2"/>
  <c r="D3172" i="2"/>
  <c r="C3172" i="2"/>
  <c r="B3172" i="2"/>
  <c r="E3171" i="2"/>
  <c r="D3171" i="2"/>
  <c r="C3171" i="2"/>
  <c r="B3171" i="2"/>
  <c r="E3170" i="2"/>
  <c r="D3170" i="2"/>
  <c r="C3170" i="2"/>
  <c r="B3170" i="2"/>
  <c r="E3169" i="2"/>
  <c r="D3169" i="2"/>
  <c r="C3169" i="2"/>
  <c r="B3169" i="2"/>
  <c r="E3168" i="2"/>
  <c r="D3168" i="2"/>
  <c r="C3168" i="2"/>
  <c r="B3168" i="2"/>
  <c r="E3167" i="2"/>
  <c r="D3167" i="2"/>
  <c r="C3167" i="2"/>
  <c r="B3167" i="2"/>
  <c r="E3166" i="2"/>
  <c r="D3166" i="2"/>
  <c r="C3166" i="2"/>
  <c r="B3166" i="2"/>
  <c r="E3165" i="2"/>
  <c r="D3165" i="2"/>
  <c r="C3165" i="2"/>
  <c r="B3165" i="2"/>
  <c r="E3164" i="2"/>
  <c r="D3164" i="2"/>
  <c r="C3164" i="2"/>
  <c r="B3164" i="2"/>
  <c r="E3163" i="2"/>
  <c r="D3163" i="2"/>
  <c r="C3163" i="2"/>
  <c r="B3163" i="2"/>
  <c r="E3162" i="2"/>
  <c r="D3162" i="2"/>
  <c r="C3162" i="2"/>
  <c r="B3162" i="2"/>
  <c r="E3161" i="2"/>
  <c r="D3161" i="2"/>
  <c r="C3161" i="2"/>
  <c r="B3161" i="2"/>
  <c r="E3160" i="2"/>
  <c r="D3160" i="2"/>
  <c r="C3160" i="2"/>
  <c r="B3160" i="2"/>
  <c r="E3159" i="2"/>
  <c r="D3159" i="2"/>
  <c r="C3159" i="2"/>
  <c r="B3159" i="2"/>
  <c r="E3158" i="2"/>
  <c r="D3158" i="2"/>
  <c r="C3158" i="2"/>
  <c r="B3158" i="2"/>
  <c r="E3157" i="2"/>
  <c r="D3157" i="2"/>
  <c r="C3157" i="2"/>
  <c r="B3157" i="2"/>
  <c r="E3156" i="2"/>
  <c r="D3156" i="2"/>
  <c r="C3156" i="2"/>
  <c r="B3156" i="2"/>
  <c r="E3155" i="2"/>
  <c r="D3155" i="2"/>
  <c r="C3155" i="2"/>
  <c r="B3155" i="2"/>
  <c r="E3154" i="2"/>
  <c r="D3154" i="2"/>
  <c r="C3154" i="2"/>
  <c r="B3154" i="2"/>
  <c r="E3153" i="2"/>
  <c r="D3153" i="2"/>
  <c r="C3153" i="2"/>
  <c r="B3153" i="2"/>
  <c r="E3152" i="2"/>
  <c r="D3152" i="2"/>
  <c r="C3152" i="2"/>
  <c r="B3152" i="2"/>
  <c r="E3151" i="2"/>
  <c r="D3151" i="2"/>
  <c r="C3151" i="2"/>
  <c r="B3151" i="2"/>
  <c r="E3150" i="2"/>
  <c r="D3150" i="2"/>
  <c r="C3150" i="2"/>
  <c r="B3150" i="2"/>
  <c r="E3149" i="2"/>
  <c r="D3149" i="2"/>
  <c r="C3149" i="2"/>
  <c r="B3149" i="2"/>
  <c r="E3148" i="2"/>
  <c r="D3148" i="2"/>
  <c r="C3148" i="2"/>
  <c r="B3148" i="2"/>
  <c r="E3147" i="2"/>
  <c r="D3147" i="2"/>
  <c r="C3147" i="2"/>
  <c r="B3147" i="2"/>
  <c r="E3146" i="2"/>
  <c r="D3146" i="2"/>
  <c r="C3146" i="2"/>
  <c r="B3146" i="2"/>
  <c r="E3145" i="2"/>
  <c r="D3145" i="2"/>
  <c r="C3145" i="2"/>
  <c r="B3145" i="2"/>
  <c r="E3144" i="2"/>
  <c r="D3144" i="2"/>
  <c r="C3144" i="2"/>
  <c r="B3144" i="2"/>
  <c r="E3143" i="2"/>
  <c r="D3143" i="2"/>
  <c r="C3143" i="2"/>
  <c r="B3143" i="2"/>
  <c r="E3142" i="2"/>
  <c r="D3142" i="2"/>
  <c r="C3142" i="2"/>
  <c r="B3142" i="2"/>
  <c r="E3141" i="2"/>
  <c r="D3141" i="2"/>
  <c r="C3141" i="2"/>
  <c r="B3141" i="2"/>
  <c r="E3140" i="2"/>
  <c r="D3140" i="2"/>
  <c r="C3140" i="2"/>
  <c r="B3140" i="2"/>
  <c r="E3139" i="2"/>
  <c r="D3139" i="2"/>
  <c r="C3139" i="2"/>
  <c r="B3139" i="2"/>
  <c r="E3138" i="2"/>
  <c r="D3138" i="2"/>
  <c r="C3138" i="2"/>
  <c r="B3138" i="2"/>
  <c r="E3137" i="2"/>
  <c r="D3137" i="2"/>
  <c r="C3137" i="2"/>
  <c r="B3137" i="2"/>
  <c r="E3136" i="2"/>
  <c r="D3136" i="2"/>
  <c r="C3136" i="2"/>
  <c r="B3136" i="2"/>
  <c r="E3135" i="2"/>
  <c r="D3135" i="2"/>
  <c r="C3135" i="2"/>
  <c r="B3135" i="2"/>
  <c r="E3134" i="2"/>
  <c r="D3134" i="2"/>
  <c r="C3134" i="2"/>
  <c r="B3134" i="2"/>
  <c r="E3133" i="2"/>
  <c r="D3133" i="2"/>
  <c r="C3133" i="2"/>
  <c r="B3133" i="2"/>
  <c r="E3132" i="2"/>
  <c r="D3132" i="2"/>
  <c r="C3132" i="2"/>
  <c r="B3132" i="2"/>
  <c r="E3131" i="2"/>
  <c r="D3131" i="2"/>
  <c r="C3131" i="2"/>
  <c r="B3131" i="2"/>
  <c r="E3130" i="2"/>
  <c r="D3130" i="2"/>
  <c r="C3130" i="2"/>
  <c r="B3130" i="2"/>
  <c r="E3129" i="2"/>
  <c r="D3129" i="2"/>
  <c r="C3129" i="2"/>
  <c r="B3129" i="2"/>
  <c r="E3128" i="2"/>
  <c r="D3128" i="2"/>
  <c r="C3128" i="2"/>
  <c r="B3128" i="2"/>
  <c r="E3127" i="2"/>
  <c r="D3127" i="2"/>
  <c r="C3127" i="2"/>
  <c r="B3127" i="2"/>
  <c r="E3126" i="2"/>
  <c r="D3126" i="2"/>
  <c r="C3126" i="2"/>
  <c r="B3126" i="2"/>
  <c r="E3125" i="2"/>
  <c r="D3125" i="2"/>
  <c r="C3125" i="2"/>
  <c r="B3125" i="2"/>
  <c r="E3124" i="2"/>
  <c r="D3124" i="2"/>
  <c r="C3124" i="2"/>
  <c r="B3124" i="2"/>
  <c r="E3123" i="2"/>
  <c r="D3123" i="2"/>
  <c r="C3123" i="2"/>
  <c r="B3123" i="2"/>
  <c r="E3122" i="2"/>
  <c r="D3122" i="2"/>
  <c r="C3122" i="2"/>
  <c r="B3122" i="2"/>
  <c r="E3121" i="2"/>
  <c r="D3121" i="2"/>
  <c r="C3121" i="2"/>
  <c r="B3121" i="2"/>
  <c r="E3120" i="2"/>
  <c r="D3120" i="2"/>
  <c r="C3120" i="2"/>
  <c r="B3120" i="2"/>
  <c r="E3119" i="2"/>
  <c r="D3119" i="2"/>
  <c r="C3119" i="2"/>
  <c r="B3119" i="2"/>
  <c r="E3118" i="2"/>
  <c r="D3118" i="2"/>
  <c r="C3118" i="2"/>
  <c r="B3118" i="2"/>
  <c r="E3117" i="2"/>
  <c r="D3117" i="2"/>
  <c r="C3117" i="2"/>
  <c r="B3117" i="2"/>
  <c r="E3116" i="2"/>
  <c r="D3116" i="2"/>
  <c r="C3116" i="2"/>
  <c r="B3116" i="2"/>
  <c r="E3115" i="2"/>
  <c r="D3115" i="2"/>
  <c r="C3115" i="2"/>
  <c r="B3115" i="2"/>
  <c r="E3114" i="2"/>
  <c r="D3114" i="2"/>
  <c r="C3114" i="2"/>
  <c r="B3114" i="2"/>
  <c r="E3113" i="2"/>
  <c r="D3113" i="2"/>
  <c r="C3113" i="2"/>
  <c r="B3113" i="2"/>
  <c r="E3112" i="2"/>
  <c r="D3112" i="2"/>
  <c r="C3112" i="2"/>
  <c r="B3112" i="2"/>
  <c r="E3111" i="2"/>
  <c r="D3111" i="2"/>
  <c r="C3111" i="2"/>
  <c r="B3111" i="2"/>
  <c r="E3110" i="2"/>
  <c r="D3110" i="2"/>
  <c r="C3110" i="2"/>
  <c r="B3110" i="2"/>
  <c r="E3109" i="2"/>
  <c r="D3109" i="2"/>
  <c r="C3109" i="2"/>
  <c r="B3109" i="2"/>
  <c r="E3108" i="2"/>
  <c r="D3108" i="2"/>
  <c r="C3108" i="2"/>
  <c r="B3108" i="2"/>
  <c r="E3107" i="2"/>
  <c r="D3107" i="2"/>
  <c r="C3107" i="2"/>
  <c r="B3107" i="2"/>
  <c r="E3106" i="2"/>
  <c r="D3106" i="2"/>
  <c r="C3106" i="2"/>
  <c r="B3106" i="2"/>
  <c r="E3105" i="2"/>
  <c r="D3105" i="2"/>
  <c r="C3105" i="2"/>
  <c r="B3105" i="2"/>
  <c r="E3104" i="2"/>
  <c r="D3104" i="2"/>
  <c r="C3104" i="2"/>
  <c r="B3104" i="2"/>
  <c r="E3103" i="2"/>
  <c r="D3103" i="2"/>
  <c r="C3103" i="2"/>
  <c r="B3103" i="2"/>
  <c r="E3102" i="2"/>
  <c r="D3102" i="2"/>
  <c r="C3102" i="2"/>
  <c r="B3102" i="2"/>
  <c r="E3101" i="2"/>
  <c r="D3101" i="2"/>
  <c r="C3101" i="2"/>
  <c r="B3101" i="2"/>
  <c r="E3100" i="2"/>
  <c r="D3100" i="2"/>
  <c r="C3100" i="2"/>
  <c r="B3100" i="2"/>
  <c r="E3099" i="2"/>
  <c r="D3099" i="2"/>
  <c r="C3099" i="2"/>
  <c r="B3099" i="2"/>
  <c r="E3098" i="2"/>
  <c r="D3098" i="2"/>
  <c r="C3098" i="2"/>
  <c r="B3098" i="2"/>
  <c r="E3097" i="2"/>
  <c r="D3097" i="2"/>
  <c r="C3097" i="2"/>
  <c r="B3097" i="2"/>
  <c r="E3096" i="2"/>
  <c r="D3096" i="2"/>
  <c r="C3096" i="2"/>
  <c r="B3096" i="2"/>
  <c r="E3095" i="2"/>
  <c r="D3095" i="2"/>
  <c r="C3095" i="2"/>
  <c r="B3095" i="2"/>
  <c r="E3094" i="2"/>
  <c r="D3094" i="2"/>
  <c r="C3094" i="2"/>
  <c r="B3094" i="2"/>
  <c r="E3093" i="2"/>
  <c r="D3093" i="2"/>
  <c r="C3093" i="2"/>
  <c r="B3093" i="2"/>
  <c r="E3092" i="2"/>
  <c r="D3092" i="2"/>
  <c r="C3092" i="2"/>
  <c r="B3092" i="2"/>
  <c r="E3091" i="2"/>
  <c r="D3091" i="2"/>
  <c r="C3091" i="2"/>
  <c r="B3091" i="2"/>
  <c r="E3090" i="2"/>
  <c r="D3090" i="2"/>
  <c r="C3090" i="2"/>
  <c r="B3090" i="2"/>
  <c r="E3089" i="2"/>
  <c r="D3089" i="2"/>
  <c r="C3089" i="2"/>
  <c r="B3089" i="2"/>
  <c r="E3088" i="2"/>
  <c r="D3088" i="2"/>
  <c r="C3088" i="2"/>
  <c r="B3088" i="2"/>
  <c r="E3087" i="2"/>
  <c r="D3087" i="2"/>
  <c r="C3087" i="2"/>
  <c r="B3087" i="2"/>
  <c r="E3086" i="2"/>
  <c r="D3086" i="2"/>
  <c r="C3086" i="2"/>
  <c r="B3086" i="2"/>
  <c r="E3085" i="2"/>
  <c r="D3085" i="2"/>
  <c r="C3085" i="2"/>
  <c r="B3085" i="2"/>
  <c r="E3084" i="2"/>
  <c r="D3084" i="2"/>
  <c r="C3084" i="2"/>
  <c r="B3084" i="2"/>
  <c r="E3083" i="2"/>
  <c r="D3083" i="2"/>
  <c r="C3083" i="2"/>
  <c r="B3083" i="2"/>
  <c r="E3082" i="2"/>
  <c r="D3082" i="2"/>
  <c r="C3082" i="2"/>
  <c r="B3082" i="2"/>
  <c r="E3081" i="2"/>
  <c r="D3081" i="2"/>
  <c r="C3081" i="2"/>
  <c r="B3081" i="2"/>
  <c r="E3080" i="2"/>
  <c r="D3080" i="2"/>
  <c r="C3080" i="2"/>
  <c r="B3080" i="2"/>
  <c r="E3079" i="2"/>
  <c r="D3079" i="2"/>
  <c r="C3079" i="2"/>
  <c r="B3079" i="2"/>
  <c r="E3078" i="2"/>
  <c r="D3078" i="2"/>
  <c r="C3078" i="2"/>
  <c r="B3078" i="2"/>
  <c r="E3077" i="2"/>
  <c r="D3077" i="2"/>
  <c r="C3077" i="2"/>
  <c r="B3077" i="2"/>
  <c r="E3076" i="2"/>
  <c r="D3076" i="2"/>
  <c r="C3076" i="2"/>
  <c r="B3076" i="2"/>
  <c r="E3075" i="2"/>
  <c r="D3075" i="2"/>
  <c r="C3075" i="2"/>
  <c r="B3075" i="2"/>
  <c r="E3074" i="2"/>
  <c r="D3074" i="2"/>
  <c r="C3074" i="2"/>
  <c r="B3074" i="2"/>
  <c r="E3073" i="2"/>
  <c r="D3073" i="2"/>
  <c r="C3073" i="2"/>
  <c r="B3073" i="2"/>
  <c r="E3072" i="2"/>
  <c r="D3072" i="2"/>
  <c r="C3072" i="2"/>
  <c r="B3072" i="2"/>
  <c r="E3071" i="2"/>
  <c r="D3071" i="2"/>
  <c r="C3071" i="2"/>
  <c r="B3071" i="2"/>
  <c r="E3070" i="2"/>
  <c r="D3070" i="2"/>
  <c r="C3070" i="2"/>
  <c r="B3070" i="2"/>
  <c r="E3069" i="2"/>
  <c r="D3069" i="2"/>
  <c r="C3069" i="2"/>
  <c r="B3069" i="2"/>
  <c r="E3068" i="2"/>
  <c r="D3068" i="2"/>
  <c r="C3068" i="2"/>
  <c r="B3068" i="2"/>
  <c r="E3067" i="2"/>
  <c r="D3067" i="2"/>
  <c r="C3067" i="2"/>
  <c r="B3067" i="2"/>
  <c r="E3066" i="2"/>
  <c r="D3066" i="2"/>
  <c r="C3066" i="2"/>
  <c r="B3066" i="2"/>
  <c r="E3065" i="2"/>
  <c r="D3065" i="2"/>
  <c r="C3065" i="2"/>
  <c r="B3065" i="2"/>
  <c r="E3064" i="2"/>
  <c r="D3064" i="2"/>
  <c r="C3064" i="2"/>
  <c r="B3064" i="2"/>
  <c r="E3063" i="2"/>
  <c r="D3063" i="2"/>
  <c r="C3063" i="2"/>
  <c r="B3063" i="2"/>
  <c r="E3062" i="2"/>
  <c r="D3062" i="2"/>
  <c r="C3062" i="2"/>
  <c r="B3062" i="2"/>
  <c r="E3061" i="2"/>
  <c r="D3061" i="2"/>
  <c r="C3061" i="2"/>
  <c r="B3061" i="2"/>
  <c r="E3060" i="2"/>
  <c r="D3060" i="2"/>
  <c r="C3060" i="2"/>
  <c r="B3060" i="2"/>
  <c r="E3059" i="2"/>
  <c r="D3059" i="2"/>
  <c r="C3059" i="2"/>
  <c r="B3059" i="2"/>
  <c r="E3058" i="2"/>
  <c r="D3058" i="2"/>
  <c r="C3058" i="2"/>
  <c r="B3058" i="2"/>
  <c r="E3057" i="2"/>
  <c r="D3057" i="2"/>
  <c r="C3057" i="2"/>
  <c r="B3057" i="2"/>
  <c r="E3056" i="2"/>
  <c r="D3056" i="2"/>
  <c r="C3056" i="2"/>
  <c r="B3056" i="2"/>
  <c r="E3055" i="2"/>
  <c r="D3055" i="2"/>
  <c r="C3055" i="2"/>
  <c r="B3055" i="2"/>
  <c r="E3054" i="2"/>
  <c r="D3054" i="2"/>
  <c r="C3054" i="2"/>
  <c r="B3054" i="2"/>
  <c r="E3053" i="2"/>
  <c r="D3053" i="2"/>
  <c r="C3053" i="2"/>
  <c r="B3053" i="2"/>
  <c r="E3052" i="2"/>
  <c r="D3052" i="2"/>
  <c r="C3052" i="2"/>
  <c r="B3052" i="2"/>
  <c r="E3051" i="2"/>
  <c r="D3051" i="2"/>
  <c r="C3051" i="2"/>
  <c r="B3051" i="2"/>
  <c r="E3050" i="2"/>
  <c r="D3050" i="2"/>
  <c r="C3050" i="2"/>
  <c r="B3050" i="2"/>
  <c r="E3049" i="2"/>
  <c r="D3049" i="2"/>
  <c r="C3049" i="2"/>
  <c r="B3049" i="2"/>
  <c r="E3048" i="2"/>
  <c r="D3048" i="2"/>
  <c r="C3048" i="2"/>
  <c r="B3048" i="2"/>
  <c r="E3047" i="2"/>
  <c r="D3047" i="2"/>
  <c r="C3047" i="2"/>
  <c r="B3047" i="2"/>
  <c r="E3046" i="2"/>
  <c r="D3046" i="2"/>
  <c r="C3046" i="2"/>
  <c r="B3046" i="2"/>
  <c r="E3045" i="2"/>
  <c r="D3045" i="2"/>
  <c r="C3045" i="2"/>
  <c r="B3045" i="2"/>
  <c r="E3044" i="2"/>
  <c r="D3044" i="2"/>
  <c r="C3044" i="2"/>
  <c r="B3044" i="2"/>
  <c r="E3043" i="2"/>
  <c r="D3043" i="2"/>
  <c r="C3043" i="2"/>
  <c r="B3043" i="2"/>
  <c r="E3042" i="2"/>
  <c r="D3042" i="2"/>
  <c r="C3042" i="2"/>
  <c r="B3042" i="2"/>
  <c r="E3041" i="2"/>
  <c r="D3041" i="2"/>
  <c r="C3041" i="2"/>
  <c r="B3041" i="2"/>
  <c r="E3040" i="2"/>
  <c r="D3040" i="2"/>
  <c r="C3040" i="2"/>
  <c r="B3040" i="2"/>
  <c r="E3039" i="2"/>
  <c r="D3039" i="2"/>
  <c r="C3039" i="2"/>
  <c r="B3039" i="2"/>
  <c r="E3038" i="2"/>
  <c r="D3038" i="2"/>
  <c r="C3038" i="2"/>
  <c r="B3038" i="2"/>
  <c r="E3037" i="2"/>
  <c r="D3037" i="2"/>
  <c r="C3037" i="2"/>
  <c r="B3037" i="2"/>
  <c r="E3036" i="2"/>
  <c r="D3036" i="2"/>
  <c r="C3036" i="2"/>
  <c r="B3036" i="2"/>
  <c r="E3035" i="2"/>
  <c r="D3035" i="2"/>
  <c r="C3035" i="2"/>
  <c r="B3035" i="2"/>
  <c r="E3034" i="2"/>
  <c r="D3034" i="2"/>
  <c r="C3034" i="2"/>
  <c r="B3034" i="2"/>
  <c r="E3033" i="2"/>
  <c r="D3033" i="2"/>
  <c r="C3033" i="2"/>
  <c r="B3033" i="2"/>
  <c r="E3032" i="2"/>
  <c r="D3032" i="2"/>
  <c r="C3032" i="2"/>
  <c r="B3032" i="2"/>
  <c r="E3031" i="2"/>
  <c r="D3031" i="2"/>
  <c r="C3031" i="2"/>
  <c r="B3031" i="2"/>
  <c r="E3030" i="2"/>
  <c r="D3030" i="2"/>
  <c r="C3030" i="2"/>
  <c r="B3030" i="2"/>
  <c r="E3029" i="2"/>
  <c r="D3029" i="2"/>
  <c r="C3029" i="2"/>
  <c r="B3029" i="2"/>
  <c r="E3028" i="2"/>
  <c r="D3028" i="2"/>
  <c r="C3028" i="2"/>
  <c r="B3028" i="2"/>
  <c r="E3027" i="2"/>
  <c r="D3027" i="2"/>
  <c r="C3027" i="2"/>
  <c r="B3027" i="2"/>
  <c r="E3026" i="2"/>
  <c r="D3026" i="2"/>
  <c r="C3026" i="2"/>
  <c r="B3026" i="2"/>
  <c r="E3025" i="2"/>
  <c r="D3025" i="2"/>
  <c r="C3025" i="2"/>
  <c r="B3025" i="2"/>
  <c r="E3024" i="2"/>
  <c r="D3024" i="2"/>
  <c r="C3024" i="2"/>
  <c r="B3024" i="2"/>
  <c r="E3023" i="2"/>
  <c r="D3023" i="2"/>
  <c r="C3023" i="2"/>
  <c r="B3023" i="2"/>
  <c r="E3022" i="2"/>
  <c r="D3022" i="2"/>
  <c r="C3022" i="2"/>
  <c r="B3022" i="2"/>
  <c r="E3021" i="2"/>
  <c r="D3021" i="2"/>
  <c r="C3021" i="2"/>
  <c r="B3021" i="2"/>
  <c r="E3020" i="2"/>
  <c r="D3020" i="2"/>
  <c r="C3020" i="2"/>
  <c r="B3020" i="2"/>
  <c r="E3019" i="2"/>
  <c r="D3019" i="2"/>
  <c r="C3019" i="2"/>
  <c r="B3019" i="2"/>
  <c r="E3018" i="2"/>
  <c r="D3018" i="2"/>
  <c r="C3018" i="2"/>
  <c r="B3018" i="2"/>
  <c r="E3017" i="2"/>
  <c r="D3017" i="2"/>
  <c r="C3017" i="2"/>
  <c r="B3017" i="2"/>
  <c r="E3016" i="2"/>
  <c r="D3016" i="2"/>
  <c r="C3016" i="2"/>
  <c r="B3016" i="2"/>
  <c r="E3015" i="2"/>
  <c r="D3015" i="2"/>
  <c r="C3015" i="2"/>
  <c r="B3015" i="2"/>
  <c r="E3014" i="2"/>
  <c r="D3014" i="2"/>
  <c r="C3014" i="2"/>
  <c r="B3014" i="2"/>
  <c r="E3013" i="2"/>
  <c r="D3013" i="2"/>
  <c r="C3013" i="2"/>
  <c r="B3013" i="2"/>
  <c r="E3012" i="2"/>
  <c r="D3012" i="2"/>
  <c r="C3012" i="2"/>
  <c r="B3012" i="2"/>
  <c r="E3011" i="2"/>
  <c r="D3011" i="2"/>
  <c r="C3011" i="2"/>
  <c r="B3011" i="2"/>
  <c r="E3010" i="2"/>
  <c r="D3010" i="2"/>
  <c r="C3010" i="2"/>
  <c r="B3010" i="2"/>
  <c r="E3009" i="2"/>
  <c r="D3009" i="2"/>
  <c r="C3009" i="2"/>
  <c r="B3009" i="2"/>
  <c r="E3008" i="2"/>
  <c r="D3008" i="2"/>
  <c r="C3008" i="2"/>
  <c r="B3008" i="2"/>
  <c r="E3007" i="2"/>
  <c r="D3007" i="2"/>
  <c r="C3007" i="2"/>
  <c r="B3007" i="2"/>
  <c r="E3006" i="2"/>
  <c r="D3006" i="2"/>
  <c r="C3006" i="2"/>
  <c r="B3006" i="2"/>
  <c r="E3005" i="2"/>
  <c r="D3005" i="2"/>
  <c r="C3005" i="2"/>
  <c r="B3005" i="2"/>
  <c r="E3004" i="2"/>
  <c r="D3004" i="2"/>
  <c r="C3004" i="2"/>
  <c r="B3004" i="2"/>
  <c r="E3003" i="2"/>
  <c r="D3003" i="2"/>
  <c r="C3003" i="2"/>
  <c r="B3003" i="2"/>
  <c r="E3002" i="2"/>
  <c r="D3002" i="2"/>
  <c r="C3002" i="2"/>
  <c r="B3002" i="2"/>
  <c r="E3001" i="2"/>
  <c r="D3001" i="2"/>
  <c r="C3001" i="2"/>
  <c r="B3001" i="2"/>
  <c r="E3000" i="2"/>
  <c r="D3000" i="2"/>
  <c r="C3000" i="2"/>
  <c r="B3000" i="2"/>
  <c r="E2999" i="2"/>
  <c r="D2999" i="2"/>
  <c r="C2999" i="2"/>
  <c r="B2999" i="2"/>
  <c r="E2998" i="2"/>
  <c r="D2998" i="2"/>
  <c r="C2998" i="2"/>
  <c r="B2998" i="2"/>
  <c r="E2997" i="2"/>
  <c r="D2997" i="2"/>
  <c r="C2997" i="2"/>
  <c r="B2997" i="2"/>
  <c r="E2996" i="2"/>
  <c r="D2996" i="2"/>
  <c r="C2996" i="2"/>
  <c r="B2996" i="2"/>
  <c r="E2995" i="2"/>
  <c r="D2995" i="2"/>
  <c r="C2995" i="2"/>
  <c r="B2995" i="2"/>
  <c r="E2994" i="2"/>
  <c r="D2994" i="2"/>
  <c r="C2994" i="2"/>
  <c r="B2994" i="2"/>
  <c r="E2993" i="2"/>
  <c r="D2993" i="2"/>
  <c r="C2993" i="2"/>
  <c r="B2993" i="2"/>
  <c r="E2992" i="2"/>
  <c r="D2992" i="2"/>
  <c r="C2992" i="2"/>
  <c r="B2992" i="2"/>
  <c r="E2991" i="2"/>
  <c r="D2991" i="2"/>
  <c r="C2991" i="2"/>
  <c r="B2991" i="2"/>
  <c r="E2990" i="2"/>
  <c r="D2990" i="2"/>
  <c r="C2990" i="2"/>
  <c r="B2990" i="2"/>
  <c r="E2989" i="2"/>
  <c r="D2989" i="2"/>
  <c r="C2989" i="2"/>
  <c r="B2989" i="2"/>
  <c r="E2988" i="2"/>
  <c r="D2988" i="2"/>
  <c r="C2988" i="2"/>
  <c r="B2988" i="2"/>
  <c r="E2987" i="2"/>
  <c r="D2987" i="2"/>
  <c r="C2987" i="2"/>
  <c r="B2987" i="2"/>
  <c r="E2986" i="2"/>
  <c r="D2986" i="2"/>
  <c r="C2986" i="2"/>
  <c r="B2986" i="2"/>
  <c r="E2985" i="2"/>
  <c r="D2985" i="2"/>
  <c r="C2985" i="2"/>
  <c r="B2985" i="2"/>
  <c r="E2984" i="2"/>
  <c r="D2984" i="2"/>
  <c r="C2984" i="2"/>
  <c r="B2984" i="2"/>
  <c r="E2983" i="2"/>
  <c r="D2983" i="2"/>
  <c r="C2983" i="2"/>
  <c r="B2983" i="2"/>
  <c r="E2982" i="2"/>
  <c r="D2982" i="2"/>
  <c r="C2982" i="2"/>
  <c r="B2982" i="2"/>
  <c r="E2981" i="2"/>
  <c r="D2981" i="2"/>
  <c r="C2981" i="2"/>
  <c r="B2981" i="2"/>
  <c r="E2980" i="2"/>
  <c r="D2980" i="2"/>
  <c r="C2980" i="2"/>
  <c r="B2980" i="2"/>
  <c r="E2979" i="2"/>
  <c r="D2979" i="2"/>
  <c r="C2979" i="2"/>
  <c r="B2979" i="2"/>
  <c r="E2978" i="2"/>
  <c r="D2978" i="2"/>
  <c r="C2978" i="2"/>
  <c r="B2978" i="2"/>
  <c r="E2977" i="2"/>
  <c r="D2977" i="2"/>
  <c r="C2977" i="2"/>
  <c r="B2977" i="2"/>
  <c r="E2976" i="2"/>
  <c r="D2976" i="2"/>
  <c r="C2976" i="2"/>
  <c r="B2976" i="2"/>
  <c r="E2975" i="2"/>
  <c r="D2975" i="2"/>
  <c r="C2975" i="2"/>
  <c r="B2975" i="2"/>
  <c r="E2974" i="2"/>
  <c r="D2974" i="2"/>
  <c r="C2974" i="2"/>
  <c r="B2974" i="2"/>
  <c r="E2973" i="2"/>
  <c r="D2973" i="2"/>
  <c r="C2973" i="2"/>
  <c r="B2973" i="2"/>
  <c r="E2972" i="2"/>
  <c r="D2972" i="2"/>
  <c r="C2972" i="2"/>
  <c r="B2972" i="2"/>
  <c r="E2971" i="2"/>
  <c r="D2971" i="2"/>
  <c r="C2971" i="2"/>
  <c r="B2971" i="2"/>
  <c r="E2970" i="2"/>
  <c r="D2970" i="2"/>
  <c r="C2970" i="2"/>
  <c r="B2970" i="2"/>
  <c r="E2969" i="2"/>
  <c r="D2969" i="2"/>
  <c r="C2969" i="2"/>
  <c r="B2969" i="2"/>
  <c r="E2968" i="2"/>
  <c r="D2968" i="2"/>
  <c r="C2968" i="2"/>
  <c r="B2968" i="2"/>
  <c r="E2967" i="2"/>
  <c r="D2967" i="2"/>
  <c r="C2967" i="2"/>
  <c r="B2967" i="2"/>
  <c r="E2966" i="2"/>
  <c r="D2966" i="2"/>
  <c r="C2966" i="2"/>
  <c r="B2966" i="2"/>
  <c r="E2965" i="2"/>
  <c r="D2965" i="2"/>
  <c r="C2965" i="2"/>
  <c r="B2965" i="2"/>
  <c r="E2964" i="2"/>
  <c r="D2964" i="2"/>
  <c r="C2964" i="2"/>
  <c r="B2964" i="2"/>
  <c r="E2963" i="2"/>
  <c r="D2963" i="2"/>
  <c r="C2963" i="2"/>
  <c r="B2963" i="2"/>
  <c r="E2962" i="2"/>
  <c r="D2962" i="2"/>
  <c r="C2962" i="2"/>
  <c r="B2962" i="2"/>
  <c r="E2961" i="2"/>
  <c r="D2961" i="2"/>
  <c r="C2961" i="2"/>
  <c r="B2961" i="2"/>
  <c r="E2960" i="2"/>
  <c r="D2960" i="2"/>
  <c r="C2960" i="2"/>
  <c r="B2960" i="2"/>
  <c r="E2959" i="2"/>
  <c r="D2959" i="2"/>
  <c r="C2959" i="2"/>
  <c r="B2959" i="2"/>
  <c r="E2958" i="2"/>
  <c r="D2958" i="2"/>
  <c r="C2958" i="2"/>
  <c r="B2958" i="2"/>
  <c r="E2957" i="2"/>
  <c r="D2957" i="2"/>
  <c r="C2957" i="2"/>
  <c r="B2957" i="2"/>
  <c r="E2956" i="2"/>
  <c r="D2956" i="2"/>
  <c r="C2956" i="2"/>
  <c r="B2956" i="2"/>
  <c r="E2955" i="2"/>
  <c r="D2955" i="2"/>
  <c r="C2955" i="2"/>
  <c r="B2955" i="2"/>
  <c r="E2954" i="2"/>
  <c r="D2954" i="2"/>
  <c r="C2954" i="2"/>
  <c r="B2954" i="2"/>
  <c r="E2953" i="2"/>
  <c r="D2953" i="2"/>
  <c r="C2953" i="2"/>
  <c r="B2953" i="2"/>
  <c r="E2952" i="2"/>
  <c r="D2952" i="2"/>
  <c r="C2952" i="2"/>
  <c r="B2952" i="2"/>
  <c r="E2951" i="2"/>
  <c r="D2951" i="2"/>
  <c r="C2951" i="2"/>
  <c r="B2951" i="2"/>
  <c r="E2950" i="2"/>
  <c r="D2950" i="2"/>
  <c r="C2950" i="2"/>
  <c r="B2950" i="2"/>
  <c r="E2949" i="2"/>
  <c r="D2949" i="2"/>
  <c r="C2949" i="2"/>
  <c r="B2949" i="2"/>
  <c r="E2948" i="2"/>
  <c r="D2948" i="2"/>
  <c r="C2948" i="2"/>
  <c r="B2948" i="2"/>
  <c r="E2947" i="2"/>
  <c r="D2947" i="2"/>
  <c r="C2947" i="2"/>
  <c r="B2947" i="2"/>
  <c r="E2946" i="2"/>
  <c r="D2946" i="2"/>
  <c r="C2946" i="2"/>
  <c r="B2946" i="2"/>
  <c r="E2945" i="2"/>
  <c r="D2945" i="2"/>
  <c r="C2945" i="2"/>
  <c r="B2945" i="2"/>
  <c r="E2944" i="2"/>
  <c r="D2944" i="2"/>
  <c r="C2944" i="2"/>
  <c r="B2944" i="2"/>
  <c r="E2943" i="2"/>
  <c r="D2943" i="2"/>
  <c r="C2943" i="2"/>
  <c r="B2943" i="2"/>
  <c r="E2942" i="2"/>
  <c r="D2942" i="2"/>
  <c r="C2942" i="2"/>
  <c r="B2942" i="2"/>
  <c r="E2941" i="2"/>
  <c r="D2941" i="2"/>
  <c r="C2941" i="2"/>
  <c r="B2941" i="2"/>
  <c r="E2940" i="2"/>
  <c r="D2940" i="2"/>
  <c r="C2940" i="2"/>
  <c r="B2940" i="2"/>
  <c r="E2939" i="2"/>
  <c r="D2939" i="2"/>
  <c r="C2939" i="2"/>
  <c r="B2939" i="2"/>
  <c r="E2938" i="2"/>
  <c r="D2938" i="2"/>
  <c r="C2938" i="2"/>
  <c r="B2938" i="2"/>
  <c r="E2937" i="2"/>
  <c r="D2937" i="2"/>
  <c r="C2937" i="2"/>
  <c r="B2937" i="2"/>
  <c r="E2936" i="2"/>
  <c r="D2936" i="2"/>
  <c r="C2936" i="2"/>
  <c r="B2936" i="2"/>
  <c r="E2935" i="2"/>
  <c r="D2935" i="2"/>
  <c r="C2935" i="2"/>
  <c r="B2935" i="2"/>
  <c r="E2934" i="2"/>
  <c r="D2934" i="2"/>
  <c r="C2934" i="2"/>
  <c r="B2934" i="2"/>
  <c r="E2933" i="2"/>
  <c r="D2933" i="2"/>
  <c r="C2933" i="2"/>
  <c r="B2933" i="2"/>
  <c r="E2932" i="2"/>
  <c r="D2932" i="2"/>
  <c r="C2932" i="2"/>
  <c r="B2932" i="2"/>
  <c r="E2931" i="2"/>
  <c r="D2931" i="2"/>
  <c r="C2931" i="2"/>
  <c r="B2931" i="2"/>
  <c r="E2930" i="2"/>
  <c r="D2930" i="2"/>
  <c r="C2930" i="2"/>
  <c r="B2930" i="2"/>
  <c r="E2929" i="2"/>
  <c r="D2929" i="2"/>
  <c r="C2929" i="2"/>
  <c r="B2929" i="2"/>
  <c r="E2928" i="2"/>
  <c r="D2928" i="2"/>
  <c r="C2928" i="2"/>
  <c r="B2928" i="2"/>
  <c r="E2927" i="2"/>
  <c r="D2927" i="2"/>
  <c r="C2927" i="2"/>
  <c r="B2927" i="2"/>
  <c r="E2926" i="2"/>
  <c r="D2926" i="2"/>
  <c r="C2926" i="2"/>
  <c r="B2926" i="2"/>
  <c r="E2925" i="2"/>
  <c r="D2925" i="2"/>
  <c r="C2925" i="2"/>
  <c r="B2925" i="2"/>
  <c r="E2924" i="2"/>
  <c r="D2924" i="2"/>
  <c r="C2924" i="2"/>
  <c r="B2924" i="2"/>
  <c r="E2923" i="2"/>
  <c r="D2923" i="2"/>
  <c r="C2923" i="2"/>
  <c r="B2923" i="2"/>
  <c r="E2922" i="2"/>
  <c r="D2922" i="2"/>
  <c r="C2922" i="2"/>
  <c r="B2922" i="2"/>
  <c r="E2921" i="2"/>
  <c r="D2921" i="2"/>
  <c r="C2921" i="2"/>
  <c r="B2921" i="2"/>
  <c r="E2920" i="2"/>
  <c r="D2920" i="2"/>
  <c r="C2920" i="2"/>
  <c r="B2920" i="2"/>
  <c r="E2919" i="2"/>
  <c r="D2919" i="2"/>
  <c r="C2919" i="2"/>
  <c r="B2919" i="2"/>
  <c r="E2918" i="2"/>
  <c r="D2918" i="2"/>
  <c r="C2918" i="2"/>
  <c r="B2918" i="2"/>
  <c r="E2917" i="2"/>
  <c r="D2917" i="2"/>
  <c r="C2917" i="2"/>
  <c r="B2917" i="2"/>
  <c r="E2916" i="2"/>
  <c r="D2916" i="2"/>
  <c r="C2916" i="2"/>
  <c r="B2916" i="2"/>
  <c r="E2915" i="2"/>
  <c r="D2915" i="2"/>
  <c r="C2915" i="2"/>
  <c r="B2915" i="2"/>
  <c r="E2914" i="2"/>
  <c r="D2914" i="2"/>
  <c r="C2914" i="2"/>
  <c r="B2914" i="2"/>
  <c r="E2913" i="2"/>
  <c r="D2913" i="2"/>
  <c r="C2913" i="2"/>
  <c r="B2913" i="2"/>
  <c r="E2912" i="2"/>
  <c r="D2912" i="2"/>
  <c r="C2912" i="2"/>
  <c r="B2912" i="2"/>
  <c r="E2911" i="2"/>
  <c r="D2911" i="2"/>
  <c r="C2911" i="2"/>
  <c r="B2911" i="2"/>
  <c r="E2910" i="2"/>
  <c r="D2910" i="2"/>
  <c r="C2910" i="2"/>
  <c r="B2910" i="2"/>
  <c r="E2909" i="2"/>
  <c r="D2909" i="2"/>
  <c r="C2909" i="2"/>
  <c r="B2909" i="2"/>
  <c r="E2908" i="2"/>
  <c r="D2908" i="2"/>
  <c r="C2908" i="2"/>
  <c r="B2908" i="2"/>
  <c r="E2907" i="2"/>
  <c r="D2907" i="2"/>
  <c r="C2907" i="2"/>
  <c r="B2907" i="2"/>
  <c r="E2906" i="2"/>
  <c r="D2906" i="2"/>
  <c r="C2906" i="2"/>
  <c r="B2906" i="2"/>
  <c r="E2905" i="2"/>
  <c r="D2905" i="2"/>
  <c r="C2905" i="2"/>
  <c r="B2905" i="2"/>
  <c r="E2904" i="2"/>
  <c r="D2904" i="2"/>
  <c r="C2904" i="2"/>
  <c r="B2904" i="2"/>
  <c r="E2903" i="2"/>
  <c r="D2903" i="2"/>
  <c r="C2903" i="2"/>
  <c r="B2903" i="2"/>
  <c r="E2902" i="2"/>
  <c r="D2902" i="2"/>
  <c r="C2902" i="2"/>
  <c r="B2902" i="2"/>
  <c r="E2901" i="2"/>
  <c r="D2901" i="2"/>
  <c r="C2901" i="2"/>
  <c r="B2901" i="2"/>
  <c r="E2900" i="2"/>
  <c r="D2900" i="2"/>
  <c r="C2900" i="2"/>
  <c r="B2900" i="2"/>
  <c r="E2899" i="2"/>
  <c r="D2899" i="2"/>
  <c r="C2899" i="2"/>
  <c r="B2899" i="2"/>
  <c r="E2898" i="2"/>
  <c r="D2898" i="2"/>
  <c r="C2898" i="2"/>
  <c r="B2898" i="2"/>
  <c r="E2897" i="2"/>
  <c r="D2897" i="2"/>
  <c r="C2897" i="2"/>
  <c r="B2897" i="2"/>
  <c r="E2896" i="2"/>
  <c r="D2896" i="2"/>
  <c r="C2896" i="2"/>
  <c r="B2896" i="2"/>
  <c r="E2895" i="2"/>
  <c r="D2895" i="2"/>
  <c r="C2895" i="2"/>
  <c r="B2895" i="2"/>
  <c r="E2894" i="2"/>
  <c r="D2894" i="2"/>
  <c r="C2894" i="2"/>
  <c r="B2894" i="2"/>
  <c r="E2893" i="2"/>
  <c r="D2893" i="2"/>
  <c r="C2893" i="2"/>
  <c r="B2893" i="2"/>
  <c r="E2892" i="2"/>
  <c r="D2892" i="2"/>
  <c r="C2892" i="2"/>
  <c r="B2892" i="2"/>
  <c r="E2891" i="2"/>
  <c r="D2891" i="2"/>
  <c r="C2891" i="2"/>
  <c r="B2891" i="2"/>
  <c r="E2890" i="2"/>
  <c r="D2890" i="2"/>
  <c r="C2890" i="2"/>
  <c r="B2890" i="2"/>
  <c r="E2889" i="2"/>
  <c r="D2889" i="2"/>
  <c r="C2889" i="2"/>
  <c r="B2889" i="2"/>
  <c r="E2888" i="2"/>
  <c r="D2888" i="2"/>
  <c r="C2888" i="2"/>
  <c r="B2888" i="2"/>
  <c r="E2887" i="2"/>
  <c r="D2887" i="2"/>
  <c r="C2887" i="2"/>
  <c r="B2887" i="2"/>
  <c r="E2886" i="2"/>
  <c r="D2886" i="2"/>
  <c r="C2886" i="2"/>
  <c r="B2886" i="2"/>
  <c r="E2885" i="2"/>
  <c r="D2885" i="2"/>
  <c r="C2885" i="2"/>
  <c r="B2885" i="2"/>
  <c r="E2884" i="2"/>
  <c r="D2884" i="2"/>
  <c r="C2884" i="2"/>
  <c r="B2884" i="2"/>
  <c r="E2883" i="2"/>
  <c r="D2883" i="2"/>
  <c r="C2883" i="2"/>
  <c r="B2883" i="2"/>
  <c r="E2882" i="2"/>
  <c r="D2882" i="2"/>
  <c r="C2882" i="2"/>
  <c r="B2882" i="2"/>
  <c r="E2881" i="2"/>
  <c r="D2881" i="2"/>
  <c r="C2881" i="2"/>
  <c r="B2881" i="2"/>
  <c r="E2880" i="2"/>
  <c r="D2880" i="2"/>
  <c r="C2880" i="2"/>
  <c r="B2880" i="2"/>
  <c r="E2879" i="2"/>
  <c r="D2879" i="2"/>
  <c r="C2879" i="2"/>
  <c r="B2879" i="2"/>
  <c r="E2878" i="2"/>
  <c r="D2878" i="2"/>
  <c r="C2878" i="2"/>
  <c r="B2878" i="2"/>
  <c r="E2877" i="2"/>
  <c r="D2877" i="2"/>
  <c r="C2877" i="2"/>
  <c r="B2877" i="2"/>
  <c r="E2876" i="2"/>
  <c r="D2876" i="2"/>
  <c r="C2876" i="2"/>
  <c r="B2876" i="2"/>
  <c r="E2875" i="2"/>
  <c r="D2875" i="2"/>
  <c r="C2875" i="2"/>
  <c r="B2875" i="2"/>
  <c r="E2874" i="2"/>
  <c r="D2874" i="2"/>
  <c r="C2874" i="2"/>
  <c r="B2874" i="2"/>
  <c r="E2873" i="2"/>
  <c r="D2873" i="2"/>
  <c r="C2873" i="2"/>
  <c r="B2873" i="2"/>
  <c r="E2872" i="2"/>
  <c r="D2872" i="2"/>
  <c r="C2872" i="2"/>
  <c r="B2872" i="2"/>
  <c r="E2871" i="2"/>
  <c r="D2871" i="2"/>
  <c r="C2871" i="2"/>
  <c r="B2871" i="2"/>
  <c r="E2870" i="2"/>
  <c r="D2870" i="2"/>
  <c r="C2870" i="2"/>
  <c r="B2870" i="2"/>
  <c r="E2869" i="2"/>
  <c r="D2869" i="2"/>
  <c r="C2869" i="2"/>
  <c r="B2869" i="2"/>
  <c r="E2868" i="2"/>
  <c r="D2868" i="2"/>
  <c r="C2868" i="2"/>
  <c r="B2868" i="2"/>
  <c r="E2867" i="2"/>
  <c r="D2867" i="2"/>
  <c r="C2867" i="2"/>
  <c r="B2867" i="2"/>
  <c r="E2866" i="2"/>
  <c r="D2866" i="2"/>
  <c r="C2866" i="2"/>
  <c r="B2866" i="2"/>
  <c r="E2865" i="2"/>
  <c r="D2865" i="2"/>
  <c r="C2865" i="2"/>
  <c r="B2865" i="2"/>
  <c r="E2864" i="2"/>
  <c r="D2864" i="2"/>
  <c r="C2864" i="2"/>
  <c r="B2864" i="2"/>
  <c r="E2863" i="2"/>
  <c r="D2863" i="2"/>
  <c r="C2863" i="2"/>
  <c r="B2863" i="2"/>
  <c r="E2862" i="2"/>
  <c r="D2862" i="2"/>
  <c r="C2862" i="2"/>
  <c r="B2862" i="2"/>
  <c r="E2861" i="2"/>
  <c r="D2861" i="2"/>
  <c r="C2861" i="2"/>
  <c r="B2861" i="2"/>
  <c r="E2860" i="2"/>
  <c r="D2860" i="2"/>
  <c r="C2860" i="2"/>
  <c r="B2860" i="2"/>
  <c r="E2859" i="2"/>
  <c r="D2859" i="2"/>
  <c r="C2859" i="2"/>
  <c r="B2859" i="2"/>
  <c r="E2858" i="2"/>
  <c r="D2858" i="2"/>
  <c r="C2858" i="2"/>
  <c r="B2858" i="2"/>
  <c r="E2857" i="2"/>
  <c r="D2857" i="2"/>
  <c r="C2857" i="2"/>
  <c r="B2857" i="2"/>
  <c r="E2856" i="2"/>
  <c r="D2856" i="2"/>
  <c r="C2856" i="2"/>
  <c r="B2856" i="2"/>
  <c r="E2855" i="2"/>
  <c r="D2855" i="2"/>
  <c r="C2855" i="2"/>
  <c r="B2855" i="2"/>
  <c r="E2854" i="2"/>
  <c r="D2854" i="2"/>
  <c r="C2854" i="2"/>
  <c r="B2854" i="2"/>
  <c r="E2853" i="2"/>
  <c r="D2853" i="2"/>
  <c r="C2853" i="2"/>
  <c r="B2853" i="2"/>
  <c r="E2852" i="2"/>
  <c r="D2852" i="2"/>
  <c r="C2852" i="2"/>
  <c r="B2852" i="2"/>
  <c r="E2851" i="2"/>
  <c r="D2851" i="2"/>
  <c r="C2851" i="2"/>
  <c r="B2851" i="2"/>
  <c r="E2850" i="2"/>
  <c r="D2850" i="2"/>
  <c r="C2850" i="2"/>
  <c r="B2850" i="2"/>
  <c r="E2849" i="2"/>
  <c r="D2849" i="2"/>
  <c r="C2849" i="2"/>
  <c r="B2849" i="2"/>
  <c r="E2848" i="2"/>
  <c r="D2848" i="2"/>
  <c r="C2848" i="2"/>
  <c r="B2848" i="2"/>
  <c r="E2847" i="2"/>
  <c r="D2847" i="2"/>
  <c r="C2847" i="2"/>
  <c r="B2847" i="2"/>
  <c r="E2846" i="2"/>
  <c r="D2846" i="2"/>
  <c r="C2846" i="2"/>
  <c r="B2846" i="2"/>
  <c r="E2845" i="2"/>
  <c r="D2845" i="2"/>
  <c r="C2845" i="2"/>
  <c r="B2845" i="2"/>
  <c r="E2844" i="2"/>
  <c r="D2844" i="2"/>
  <c r="C2844" i="2"/>
  <c r="B2844" i="2"/>
  <c r="E2843" i="2"/>
  <c r="D2843" i="2"/>
  <c r="C2843" i="2"/>
  <c r="B2843" i="2"/>
  <c r="E2842" i="2"/>
  <c r="D2842" i="2"/>
  <c r="C2842" i="2"/>
  <c r="B2842" i="2"/>
  <c r="E2841" i="2"/>
  <c r="D2841" i="2"/>
  <c r="C2841" i="2"/>
  <c r="B2841" i="2"/>
  <c r="E2840" i="2"/>
  <c r="D2840" i="2"/>
  <c r="C2840" i="2"/>
  <c r="B2840" i="2"/>
  <c r="E2839" i="2"/>
  <c r="D2839" i="2"/>
  <c r="C2839" i="2"/>
  <c r="B2839" i="2"/>
  <c r="E2838" i="2"/>
  <c r="D2838" i="2"/>
  <c r="C2838" i="2"/>
  <c r="B2838" i="2"/>
  <c r="E2837" i="2"/>
  <c r="D2837" i="2"/>
  <c r="C2837" i="2"/>
  <c r="B2837" i="2"/>
  <c r="E2836" i="2"/>
  <c r="D2836" i="2"/>
  <c r="C2836" i="2"/>
  <c r="B2836" i="2"/>
  <c r="E2835" i="2"/>
  <c r="D2835" i="2"/>
  <c r="C2835" i="2"/>
  <c r="B2835" i="2"/>
  <c r="E2834" i="2"/>
  <c r="D2834" i="2"/>
  <c r="C2834" i="2"/>
  <c r="B2834" i="2"/>
  <c r="E2833" i="2"/>
  <c r="D2833" i="2"/>
  <c r="C2833" i="2"/>
  <c r="B2833" i="2"/>
  <c r="E2832" i="2"/>
  <c r="D2832" i="2"/>
  <c r="C2832" i="2"/>
  <c r="B2832" i="2"/>
  <c r="E2831" i="2"/>
  <c r="D2831" i="2"/>
  <c r="C2831" i="2"/>
  <c r="B2831" i="2"/>
  <c r="E2830" i="2"/>
  <c r="D2830" i="2"/>
  <c r="C2830" i="2"/>
  <c r="B2830" i="2"/>
  <c r="E2829" i="2"/>
  <c r="D2829" i="2"/>
  <c r="C2829" i="2"/>
  <c r="B2829" i="2"/>
  <c r="E2828" i="2"/>
  <c r="D2828" i="2"/>
  <c r="C2828" i="2"/>
  <c r="B2828" i="2"/>
  <c r="E2827" i="2"/>
  <c r="D2827" i="2"/>
  <c r="C2827" i="2"/>
  <c r="B2827" i="2"/>
  <c r="E2826" i="2"/>
  <c r="D2826" i="2"/>
  <c r="C2826" i="2"/>
  <c r="B2826" i="2"/>
  <c r="E2825" i="2"/>
  <c r="D2825" i="2"/>
  <c r="C2825" i="2"/>
  <c r="B2825" i="2"/>
  <c r="E2824" i="2"/>
  <c r="D2824" i="2"/>
  <c r="C2824" i="2"/>
  <c r="B2824" i="2"/>
  <c r="E2823" i="2"/>
  <c r="D2823" i="2"/>
  <c r="C2823" i="2"/>
  <c r="B2823" i="2"/>
  <c r="E2822" i="2"/>
  <c r="D2822" i="2"/>
  <c r="C2822" i="2"/>
  <c r="B2822" i="2"/>
  <c r="E2821" i="2"/>
  <c r="D2821" i="2"/>
  <c r="C2821" i="2"/>
  <c r="B2821" i="2"/>
  <c r="E2820" i="2"/>
  <c r="D2820" i="2"/>
  <c r="C2820" i="2"/>
  <c r="B2820" i="2"/>
  <c r="E2819" i="2"/>
  <c r="D2819" i="2"/>
  <c r="C2819" i="2"/>
  <c r="B2819" i="2"/>
  <c r="E2818" i="2"/>
  <c r="D2818" i="2"/>
  <c r="C2818" i="2"/>
  <c r="B2818" i="2"/>
  <c r="E2817" i="2"/>
  <c r="D2817" i="2"/>
  <c r="C2817" i="2"/>
  <c r="B2817" i="2"/>
  <c r="E2816" i="2"/>
  <c r="D2816" i="2"/>
  <c r="C2816" i="2"/>
  <c r="B2816" i="2"/>
  <c r="E2815" i="2"/>
  <c r="D2815" i="2"/>
  <c r="C2815" i="2"/>
  <c r="B2815" i="2"/>
  <c r="E2814" i="2"/>
  <c r="D2814" i="2"/>
  <c r="C2814" i="2"/>
  <c r="B2814" i="2"/>
  <c r="E2813" i="2"/>
  <c r="D2813" i="2"/>
  <c r="C2813" i="2"/>
  <c r="B2813" i="2"/>
  <c r="E2812" i="2"/>
  <c r="D2812" i="2"/>
  <c r="C2812" i="2"/>
  <c r="B2812" i="2"/>
  <c r="E2811" i="2"/>
  <c r="D2811" i="2"/>
  <c r="C2811" i="2"/>
  <c r="B2811" i="2"/>
  <c r="E2810" i="2"/>
  <c r="D2810" i="2"/>
  <c r="C2810" i="2"/>
  <c r="B2810" i="2"/>
  <c r="E2809" i="2"/>
  <c r="D2809" i="2"/>
  <c r="C2809" i="2"/>
  <c r="B2809" i="2"/>
  <c r="E2808" i="2"/>
  <c r="D2808" i="2"/>
  <c r="C2808" i="2"/>
  <c r="B2808" i="2"/>
  <c r="E2807" i="2"/>
  <c r="D2807" i="2"/>
  <c r="C2807" i="2"/>
  <c r="B2807" i="2"/>
  <c r="E2806" i="2"/>
  <c r="D2806" i="2"/>
  <c r="C2806" i="2"/>
  <c r="B2806" i="2"/>
  <c r="E2805" i="2"/>
  <c r="D2805" i="2"/>
  <c r="C2805" i="2"/>
  <c r="B2805" i="2"/>
  <c r="E2804" i="2"/>
  <c r="D2804" i="2"/>
  <c r="C2804" i="2"/>
  <c r="B2804" i="2"/>
  <c r="E2803" i="2"/>
  <c r="D2803" i="2"/>
  <c r="C2803" i="2"/>
  <c r="B2803" i="2"/>
  <c r="E2802" i="2"/>
  <c r="D2802" i="2"/>
  <c r="C2802" i="2"/>
  <c r="B2802" i="2"/>
  <c r="E2801" i="2"/>
  <c r="D2801" i="2"/>
  <c r="C2801" i="2"/>
  <c r="B2801" i="2"/>
  <c r="E2800" i="2"/>
  <c r="D2800" i="2"/>
  <c r="C2800" i="2"/>
  <c r="B2800" i="2"/>
  <c r="E2799" i="2"/>
  <c r="D2799" i="2"/>
  <c r="C2799" i="2"/>
  <c r="B2799" i="2"/>
  <c r="E2798" i="2"/>
  <c r="D2798" i="2"/>
  <c r="C2798" i="2"/>
  <c r="B2798" i="2"/>
  <c r="E2797" i="2"/>
  <c r="D2797" i="2"/>
  <c r="C2797" i="2"/>
  <c r="B2797" i="2"/>
  <c r="E2796" i="2"/>
  <c r="D2796" i="2"/>
  <c r="C2796" i="2"/>
  <c r="B2796" i="2"/>
  <c r="E2795" i="2"/>
  <c r="D2795" i="2"/>
  <c r="C2795" i="2"/>
  <c r="B2795" i="2"/>
  <c r="E2794" i="2"/>
  <c r="D2794" i="2"/>
  <c r="C2794" i="2"/>
  <c r="B2794" i="2"/>
  <c r="E2793" i="2"/>
  <c r="D2793" i="2"/>
  <c r="C2793" i="2"/>
  <c r="B2793" i="2"/>
  <c r="E2792" i="2"/>
  <c r="D2792" i="2"/>
  <c r="C2792" i="2"/>
  <c r="B2792" i="2"/>
  <c r="E2791" i="2"/>
  <c r="D2791" i="2"/>
  <c r="C2791" i="2"/>
  <c r="B2791" i="2"/>
  <c r="E2790" i="2"/>
  <c r="D2790" i="2"/>
  <c r="C2790" i="2"/>
  <c r="B2790" i="2"/>
  <c r="E2789" i="2"/>
  <c r="D2789" i="2"/>
  <c r="C2789" i="2"/>
  <c r="B2789" i="2"/>
  <c r="E2788" i="2"/>
  <c r="D2788" i="2"/>
  <c r="C2788" i="2"/>
  <c r="B2788" i="2"/>
  <c r="E2787" i="2"/>
  <c r="D2787" i="2"/>
  <c r="C2787" i="2"/>
  <c r="B2787" i="2"/>
  <c r="E2786" i="2"/>
  <c r="D2786" i="2"/>
  <c r="C2786" i="2"/>
  <c r="B2786" i="2"/>
  <c r="E2785" i="2"/>
  <c r="D2785" i="2"/>
  <c r="C2785" i="2"/>
  <c r="B2785" i="2"/>
  <c r="E2784" i="2"/>
  <c r="D2784" i="2"/>
  <c r="C2784" i="2"/>
  <c r="B2784" i="2"/>
  <c r="E2783" i="2"/>
  <c r="D2783" i="2"/>
  <c r="C2783" i="2"/>
  <c r="B2783" i="2"/>
  <c r="E2782" i="2"/>
  <c r="D2782" i="2"/>
  <c r="C2782" i="2"/>
  <c r="B2782" i="2"/>
  <c r="E2781" i="2"/>
  <c r="D2781" i="2"/>
  <c r="C2781" i="2"/>
  <c r="B2781" i="2"/>
  <c r="E2780" i="2"/>
  <c r="D2780" i="2"/>
  <c r="C2780" i="2"/>
  <c r="B2780" i="2"/>
  <c r="E2779" i="2"/>
  <c r="D2779" i="2"/>
  <c r="C2779" i="2"/>
  <c r="B2779" i="2"/>
  <c r="E2778" i="2"/>
  <c r="D2778" i="2"/>
  <c r="C2778" i="2"/>
  <c r="B2778" i="2"/>
  <c r="E2777" i="2"/>
  <c r="D2777" i="2"/>
  <c r="C2777" i="2"/>
  <c r="B2777" i="2"/>
  <c r="E2776" i="2"/>
  <c r="D2776" i="2"/>
  <c r="C2776" i="2"/>
  <c r="B2776" i="2"/>
  <c r="E2775" i="2"/>
  <c r="D2775" i="2"/>
  <c r="C2775" i="2"/>
  <c r="B2775" i="2"/>
  <c r="E2774" i="2"/>
  <c r="D2774" i="2"/>
  <c r="C2774" i="2"/>
  <c r="B2774" i="2"/>
  <c r="E2773" i="2"/>
  <c r="D2773" i="2"/>
  <c r="C2773" i="2"/>
  <c r="B2773" i="2"/>
  <c r="E2772" i="2"/>
  <c r="D2772" i="2"/>
  <c r="C2772" i="2"/>
  <c r="B2772" i="2"/>
  <c r="E2771" i="2"/>
  <c r="D2771" i="2"/>
  <c r="C2771" i="2"/>
  <c r="B2771" i="2"/>
  <c r="E2770" i="2"/>
  <c r="D2770" i="2"/>
  <c r="C2770" i="2"/>
  <c r="B2770" i="2"/>
  <c r="E2769" i="2"/>
  <c r="D2769" i="2"/>
  <c r="C2769" i="2"/>
  <c r="B2769" i="2"/>
  <c r="E2768" i="2"/>
  <c r="D2768" i="2"/>
  <c r="C2768" i="2"/>
  <c r="B2768" i="2"/>
  <c r="E2767" i="2"/>
  <c r="D2767" i="2"/>
  <c r="C2767" i="2"/>
  <c r="B2767" i="2"/>
  <c r="E2766" i="2"/>
  <c r="D2766" i="2"/>
  <c r="C2766" i="2"/>
  <c r="B2766" i="2"/>
  <c r="E2765" i="2"/>
  <c r="D2765" i="2"/>
  <c r="C2765" i="2"/>
  <c r="B2765" i="2"/>
  <c r="E2764" i="2"/>
  <c r="D2764" i="2"/>
  <c r="C2764" i="2"/>
  <c r="B2764" i="2"/>
  <c r="E2763" i="2"/>
  <c r="D2763" i="2"/>
  <c r="C2763" i="2"/>
  <c r="B2763" i="2"/>
  <c r="E2762" i="2"/>
  <c r="D2762" i="2"/>
  <c r="C2762" i="2"/>
  <c r="B2762" i="2"/>
  <c r="E2761" i="2"/>
  <c r="D2761" i="2"/>
  <c r="C2761" i="2"/>
  <c r="B2761" i="2"/>
  <c r="E2760" i="2"/>
  <c r="D2760" i="2"/>
  <c r="C2760" i="2"/>
  <c r="B2760" i="2"/>
  <c r="E2759" i="2"/>
  <c r="D2759" i="2"/>
  <c r="C2759" i="2"/>
  <c r="B2759" i="2"/>
  <c r="E2758" i="2"/>
  <c r="D2758" i="2"/>
  <c r="C2758" i="2"/>
  <c r="B2758" i="2"/>
  <c r="E2757" i="2"/>
  <c r="D2757" i="2"/>
  <c r="C2757" i="2"/>
  <c r="B2757" i="2"/>
  <c r="E2756" i="2"/>
  <c r="D2756" i="2"/>
  <c r="C2756" i="2"/>
  <c r="B2756" i="2"/>
  <c r="E2755" i="2"/>
  <c r="D2755" i="2"/>
  <c r="C2755" i="2"/>
  <c r="B2755" i="2"/>
  <c r="E2754" i="2"/>
  <c r="D2754" i="2"/>
  <c r="C2754" i="2"/>
  <c r="B2754" i="2"/>
  <c r="E2753" i="2"/>
  <c r="D2753" i="2"/>
  <c r="C2753" i="2"/>
  <c r="B2753" i="2"/>
  <c r="E2752" i="2"/>
  <c r="D2752" i="2"/>
  <c r="C2752" i="2"/>
  <c r="B2752" i="2"/>
  <c r="E2751" i="2"/>
  <c r="D2751" i="2"/>
  <c r="C2751" i="2"/>
  <c r="B2751" i="2"/>
  <c r="E2750" i="2"/>
  <c r="D2750" i="2"/>
  <c r="C2750" i="2"/>
  <c r="B2750" i="2"/>
  <c r="E2749" i="2"/>
  <c r="D2749" i="2"/>
  <c r="C2749" i="2"/>
  <c r="B2749" i="2"/>
  <c r="E2748" i="2"/>
  <c r="D2748" i="2"/>
  <c r="C2748" i="2"/>
  <c r="B2748" i="2"/>
  <c r="E2747" i="2"/>
  <c r="D2747" i="2"/>
  <c r="C2747" i="2"/>
  <c r="B2747" i="2"/>
  <c r="E2746" i="2"/>
  <c r="D2746" i="2"/>
  <c r="C2746" i="2"/>
  <c r="B2746" i="2"/>
  <c r="E2745" i="2"/>
  <c r="D2745" i="2"/>
  <c r="C2745" i="2"/>
  <c r="B2745" i="2"/>
  <c r="E2744" i="2"/>
  <c r="D2744" i="2"/>
  <c r="C2744" i="2"/>
  <c r="B2744" i="2"/>
  <c r="E2743" i="2"/>
  <c r="D2743" i="2"/>
  <c r="C2743" i="2"/>
  <c r="B2743" i="2"/>
  <c r="E2742" i="2"/>
  <c r="D2742" i="2"/>
  <c r="C2742" i="2"/>
  <c r="B2742" i="2"/>
  <c r="E2741" i="2"/>
  <c r="D2741" i="2"/>
  <c r="C2741" i="2"/>
  <c r="B2741" i="2"/>
  <c r="E2740" i="2"/>
  <c r="D2740" i="2"/>
  <c r="C2740" i="2"/>
  <c r="B2740" i="2"/>
  <c r="E2739" i="2"/>
  <c r="D2739" i="2"/>
  <c r="C2739" i="2"/>
  <c r="B2739" i="2"/>
  <c r="E2738" i="2"/>
  <c r="D2738" i="2"/>
  <c r="C2738" i="2"/>
  <c r="B2738" i="2"/>
  <c r="E2737" i="2"/>
  <c r="D2737" i="2"/>
  <c r="C2737" i="2"/>
  <c r="B2737" i="2"/>
  <c r="E2736" i="2"/>
  <c r="D2736" i="2"/>
  <c r="C2736" i="2"/>
  <c r="B2736" i="2"/>
  <c r="E2735" i="2"/>
  <c r="D2735" i="2"/>
  <c r="C2735" i="2"/>
  <c r="B2735" i="2"/>
  <c r="E2734" i="2"/>
  <c r="D2734" i="2"/>
  <c r="C2734" i="2"/>
  <c r="B2734" i="2"/>
  <c r="E2733" i="2"/>
  <c r="D2733" i="2"/>
  <c r="C2733" i="2"/>
  <c r="B2733" i="2"/>
  <c r="E2732" i="2"/>
  <c r="D2732" i="2"/>
  <c r="C2732" i="2"/>
  <c r="B2732" i="2"/>
  <c r="E2731" i="2"/>
  <c r="D2731" i="2"/>
  <c r="C2731" i="2"/>
  <c r="B2731" i="2"/>
  <c r="E2730" i="2"/>
  <c r="D2730" i="2"/>
  <c r="C2730" i="2"/>
  <c r="B2730" i="2"/>
  <c r="E2729" i="2"/>
  <c r="D2729" i="2"/>
  <c r="C2729" i="2"/>
  <c r="B2729" i="2"/>
  <c r="E2728" i="2"/>
  <c r="D2728" i="2"/>
  <c r="C2728" i="2"/>
  <c r="B2728" i="2"/>
  <c r="E2727" i="2"/>
  <c r="D2727" i="2"/>
  <c r="C2727" i="2"/>
  <c r="B2727" i="2"/>
  <c r="E2726" i="2"/>
  <c r="D2726" i="2"/>
  <c r="C2726" i="2"/>
  <c r="B2726" i="2"/>
  <c r="E2725" i="2"/>
  <c r="D2725" i="2"/>
  <c r="C2725" i="2"/>
  <c r="B2725" i="2"/>
  <c r="E2724" i="2"/>
  <c r="D2724" i="2"/>
  <c r="C2724" i="2"/>
  <c r="B2724" i="2"/>
  <c r="E2723" i="2"/>
  <c r="D2723" i="2"/>
  <c r="C2723" i="2"/>
  <c r="B2723" i="2"/>
  <c r="E2722" i="2"/>
  <c r="D2722" i="2"/>
  <c r="C2722" i="2"/>
  <c r="B2722" i="2"/>
  <c r="E2721" i="2"/>
  <c r="D2721" i="2"/>
  <c r="C2721" i="2"/>
  <c r="B2721" i="2"/>
  <c r="E2720" i="2"/>
  <c r="D2720" i="2"/>
  <c r="C2720" i="2"/>
  <c r="B2720" i="2"/>
  <c r="E2719" i="2"/>
  <c r="D2719" i="2"/>
  <c r="C2719" i="2"/>
  <c r="B2719" i="2"/>
  <c r="E2718" i="2"/>
  <c r="D2718" i="2"/>
  <c r="C2718" i="2"/>
  <c r="B2718" i="2"/>
  <c r="E2717" i="2"/>
  <c r="D2717" i="2"/>
  <c r="C2717" i="2"/>
  <c r="B2717" i="2"/>
  <c r="E2716" i="2"/>
  <c r="D2716" i="2"/>
  <c r="C2716" i="2"/>
  <c r="B2716" i="2"/>
  <c r="E2715" i="2"/>
  <c r="D2715" i="2"/>
  <c r="C2715" i="2"/>
  <c r="B2715" i="2"/>
  <c r="E2714" i="2"/>
  <c r="D2714" i="2"/>
  <c r="C2714" i="2"/>
  <c r="B2714" i="2"/>
  <c r="E2713" i="2"/>
  <c r="D2713" i="2"/>
  <c r="C2713" i="2"/>
  <c r="B2713" i="2"/>
  <c r="E2712" i="2"/>
  <c r="D2712" i="2"/>
  <c r="C2712" i="2"/>
  <c r="B2712" i="2"/>
  <c r="E2711" i="2"/>
  <c r="D2711" i="2"/>
  <c r="C2711" i="2"/>
  <c r="B2711" i="2"/>
  <c r="E2710" i="2"/>
  <c r="D2710" i="2"/>
  <c r="C2710" i="2"/>
  <c r="B2710" i="2"/>
  <c r="E2709" i="2"/>
  <c r="D2709" i="2"/>
  <c r="C2709" i="2"/>
  <c r="B2709" i="2"/>
  <c r="E2708" i="2"/>
  <c r="D2708" i="2"/>
  <c r="C2708" i="2"/>
  <c r="B2708" i="2"/>
  <c r="E2707" i="2"/>
  <c r="D2707" i="2"/>
  <c r="C2707" i="2"/>
  <c r="B2707" i="2"/>
  <c r="E2706" i="2"/>
  <c r="D2706" i="2"/>
  <c r="C2706" i="2"/>
  <c r="B2706" i="2"/>
  <c r="E2705" i="2"/>
  <c r="D2705" i="2"/>
  <c r="C2705" i="2"/>
  <c r="B2705" i="2"/>
  <c r="E2704" i="2"/>
  <c r="D2704" i="2"/>
  <c r="C2704" i="2"/>
  <c r="B2704" i="2"/>
  <c r="E2703" i="2"/>
  <c r="D2703" i="2"/>
  <c r="C2703" i="2"/>
  <c r="B2703" i="2"/>
  <c r="E2702" i="2"/>
  <c r="D2702" i="2"/>
  <c r="C2702" i="2"/>
  <c r="B2702" i="2"/>
  <c r="E2701" i="2"/>
  <c r="D2701" i="2"/>
  <c r="C2701" i="2"/>
  <c r="B2701" i="2"/>
  <c r="E2700" i="2"/>
  <c r="D2700" i="2"/>
  <c r="C2700" i="2"/>
  <c r="B2700" i="2"/>
  <c r="E2699" i="2"/>
  <c r="D2699" i="2"/>
  <c r="C2699" i="2"/>
  <c r="B2699" i="2"/>
  <c r="E2698" i="2"/>
  <c r="D2698" i="2"/>
  <c r="C2698" i="2"/>
  <c r="B2698" i="2"/>
  <c r="E2697" i="2"/>
  <c r="D2697" i="2"/>
  <c r="C2697" i="2"/>
  <c r="B2697" i="2"/>
  <c r="E2696" i="2"/>
  <c r="D2696" i="2"/>
  <c r="C2696" i="2"/>
  <c r="B2696" i="2"/>
  <c r="E2695" i="2"/>
  <c r="D2695" i="2"/>
  <c r="C2695" i="2"/>
  <c r="B2695" i="2"/>
  <c r="E2694" i="2"/>
  <c r="D2694" i="2"/>
  <c r="C2694" i="2"/>
  <c r="B2694" i="2"/>
  <c r="E2693" i="2"/>
  <c r="D2693" i="2"/>
  <c r="C2693" i="2"/>
  <c r="B2693" i="2"/>
  <c r="E2692" i="2"/>
  <c r="D2692" i="2"/>
  <c r="C2692" i="2"/>
  <c r="B2692" i="2"/>
  <c r="E2691" i="2"/>
  <c r="D2691" i="2"/>
  <c r="C2691" i="2"/>
  <c r="B2691" i="2"/>
  <c r="E2690" i="2"/>
  <c r="D2690" i="2"/>
  <c r="C2690" i="2"/>
  <c r="B2690" i="2"/>
  <c r="E2689" i="2"/>
  <c r="D2689" i="2"/>
  <c r="C2689" i="2"/>
  <c r="B2689" i="2"/>
  <c r="E2688" i="2"/>
  <c r="D2688" i="2"/>
  <c r="C2688" i="2"/>
  <c r="B2688" i="2"/>
  <c r="E2687" i="2"/>
  <c r="D2687" i="2"/>
  <c r="C2687" i="2"/>
  <c r="B2687" i="2"/>
  <c r="E2686" i="2"/>
  <c r="D2686" i="2"/>
  <c r="C2686" i="2"/>
  <c r="B2686" i="2"/>
  <c r="E2685" i="2"/>
  <c r="D2685" i="2"/>
  <c r="C2685" i="2"/>
  <c r="B2685" i="2"/>
  <c r="E2684" i="2"/>
  <c r="D2684" i="2"/>
  <c r="C2684" i="2"/>
  <c r="B2684" i="2"/>
  <c r="E2683" i="2"/>
  <c r="D2683" i="2"/>
  <c r="C2683" i="2"/>
  <c r="B2683" i="2"/>
  <c r="E2682" i="2"/>
  <c r="D2682" i="2"/>
  <c r="C2682" i="2"/>
  <c r="B2682" i="2"/>
  <c r="E2681" i="2"/>
  <c r="D2681" i="2"/>
  <c r="C2681" i="2"/>
  <c r="B2681" i="2"/>
  <c r="E2680" i="2"/>
  <c r="D2680" i="2"/>
  <c r="C2680" i="2"/>
  <c r="B2680" i="2"/>
  <c r="E2679" i="2"/>
  <c r="D2679" i="2"/>
  <c r="C2679" i="2"/>
  <c r="B2679" i="2"/>
  <c r="E2678" i="2"/>
  <c r="D2678" i="2"/>
  <c r="C2678" i="2"/>
  <c r="B2678" i="2"/>
  <c r="E2677" i="2"/>
  <c r="D2677" i="2"/>
  <c r="C2677" i="2"/>
  <c r="B2677" i="2"/>
  <c r="E2676" i="2"/>
  <c r="D2676" i="2"/>
  <c r="C2676" i="2"/>
  <c r="B2676" i="2"/>
  <c r="E2675" i="2"/>
  <c r="D2675" i="2"/>
  <c r="C2675" i="2"/>
  <c r="B2675" i="2"/>
  <c r="E2674" i="2"/>
  <c r="D2674" i="2"/>
  <c r="C2674" i="2"/>
  <c r="B2674" i="2"/>
  <c r="E2673" i="2"/>
  <c r="D2673" i="2"/>
  <c r="C2673" i="2"/>
  <c r="B2673" i="2"/>
  <c r="E2672" i="2"/>
  <c r="D2672" i="2"/>
  <c r="C2672" i="2"/>
  <c r="B2672" i="2"/>
  <c r="E2671" i="2"/>
  <c r="D2671" i="2"/>
  <c r="C2671" i="2"/>
  <c r="B2671" i="2"/>
  <c r="E2670" i="2"/>
  <c r="D2670" i="2"/>
  <c r="C2670" i="2"/>
  <c r="B2670" i="2"/>
  <c r="E2669" i="2"/>
  <c r="D2669" i="2"/>
  <c r="C2669" i="2"/>
  <c r="B2669" i="2"/>
  <c r="E2668" i="2"/>
  <c r="D2668" i="2"/>
  <c r="C2668" i="2"/>
  <c r="B2668" i="2"/>
  <c r="E2667" i="2"/>
  <c r="D2667" i="2"/>
  <c r="C2667" i="2"/>
  <c r="B2667" i="2"/>
  <c r="E2666" i="2"/>
  <c r="D2666" i="2"/>
  <c r="C2666" i="2"/>
  <c r="B2666" i="2"/>
  <c r="E2665" i="2"/>
  <c r="D2665" i="2"/>
  <c r="C2665" i="2"/>
  <c r="B2665" i="2"/>
  <c r="E2664" i="2"/>
  <c r="D2664" i="2"/>
  <c r="C2664" i="2"/>
  <c r="B2664" i="2"/>
  <c r="E2663" i="2"/>
  <c r="D2663" i="2"/>
  <c r="C2663" i="2"/>
  <c r="B2663" i="2"/>
  <c r="E2662" i="2"/>
  <c r="D2662" i="2"/>
  <c r="C2662" i="2"/>
  <c r="B2662" i="2"/>
  <c r="E2661" i="2"/>
  <c r="D2661" i="2"/>
  <c r="C2661" i="2"/>
  <c r="B2661" i="2"/>
  <c r="E2660" i="2"/>
  <c r="D2660" i="2"/>
  <c r="C2660" i="2"/>
  <c r="B2660" i="2"/>
  <c r="E2659" i="2"/>
  <c r="D2659" i="2"/>
  <c r="C2659" i="2"/>
  <c r="B2659" i="2"/>
  <c r="E2658" i="2"/>
  <c r="D2658" i="2"/>
  <c r="C2658" i="2"/>
  <c r="B2658" i="2"/>
  <c r="E2657" i="2"/>
  <c r="D2657" i="2"/>
  <c r="C2657" i="2"/>
  <c r="B2657" i="2"/>
  <c r="E2656" i="2"/>
  <c r="D2656" i="2"/>
  <c r="C2656" i="2"/>
  <c r="B2656" i="2"/>
  <c r="E2655" i="2"/>
  <c r="D2655" i="2"/>
  <c r="C2655" i="2"/>
  <c r="B2655" i="2"/>
  <c r="E2654" i="2"/>
  <c r="D2654" i="2"/>
  <c r="C2654" i="2"/>
  <c r="B2654" i="2"/>
  <c r="E2653" i="2"/>
  <c r="D2653" i="2"/>
  <c r="C2653" i="2"/>
  <c r="B2653" i="2"/>
  <c r="E2652" i="2"/>
  <c r="D2652" i="2"/>
  <c r="C2652" i="2"/>
  <c r="B2652" i="2"/>
  <c r="E2651" i="2"/>
  <c r="D2651" i="2"/>
  <c r="C2651" i="2"/>
  <c r="B2651" i="2"/>
  <c r="E2650" i="2"/>
  <c r="D2650" i="2"/>
  <c r="C2650" i="2"/>
  <c r="B2650" i="2"/>
  <c r="E2649" i="2"/>
  <c r="D2649" i="2"/>
  <c r="C2649" i="2"/>
  <c r="B2649" i="2"/>
  <c r="E2648" i="2"/>
  <c r="D2648" i="2"/>
  <c r="C2648" i="2"/>
  <c r="B2648" i="2"/>
  <c r="E2647" i="2"/>
  <c r="D2647" i="2"/>
  <c r="C2647" i="2"/>
  <c r="B2647" i="2"/>
  <c r="E2646" i="2"/>
  <c r="D2646" i="2"/>
  <c r="C2646" i="2"/>
  <c r="B2646" i="2"/>
  <c r="E2645" i="2"/>
  <c r="D2645" i="2"/>
  <c r="C2645" i="2"/>
  <c r="B2645" i="2"/>
  <c r="E2644" i="2"/>
  <c r="D2644" i="2"/>
  <c r="C2644" i="2"/>
  <c r="B2644" i="2"/>
  <c r="E2643" i="2"/>
  <c r="D2643" i="2"/>
  <c r="C2643" i="2"/>
  <c r="B2643" i="2"/>
  <c r="E2642" i="2"/>
  <c r="D2642" i="2"/>
  <c r="C2642" i="2"/>
  <c r="B2642" i="2"/>
  <c r="E2641" i="2"/>
  <c r="D2641" i="2"/>
  <c r="C2641" i="2"/>
  <c r="B2641" i="2"/>
  <c r="E2640" i="2"/>
  <c r="D2640" i="2"/>
  <c r="C2640" i="2"/>
  <c r="B2640" i="2"/>
  <c r="E2639" i="2"/>
  <c r="D2639" i="2"/>
  <c r="C2639" i="2"/>
  <c r="B2639" i="2"/>
  <c r="E2638" i="2"/>
  <c r="D2638" i="2"/>
  <c r="C2638" i="2"/>
  <c r="B2638" i="2"/>
  <c r="E2637" i="2"/>
  <c r="D2637" i="2"/>
  <c r="C2637" i="2"/>
  <c r="B2637" i="2"/>
  <c r="E2636" i="2"/>
  <c r="D2636" i="2"/>
  <c r="C2636" i="2"/>
  <c r="B2636" i="2"/>
  <c r="E2635" i="2"/>
  <c r="D2635" i="2"/>
  <c r="C2635" i="2"/>
  <c r="B2635" i="2"/>
  <c r="E2634" i="2"/>
  <c r="D2634" i="2"/>
  <c r="C2634" i="2"/>
  <c r="B2634" i="2"/>
  <c r="E2633" i="2"/>
  <c r="D2633" i="2"/>
  <c r="C2633" i="2"/>
  <c r="B2633" i="2"/>
  <c r="E2632" i="2"/>
  <c r="D2632" i="2"/>
  <c r="C2632" i="2"/>
  <c r="B2632" i="2"/>
  <c r="E2631" i="2"/>
  <c r="D2631" i="2"/>
  <c r="C2631" i="2"/>
  <c r="B2631" i="2"/>
  <c r="E2630" i="2"/>
  <c r="D2630" i="2"/>
  <c r="C2630" i="2"/>
  <c r="B2630" i="2"/>
  <c r="E2629" i="2"/>
  <c r="D2629" i="2"/>
  <c r="C2629" i="2"/>
  <c r="B2629" i="2"/>
  <c r="E2628" i="2"/>
  <c r="D2628" i="2"/>
  <c r="C2628" i="2"/>
  <c r="B2628" i="2"/>
  <c r="E2627" i="2"/>
  <c r="D2627" i="2"/>
  <c r="C2627" i="2"/>
  <c r="B2627" i="2"/>
  <c r="E2626" i="2"/>
  <c r="D2626" i="2"/>
  <c r="C2626" i="2"/>
  <c r="B2626" i="2"/>
  <c r="E2625" i="2"/>
  <c r="D2625" i="2"/>
  <c r="C2625" i="2"/>
  <c r="B2625" i="2"/>
  <c r="E2624" i="2"/>
  <c r="D2624" i="2"/>
  <c r="C2624" i="2"/>
  <c r="B2624" i="2"/>
  <c r="E2623" i="2"/>
  <c r="D2623" i="2"/>
  <c r="C2623" i="2"/>
  <c r="B2623" i="2"/>
  <c r="E2622" i="2"/>
  <c r="D2622" i="2"/>
  <c r="C2622" i="2"/>
  <c r="B2622" i="2"/>
  <c r="E2621" i="2"/>
  <c r="D2621" i="2"/>
  <c r="C2621" i="2"/>
  <c r="B2621" i="2"/>
  <c r="E2620" i="2"/>
  <c r="D2620" i="2"/>
  <c r="C2620" i="2"/>
  <c r="B2620" i="2"/>
  <c r="E2619" i="2"/>
  <c r="D2619" i="2"/>
  <c r="C2619" i="2"/>
  <c r="B2619" i="2"/>
  <c r="E2618" i="2"/>
  <c r="D2618" i="2"/>
  <c r="C2618" i="2"/>
  <c r="B2618" i="2"/>
  <c r="E2617" i="2"/>
  <c r="D2617" i="2"/>
  <c r="C2617" i="2"/>
  <c r="B2617" i="2"/>
  <c r="E2616" i="2"/>
  <c r="D2616" i="2"/>
  <c r="C2616" i="2"/>
  <c r="B2616" i="2"/>
  <c r="E2615" i="2"/>
  <c r="D2615" i="2"/>
  <c r="C2615" i="2"/>
  <c r="B2615" i="2"/>
  <c r="E2614" i="2"/>
  <c r="D2614" i="2"/>
  <c r="C2614" i="2"/>
  <c r="B2614" i="2"/>
  <c r="E2613" i="2"/>
  <c r="D2613" i="2"/>
  <c r="C2613" i="2"/>
  <c r="B2613" i="2"/>
  <c r="E2612" i="2"/>
  <c r="D2612" i="2"/>
  <c r="C2612" i="2"/>
  <c r="B2612" i="2"/>
  <c r="E2611" i="2"/>
  <c r="D2611" i="2"/>
  <c r="C2611" i="2"/>
  <c r="B2611" i="2"/>
  <c r="E2610" i="2"/>
  <c r="D2610" i="2"/>
  <c r="C2610" i="2"/>
  <c r="B2610" i="2"/>
  <c r="E2609" i="2"/>
  <c r="D2609" i="2"/>
  <c r="C2609" i="2"/>
  <c r="B2609" i="2"/>
  <c r="E2608" i="2"/>
  <c r="D2608" i="2"/>
  <c r="C2608" i="2"/>
  <c r="B2608" i="2"/>
  <c r="E2607" i="2"/>
  <c r="D2607" i="2"/>
  <c r="C2607" i="2"/>
  <c r="B2607" i="2"/>
  <c r="E2606" i="2"/>
  <c r="D2606" i="2"/>
  <c r="C2606" i="2"/>
  <c r="B2606" i="2"/>
  <c r="E2605" i="2"/>
  <c r="D2605" i="2"/>
  <c r="C2605" i="2"/>
  <c r="B2605" i="2"/>
  <c r="E2604" i="2"/>
  <c r="D2604" i="2"/>
  <c r="C2604" i="2"/>
  <c r="B2604" i="2"/>
  <c r="E2603" i="2"/>
  <c r="D2603" i="2"/>
  <c r="C2603" i="2"/>
  <c r="B2603" i="2"/>
  <c r="E2602" i="2"/>
  <c r="D2602" i="2"/>
  <c r="C2602" i="2"/>
  <c r="B2602" i="2"/>
  <c r="E2601" i="2"/>
  <c r="D2601" i="2"/>
  <c r="C2601" i="2"/>
  <c r="B2601" i="2"/>
  <c r="E2600" i="2"/>
  <c r="D2600" i="2"/>
  <c r="C2600" i="2"/>
  <c r="B2600" i="2"/>
  <c r="E2599" i="2"/>
  <c r="D2599" i="2"/>
  <c r="C2599" i="2"/>
  <c r="B2599" i="2"/>
  <c r="E2598" i="2"/>
  <c r="D2598" i="2"/>
  <c r="C2598" i="2"/>
  <c r="B2598" i="2"/>
  <c r="E2597" i="2"/>
  <c r="D2597" i="2"/>
  <c r="C2597" i="2"/>
  <c r="B2597" i="2"/>
  <c r="E2596" i="2"/>
  <c r="D2596" i="2"/>
  <c r="C2596" i="2"/>
  <c r="B2596" i="2"/>
  <c r="E2595" i="2"/>
  <c r="D2595" i="2"/>
  <c r="C2595" i="2"/>
  <c r="B2595" i="2"/>
  <c r="E2594" i="2"/>
  <c r="D2594" i="2"/>
  <c r="C2594" i="2"/>
  <c r="B2594" i="2"/>
  <c r="E2593" i="2"/>
  <c r="D2593" i="2"/>
  <c r="C2593" i="2"/>
  <c r="B2593" i="2"/>
  <c r="E2592" i="2"/>
  <c r="D2592" i="2"/>
  <c r="C2592" i="2"/>
  <c r="B2592" i="2"/>
  <c r="E2591" i="2"/>
  <c r="D2591" i="2"/>
  <c r="C2591" i="2"/>
  <c r="B2591" i="2"/>
  <c r="E2590" i="2"/>
  <c r="D2590" i="2"/>
  <c r="C2590" i="2"/>
  <c r="B2590" i="2"/>
  <c r="E2589" i="2"/>
  <c r="D2589" i="2"/>
  <c r="C2589" i="2"/>
  <c r="B2589" i="2"/>
  <c r="E2588" i="2"/>
  <c r="D2588" i="2"/>
  <c r="C2588" i="2"/>
  <c r="B2588" i="2"/>
  <c r="E2587" i="2"/>
  <c r="D2587" i="2"/>
  <c r="C2587" i="2"/>
  <c r="B2587" i="2"/>
  <c r="E2586" i="2"/>
  <c r="D2586" i="2"/>
  <c r="C2586" i="2"/>
  <c r="B2586" i="2"/>
  <c r="E2585" i="2"/>
  <c r="D2585" i="2"/>
  <c r="C2585" i="2"/>
  <c r="B2585" i="2"/>
  <c r="E2584" i="2"/>
  <c r="D2584" i="2"/>
  <c r="C2584" i="2"/>
  <c r="B2584" i="2"/>
  <c r="E2583" i="2"/>
  <c r="D2583" i="2"/>
  <c r="C2583" i="2"/>
  <c r="B2583" i="2"/>
  <c r="E2582" i="2"/>
  <c r="D2582" i="2"/>
  <c r="C2582" i="2"/>
  <c r="B2582" i="2"/>
  <c r="E2581" i="2"/>
  <c r="D2581" i="2"/>
  <c r="C2581" i="2"/>
  <c r="B2581" i="2"/>
  <c r="E2580" i="2"/>
  <c r="D2580" i="2"/>
  <c r="C2580" i="2"/>
  <c r="B2580" i="2"/>
  <c r="E2579" i="2"/>
  <c r="D2579" i="2"/>
  <c r="C2579" i="2"/>
  <c r="B2579" i="2"/>
  <c r="E2578" i="2"/>
  <c r="D2578" i="2"/>
  <c r="C2578" i="2"/>
  <c r="B2578" i="2"/>
  <c r="E2577" i="2"/>
  <c r="D2577" i="2"/>
  <c r="C2577" i="2"/>
  <c r="B2577" i="2"/>
  <c r="E2576" i="2"/>
  <c r="D2576" i="2"/>
  <c r="C2576" i="2"/>
  <c r="B2576" i="2"/>
  <c r="E2575" i="2"/>
  <c r="D2575" i="2"/>
  <c r="C2575" i="2"/>
  <c r="B2575" i="2"/>
  <c r="E2574" i="2"/>
  <c r="D2574" i="2"/>
  <c r="C2574" i="2"/>
  <c r="B2574" i="2"/>
  <c r="E2573" i="2"/>
  <c r="D2573" i="2"/>
  <c r="C2573" i="2"/>
  <c r="B2573" i="2"/>
  <c r="E2572" i="2"/>
  <c r="D2572" i="2"/>
  <c r="C2572" i="2"/>
  <c r="B2572" i="2"/>
  <c r="E2571" i="2"/>
  <c r="D2571" i="2"/>
  <c r="C2571" i="2"/>
  <c r="B2571" i="2"/>
  <c r="E2570" i="2"/>
  <c r="D2570" i="2"/>
  <c r="C2570" i="2"/>
  <c r="B2570" i="2"/>
  <c r="E2569" i="2"/>
  <c r="D2569" i="2"/>
  <c r="C2569" i="2"/>
  <c r="B2569" i="2"/>
  <c r="E2568" i="2"/>
  <c r="D2568" i="2"/>
  <c r="C2568" i="2"/>
  <c r="B2568" i="2"/>
  <c r="E2567" i="2"/>
  <c r="D2567" i="2"/>
  <c r="C2567" i="2"/>
  <c r="B2567" i="2"/>
  <c r="E2566" i="2"/>
  <c r="D2566" i="2"/>
  <c r="C2566" i="2"/>
  <c r="B2566" i="2"/>
  <c r="E2565" i="2"/>
  <c r="D2565" i="2"/>
  <c r="C2565" i="2"/>
  <c r="B2565" i="2"/>
  <c r="E2564" i="2"/>
  <c r="D2564" i="2"/>
  <c r="C2564" i="2"/>
  <c r="B2564" i="2"/>
  <c r="E2563" i="2"/>
  <c r="D2563" i="2"/>
  <c r="C2563" i="2"/>
  <c r="B2563" i="2"/>
  <c r="E2562" i="2"/>
  <c r="D2562" i="2"/>
  <c r="C2562" i="2"/>
  <c r="B2562" i="2"/>
  <c r="E2561" i="2"/>
  <c r="D2561" i="2"/>
  <c r="C2561" i="2"/>
  <c r="B2561" i="2"/>
  <c r="E2560" i="2"/>
  <c r="D2560" i="2"/>
  <c r="C2560" i="2"/>
  <c r="B2560" i="2"/>
  <c r="E2559" i="2"/>
  <c r="D2559" i="2"/>
  <c r="C2559" i="2"/>
  <c r="B2559" i="2"/>
  <c r="E2558" i="2"/>
  <c r="D2558" i="2"/>
  <c r="C2558" i="2"/>
  <c r="B2558" i="2"/>
  <c r="E2557" i="2"/>
  <c r="D2557" i="2"/>
  <c r="C2557" i="2"/>
  <c r="B2557" i="2"/>
  <c r="E2556" i="2"/>
  <c r="D2556" i="2"/>
  <c r="C2556" i="2"/>
  <c r="B2556" i="2"/>
  <c r="E2555" i="2"/>
  <c r="D2555" i="2"/>
  <c r="C2555" i="2"/>
  <c r="B2555" i="2"/>
  <c r="E2554" i="2"/>
  <c r="D2554" i="2"/>
  <c r="C2554" i="2"/>
  <c r="B2554" i="2"/>
  <c r="E2553" i="2"/>
  <c r="D2553" i="2"/>
  <c r="C2553" i="2"/>
  <c r="B2553" i="2"/>
  <c r="E2552" i="2"/>
  <c r="D2552" i="2"/>
  <c r="C2552" i="2"/>
  <c r="B2552" i="2"/>
  <c r="E2551" i="2"/>
  <c r="D2551" i="2"/>
  <c r="C2551" i="2"/>
  <c r="B2551" i="2"/>
  <c r="E2550" i="2"/>
  <c r="D2550" i="2"/>
  <c r="C2550" i="2"/>
  <c r="B2550" i="2"/>
  <c r="E2549" i="2"/>
  <c r="D2549" i="2"/>
  <c r="C2549" i="2"/>
  <c r="B2549" i="2"/>
  <c r="E2548" i="2"/>
  <c r="D2548" i="2"/>
  <c r="C2548" i="2"/>
  <c r="B2548" i="2"/>
  <c r="E2547" i="2"/>
  <c r="D2547" i="2"/>
  <c r="C2547" i="2"/>
  <c r="B2547" i="2"/>
  <c r="E2546" i="2"/>
  <c r="D2546" i="2"/>
  <c r="C2546" i="2"/>
  <c r="B2546" i="2"/>
  <c r="E2545" i="2"/>
  <c r="D2545" i="2"/>
  <c r="C2545" i="2"/>
  <c r="B2545" i="2"/>
  <c r="E2544" i="2"/>
  <c r="D2544" i="2"/>
  <c r="C2544" i="2"/>
  <c r="B2544" i="2"/>
  <c r="E2543" i="2"/>
  <c r="D2543" i="2"/>
  <c r="C2543" i="2"/>
  <c r="B2543" i="2"/>
  <c r="E2542" i="2"/>
  <c r="D2542" i="2"/>
  <c r="C2542" i="2"/>
  <c r="B2542" i="2"/>
  <c r="E2541" i="2"/>
  <c r="D2541" i="2"/>
  <c r="C2541" i="2"/>
  <c r="B2541" i="2"/>
  <c r="E2540" i="2"/>
  <c r="D2540" i="2"/>
  <c r="C2540" i="2"/>
  <c r="B2540" i="2"/>
  <c r="E2539" i="2"/>
  <c r="D2539" i="2"/>
  <c r="C2539" i="2"/>
  <c r="B2539" i="2"/>
  <c r="E2538" i="2"/>
  <c r="D2538" i="2"/>
  <c r="C2538" i="2"/>
  <c r="B2538" i="2"/>
  <c r="E2537" i="2"/>
  <c r="D2537" i="2"/>
  <c r="C2537" i="2"/>
  <c r="B2537" i="2"/>
  <c r="E2536" i="2"/>
  <c r="D2536" i="2"/>
  <c r="C2536" i="2"/>
  <c r="B2536" i="2"/>
  <c r="E2535" i="2"/>
  <c r="D2535" i="2"/>
  <c r="C2535" i="2"/>
  <c r="B2535" i="2"/>
  <c r="E2534" i="2"/>
  <c r="D2534" i="2"/>
  <c r="C2534" i="2"/>
  <c r="B2534" i="2"/>
  <c r="E2533" i="2"/>
  <c r="D2533" i="2"/>
  <c r="C2533" i="2"/>
  <c r="B2533" i="2"/>
  <c r="E2532" i="2"/>
  <c r="D2532" i="2"/>
  <c r="C2532" i="2"/>
  <c r="B2532" i="2"/>
  <c r="E2531" i="2"/>
  <c r="D2531" i="2"/>
  <c r="C2531" i="2"/>
  <c r="B2531" i="2"/>
  <c r="E2530" i="2"/>
  <c r="D2530" i="2"/>
  <c r="C2530" i="2"/>
  <c r="B2530" i="2"/>
  <c r="E2529" i="2"/>
  <c r="D2529" i="2"/>
  <c r="C2529" i="2"/>
  <c r="B2529" i="2"/>
  <c r="E2528" i="2"/>
  <c r="D2528" i="2"/>
  <c r="C2528" i="2"/>
  <c r="B2528" i="2"/>
  <c r="E2527" i="2"/>
  <c r="D2527" i="2"/>
  <c r="C2527" i="2"/>
  <c r="B2527" i="2"/>
  <c r="E2526" i="2"/>
  <c r="D2526" i="2"/>
  <c r="C2526" i="2"/>
  <c r="B2526" i="2"/>
  <c r="E2525" i="2"/>
  <c r="D2525" i="2"/>
  <c r="C2525" i="2"/>
  <c r="B2525" i="2"/>
  <c r="E2524" i="2"/>
  <c r="D2524" i="2"/>
  <c r="C2524" i="2"/>
  <c r="B2524" i="2"/>
  <c r="E2523" i="2"/>
  <c r="D2523" i="2"/>
  <c r="C2523" i="2"/>
  <c r="B2523" i="2"/>
  <c r="E2522" i="2"/>
  <c r="D2522" i="2"/>
  <c r="C2522" i="2"/>
  <c r="B2522" i="2"/>
  <c r="E2521" i="2"/>
  <c r="D2521" i="2"/>
  <c r="C2521" i="2"/>
  <c r="B2521" i="2"/>
  <c r="E2520" i="2"/>
  <c r="D2520" i="2"/>
  <c r="C2520" i="2"/>
  <c r="B2520" i="2"/>
  <c r="E2519" i="2"/>
  <c r="D2519" i="2"/>
  <c r="C2519" i="2"/>
  <c r="B2519" i="2"/>
  <c r="E2518" i="2"/>
  <c r="D2518" i="2"/>
  <c r="C2518" i="2"/>
  <c r="B2518" i="2"/>
  <c r="E2517" i="2"/>
  <c r="D2517" i="2"/>
  <c r="C2517" i="2"/>
  <c r="B2517" i="2"/>
  <c r="E2516" i="2"/>
  <c r="D2516" i="2"/>
  <c r="C2516" i="2"/>
  <c r="B2516" i="2"/>
  <c r="E2515" i="2"/>
  <c r="D2515" i="2"/>
  <c r="C2515" i="2"/>
  <c r="B2515" i="2"/>
  <c r="E2514" i="2"/>
  <c r="D2514" i="2"/>
  <c r="C2514" i="2"/>
  <c r="B2514" i="2"/>
  <c r="E2513" i="2"/>
  <c r="D2513" i="2"/>
  <c r="C2513" i="2"/>
  <c r="B2513" i="2"/>
  <c r="E2512" i="2"/>
  <c r="D2512" i="2"/>
  <c r="C2512" i="2"/>
  <c r="B2512" i="2"/>
  <c r="E2511" i="2"/>
  <c r="D2511" i="2"/>
  <c r="C2511" i="2"/>
  <c r="B2511" i="2"/>
  <c r="E2510" i="2"/>
  <c r="D2510" i="2"/>
  <c r="C2510" i="2"/>
  <c r="B2510" i="2"/>
  <c r="E2509" i="2"/>
  <c r="D2509" i="2"/>
  <c r="C2509" i="2"/>
  <c r="B2509" i="2"/>
  <c r="E2508" i="2"/>
  <c r="D2508" i="2"/>
  <c r="C2508" i="2"/>
  <c r="B2508" i="2"/>
  <c r="E2507" i="2"/>
  <c r="D2507" i="2"/>
  <c r="C2507" i="2"/>
  <c r="B2507" i="2"/>
  <c r="E2506" i="2"/>
  <c r="D2506" i="2"/>
  <c r="C2506" i="2"/>
  <c r="B2506" i="2"/>
  <c r="E2505" i="2"/>
  <c r="D2505" i="2"/>
  <c r="C2505" i="2"/>
  <c r="B2505" i="2"/>
  <c r="E2504" i="2"/>
  <c r="D2504" i="2"/>
  <c r="C2504" i="2"/>
  <c r="B2504" i="2"/>
  <c r="E2503" i="2"/>
  <c r="D2503" i="2"/>
  <c r="C2503" i="2"/>
  <c r="B2503" i="2"/>
  <c r="E2502" i="2"/>
  <c r="D2502" i="2"/>
  <c r="C2502" i="2"/>
  <c r="B2502" i="2"/>
  <c r="E2501" i="2"/>
  <c r="D2501" i="2"/>
  <c r="C2501" i="2"/>
  <c r="B2501" i="2"/>
  <c r="E2500" i="2"/>
  <c r="D2500" i="2"/>
  <c r="C2500" i="2"/>
  <c r="B2500" i="2"/>
  <c r="E2499" i="2"/>
  <c r="D2499" i="2"/>
  <c r="C2499" i="2"/>
  <c r="B2499" i="2"/>
  <c r="E2498" i="2"/>
  <c r="D2498" i="2"/>
  <c r="C2498" i="2"/>
  <c r="B2498" i="2"/>
  <c r="E2497" i="2"/>
  <c r="D2497" i="2"/>
  <c r="C2497" i="2"/>
  <c r="B2497" i="2"/>
  <c r="E2496" i="2"/>
  <c r="D2496" i="2"/>
  <c r="C2496" i="2"/>
  <c r="B2496" i="2"/>
  <c r="E2495" i="2"/>
  <c r="D2495" i="2"/>
  <c r="C2495" i="2"/>
  <c r="B2495" i="2"/>
  <c r="E2494" i="2"/>
  <c r="D2494" i="2"/>
  <c r="C2494" i="2"/>
  <c r="B2494" i="2"/>
  <c r="E2493" i="2"/>
  <c r="D2493" i="2"/>
  <c r="C2493" i="2"/>
  <c r="B2493" i="2"/>
  <c r="E2492" i="2"/>
  <c r="D2492" i="2"/>
  <c r="C2492" i="2"/>
  <c r="B2492" i="2"/>
  <c r="E2491" i="2"/>
  <c r="D2491" i="2"/>
  <c r="C2491" i="2"/>
  <c r="B2491" i="2"/>
  <c r="E2490" i="2"/>
  <c r="D2490" i="2"/>
  <c r="C2490" i="2"/>
  <c r="B2490" i="2"/>
  <c r="E2489" i="2"/>
  <c r="D2489" i="2"/>
  <c r="C2489" i="2"/>
  <c r="B2489" i="2"/>
  <c r="E2488" i="2"/>
  <c r="D2488" i="2"/>
  <c r="C2488" i="2"/>
  <c r="B2488" i="2"/>
  <c r="E2487" i="2"/>
  <c r="D2487" i="2"/>
  <c r="C2487" i="2"/>
  <c r="B2487" i="2"/>
  <c r="E2486" i="2"/>
  <c r="D2486" i="2"/>
  <c r="C2486" i="2"/>
  <c r="B2486" i="2"/>
  <c r="E2485" i="2"/>
  <c r="D2485" i="2"/>
  <c r="C2485" i="2"/>
  <c r="B2485" i="2"/>
  <c r="E2484" i="2"/>
  <c r="D2484" i="2"/>
  <c r="C2484" i="2"/>
  <c r="B2484" i="2"/>
  <c r="E2483" i="2"/>
  <c r="D2483" i="2"/>
  <c r="C2483" i="2"/>
  <c r="B2483" i="2"/>
  <c r="E2482" i="2"/>
  <c r="D2482" i="2"/>
  <c r="C2482" i="2"/>
  <c r="B2482" i="2"/>
  <c r="E2481" i="2"/>
  <c r="D2481" i="2"/>
  <c r="C2481" i="2"/>
  <c r="B2481" i="2"/>
  <c r="E2480" i="2"/>
  <c r="D2480" i="2"/>
  <c r="C2480" i="2"/>
  <c r="B2480" i="2"/>
  <c r="E2479" i="2"/>
  <c r="D2479" i="2"/>
  <c r="C2479" i="2"/>
  <c r="B2479" i="2"/>
  <c r="E2478" i="2"/>
  <c r="D2478" i="2"/>
  <c r="C2478" i="2"/>
  <c r="B2478" i="2"/>
  <c r="E2477" i="2"/>
  <c r="D2477" i="2"/>
  <c r="C2477" i="2"/>
  <c r="B2477" i="2"/>
  <c r="E2476" i="2"/>
  <c r="D2476" i="2"/>
  <c r="C2476" i="2"/>
  <c r="B2476" i="2"/>
  <c r="E2475" i="2"/>
  <c r="D2475" i="2"/>
  <c r="C2475" i="2"/>
  <c r="B2475" i="2"/>
  <c r="E2474" i="2"/>
  <c r="D2474" i="2"/>
  <c r="C2474" i="2"/>
  <c r="B2474" i="2"/>
  <c r="E2473" i="2"/>
  <c r="D2473" i="2"/>
  <c r="C2473" i="2"/>
  <c r="B2473" i="2"/>
  <c r="E2472" i="2"/>
  <c r="D2472" i="2"/>
  <c r="C2472" i="2"/>
  <c r="B2472" i="2"/>
  <c r="E2471" i="2"/>
  <c r="D2471" i="2"/>
  <c r="C2471" i="2"/>
  <c r="B2471" i="2"/>
  <c r="E2470" i="2"/>
  <c r="D2470" i="2"/>
  <c r="C2470" i="2"/>
  <c r="B2470" i="2"/>
  <c r="E2469" i="2"/>
  <c r="D2469" i="2"/>
  <c r="C2469" i="2"/>
  <c r="B2469" i="2"/>
  <c r="E2468" i="2"/>
  <c r="D2468" i="2"/>
  <c r="C2468" i="2"/>
  <c r="B2468" i="2"/>
  <c r="E2467" i="2"/>
  <c r="D2467" i="2"/>
  <c r="C2467" i="2"/>
  <c r="B2467" i="2"/>
  <c r="E2466" i="2"/>
  <c r="D2466" i="2"/>
  <c r="C2466" i="2"/>
  <c r="B2466" i="2"/>
  <c r="E2465" i="2"/>
  <c r="D2465" i="2"/>
  <c r="C2465" i="2"/>
  <c r="B2465" i="2"/>
  <c r="E2464" i="2"/>
  <c r="D2464" i="2"/>
  <c r="C2464" i="2"/>
  <c r="B2464" i="2"/>
  <c r="E2463" i="2"/>
  <c r="D2463" i="2"/>
  <c r="C2463" i="2"/>
  <c r="B2463" i="2"/>
  <c r="E2462" i="2"/>
  <c r="D2462" i="2"/>
  <c r="C2462" i="2"/>
  <c r="B2462" i="2"/>
  <c r="E2461" i="2"/>
  <c r="D2461" i="2"/>
  <c r="C2461" i="2"/>
  <c r="B2461" i="2"/>
  <c r="E2460" i="2"/>
  <c r="D2460" i="2"/>
  <c r="C2460" i="2"/>
  <c r="B2460" i="2"/>
  <c r="E2459" i="2"/>
  <c r="D2459" i="2"/>
  <c r="C2459" i="2"/>
  <c r="B2459" i="2"/>
  <c r="E2458" i="2"/>
  <c r="D2458" i="2"/>
  <c r="C2458" i="2"/>
  <c r="B2458" i="2"/>
  <c r="E2457" i="2"/>
  <c r="D2457" i="2"/>
  <c r="C2457" i="2"/>
  <c r="B2457" i="2"/>
  <c r="E2456" i="2"/>
  <c r="D2456" i="2"/>
  <c r="C2456" i="2"/>
  <c r="B2456" i="2"/>
  <c r="E2455" i="2"/>
  <c r="D2455" i="2"/>
  <c r="C2455" i="2"/>
  <c r="B2455" i="2"/>
  <c r="E2454" i="2"/>
  <c r="D2454" i="2"/>
  <c r="C2454" i="2"/>
  <c r="B2454" i="2"/>
  <c r="E2453" i="2"/>
  <c r="D2453" i="2"/>
  <c r="C2453" i="2"/>
  <c r="B2453" i="2"/>
  <c r="E2452" i="2"/>
  <c r="D2452" i="2"/>
  <c r="C2452" i="2"/>
  <c r="B2452" i="2"/>
  <c r="E2451" i="2"/>
  <c r="D2451" i="2"/>
  <c r="C2451" i="2"/>
  <c r="B2451" i="2"/>
  <c r="E2450" i="2"/>
  <c r="D2450" i="2"/>
  <c r="C2450" i="2"/>
  <c r="B2450" i="2"/>
  <c r="E2449" i="2"/>
  <c r="D2449" i="2"/>
  <c r="C2449" i="2"/>
  <c r="B2449" i="2"/>
  <c r="E2448" i="2"/>
  <c r="D2448" i="2"/>
  <c r="C2448" i="2"/>
  <c r="B2448" i="2"/>
  <c r="E2447" i="2"/>
  <c r="D2447" i="2"/>
  <c r="C2447" i="2"/>
  <c r="B2447" i="2"/>
  <c r="E2446" i="2"/>
  <c r="D2446" i="2"/>
  <c r="C2446" i="2"/>
  <c r="B2446" i="2"/>
  <c r="E2445" i="2"/>
  <c r="D2445" i="2"/>
  <c r="C2445" i="2"/>
  <c r="B2445" i="2"/>
  <c r="E2444" i="2"/>
  <c r="D2444" i="2"/>
  <c r="C2444" i="2"/>
  <c r="B2444" i="2"/>
  <c r="E2443" i="2"/>
  <c r="D2443" i="2"/>
  <c r="C2443" i="2"/>
  <c r="B2443" i="2"/>
  <c r="E2442" i="2"/>
  <c r="D2442" i="2"/>
  <c r="C2442" i="2"/>
  <c r="B2442" i="2"/>
  <c r="E2441" i="2"/>
  <c r="D2441" i="2"/>
  <c r="C2441" i="2"/>
  <c r="B2441" i="2"/>
  <c r="E2440" i="2"/>
  <c r="D2440" i="2"/>
  <c r="C2440" i="2"/>
  <c r="B2440" i="2"/>
  <c r="E2439" i="2"/>
  <c r="D2439" i="2"/>
  <c r="C2439" i="2"/>
  <c r="B2439" i="2"/>
  <c r="E2438" i="2"/>
  <c r="D2438" i="2"/>
  <c r="C2438" i="2"/>
  <c r="B2438" i="2"/>
  <c r="E2437" i="2"/>
  <c r="D2437" i="2"/>
  <c r="C2437" i="2"/>
  <c r="B2437" i="2"/>
  <c r="E2436" i="2"/>
  <c r="D2436" i="2"/>
  <c r="C2436" i="2"/>
  <c r="B2436" i="2"/>
  <c r="E2435" i="2"/>
  <c r="D2435" i="2"/>
  <c r="C2435" i="2"/>
  <c r="B2435" i="2"/>
  <c r="E2434" i="2"/>
  <c r="D2434" i="2"/>
  <c r="C2434" i="2"/>
  <c r="B2434" i="2"/>
  <c r="E2433" i="2"/>
  <c r="D2433" i="2"/>
  <c r="C2433" i="2"/>
  <c r="B2433" i="2"/>
  <c r="E2432" i="2"/>
  <c r="D2432" i="2"/>
  <c r="C2432" i="2"/>
  <c r="B2432" i="2"/>
  <c r="E2431" i="2"/>
  <c r="D2431" i="2"/>
  <c r="C2431" i="2"/>
  <c r="B2431" i="2"/>
  <c r="E2430" i="2"/>
  <c r="D2430" i="2"/>
  <c r="C2430" i="2"/>
  <c r="B2430" i="2"/>
  <c r="E2429" i="2"/>
  <c r="D2429" i="2"/>
  <c r="C2429" i="2"/>
  <c r="B2429" i="2"/>
  <c r="E2428" i="2"/>
  <c r="D2428" i="2"/>
  <c r="C2428" i="2"/>
  <c r="B2428" i="2"/>
  <c r="E2427" i="2"/>
  <c r="D2427" i="2"/>
  <c r="C2427" i="2"/>
  <c r="B2427" i="2"/>
  <c r="E2426" i="2"/>
  <c r="D2426" i="2"/>
  <c r="C2426" i="2"/>
  <c r="B2426" i="2"/>
  <c r="E2425" i="2"/>
  <c r="D2425" i="2"/>
  <c r="C2425" i="2"/>
  <c r="B2425" i="2"/>
  <c r="E2424" i="2"/>
  <c r="D2424" i="2"/>
  <c r="C2424" i="2"/>
  <c r="B2424" i="2"/>
  <c r="E2423" i="2"/>
  <c r="D2423" i="2"/>
  <c r="C2423" i="2"/>
  <c r="B2423" i="2"/>
  <c r="E2422" i="2"/>
  <c r="D2422" i="2"/>
  <c r="C2422" i="2"/>
  <c r="B2422" i="2"/>
  <c r="E2421" i="2"/>
  <c r="D2421" i="2"/>
  <c r="C2421" i="2"/>
  <c r="B2421" i="2"/>
  <c r="E2420" i="2"/>
  <c r="D2420" i="2"/>
  <c r="C2420" i="2"/>
  <c r="B2420" i="2"/>
  <c r="E2419" i="2"/>
  <c r="D2419" i="2"/>
  <c r="C2419" i="2"/>
  <c r="B2419" i="2"/>
  <c r="E2418" i="2"/>
  <c r="D2418" i="2"/>
  <c r="C2418" i="2"/>
  <c r="B2418" i="2"/>
  <c r="E2417" i="2"/>
  <c r="D2417" i="2"/>
  <c r="C2417" i="2"/>
  <c r="B2417" i="2"/>
  <c r="E2416" i="2"/>
  <c r="D2416" i="2"/>
  <c r="C2416" i="2"/>
  <c r="B2416" i="2"/>
  <c r="E2415" i="2"/>
  <c r="D2415" i="2"/>
  <c r="C2415" i="2"/>
  <c r="B2415" i="2"/>
  <c r="E2414" i="2"/>
  <c r="D2414" i="2"/>
  <c r="C2414" i="2"/>
  <c r="B2414" i="2"/>
  <c r="E2413" i="2"/>
  <c r="D2413" i="2"/>
  <c r="C2413" i="2"/>
  <c r="B2413" i="2"/>
  <c r="E2412" i="2"/>
  <c r="D2412" i="2"/>
  <c r="C2412" i="2"/>
  <c r="B2412" i="2"/>
  <c r="E2411" i="2"/>
  <c r="D2411" i="2"/>
  <c r="C2411" i="2"/>
  <c r="B2411" i="2"/>
  <c r="E2410" i="2"/>
  <c r="D2410" i="2"/>
  <c r="C2410" i="2"/>
  <c r="B2410" i="2"/>
  <c r="E2409" i="2"/>
  <c r="D2409" i="2"/>
  <c r="C2409" i="2"/>
  <c r="B2409" i="2"/>
  <c r="E2408" i="2"/>
  <c r="D2408" i="2"/>
  <c r="C2408" i="2"/>
  <c r="B2408" i="2"/>
  <c r="E2407" i="2"/>
  <c r="D2407" i="2"/>
  <c r="C2407" i="2"/>
  <c r="B2407" i="2"/>
  <c r="E2406" i="2"/>
  <c r="D2406" i="2"/>
  <c r="C2406" i="2"/>
  <c r="B2406" i="2"/>
  <c r="E2405" i="2"/>
  <c r="D2405" i="2"/>
  <c r="C2405" i="2"/>
  <c r="B2405" i="2"/>
  <c r="E2404" i="2"/>
  <c r="D2404" i="2"/>
  <c r="C2404" i="2"/>
  <c r="B2404" i="2"/>
  <c r="E2403" i="2"/>
  <c r="D2403" i="2"/>
  <c r="C2403" i="2"/>
  <c r="B2403" i="2"/>
  <c r="E2402" i="2"/>
  <c r="D2402" i="2"/>
  <c r="C2402" i="2"/>
  <c r="B2402" i="2"/>
  <c r="E2401" i="2"/>
  <c r="D2401" i="2"/>
  <c r="C2401" i="2"/>
  <c r="B2401" i="2"/>
  <c r="E2400" i="2"/>
  <c r="D2400" i="2"/>
  <c r="C2400" i="2"/>
  <c r="B2400" i="2"/>
  <c r="E2399" i="2"/>
  <c r="D2399" i="2"/>
  <c r="C2399" i="2"/>
  <c r="B2399" i="2"/>
  <c r="E2398" i="2"/>
  <c r="D2398" i="2"/>
  <c r="C2398" i="2"/>
  <c r="B2398" i="2"/>
  <c r="E2397" i="2"/>
  <c r="D2397" i="2"/>
  <c r="C2397" i="2"/>
  <c r="B2397" i="2"/>
  <c r="E2396" i="2"/>
  <c r="D2396" i="2"/>
  <c r="C2396" i="2"/>
  <c r="B2396" i="2"/>
  <c r="E2395" i="2"/>
  <c r="D2395" i="2"/>
  <c r="C2395" i="2"/>
  <c r="B2395" i="2"/>
  <c r="E2394" i="2"/>
  <c r="D2394" i="2"/>
  <c r="C2394" i="2"/>
  <c r="B2394" i="2"/>
  <c r="E2393" i="2"/>
  <c r="D2393" i="2"/>
  <c r="C2393" i="2"/>
  <c r="B2393" i="2"/>
  <c r="E2392" i="2"/>
  <c r="D2392" i="2"/>
  <c r="C2392" i="2"/>
  <c r="B2392" i="2"/>
  <c r="E2391" i="2"/>
  <c r="D2391" i="2"/>
  <c r="C2391" i="2"/>
  <c r="B2391" i="2"/>
  <c r="E2390" i="2"/>
  <c r="D2390" i="2"/>
  <c r="C2390" i="2"/>
  <c r="B2390" i="2"/>
  <c r="E2389" i="2"/>
  <c r="D2389" i="2"/>
  <c r="C2389" i="2"/>
  <c r="B2389" i="2"/>
  <c r="E2388" i="2"/>
  <c r="D2388" i="2"/>
  <c r="C2388" i="2"/>
  <c r="B2388" i="2"/>
  <c r="E2387" i="2"/>
  <c r="D2387" i="2"/>
  <c r="C2387" i="2"/>
  <c r="B2387" i="2"/>
  <c r="E2386" i="2"/>
  <c r="D2386" i="2"/>
  <c r="C2386" i="2"/>
  <c r="B2386" i="2"/>
  <c r="E2385" i="2"/>
  <c r="D2385" i="2"/>
  <c r="C2385" i="2"/>
  <c r="B2385" i="2"/>
  <c r="E2384" i="2"/>
  <c r="D2384" i="2"/>
  <c r="C2384" i="2"/>
  <c r="B2384" i="2"/>
  <c r="E2383" i="2"/>
  <c r="D2383" i="2"/>
  <c r="C2383" i="2"/>
  <c r="B2383" i="2"/>
  <c r="E2382" i="2"/>
  <c r="D2382" i="2"/>
  <c r="C2382" i="2"/>
  <c r="B2382" i="2"/>
  <c r="E2381" i="2"/>
  <c r="D2381" i="2"/>
  <c r="C2381" i="2"/>
  <c r="B2381" i="2"/>
  <c r="E2380" i="2"/>
  <c r="D2380" i="2"/>
  <c r="C2380" i="2"/>
  <c r="B2380" i="2"/>
  <c r="E2379" i="2"/>
  <c r="D2379" i="2"/>
  <c r="C2379" i="2"/>
  <c r="B2379" i="2"/>
  <c r="E2378" i="2"/>
  <c r="D2378" i="2"/>
  <c r="C2378" i="2"/>
  <c r="B2378" i="2"/>
  <c r="E2377" i="2"/>
  <c r="D2377" i="2"/>
  <c r="C2377" i="2"/>
  <c r="B2377" i="2"/>
  <c r="E2376" i="2"/>
  <c r="D2376" i="2"/>
  <c r="C2376" i="2"/>
  <c r="B2376" i="2"/>
  <c r="E2375" i="2"/>
  <c r="D2375" i="2"/>
  <c r="C2375" i="2"/>
  <c r="B2375" i="2"/>
  <c r="E2374" i="2"/>
  <c r="D2374" i="2"/>
  <c r="C2374" i="2"/>
  <c r="B2374" i="2"/>
  <c r="E2373" i="2"/>
  <c r="D2373" i="2"/>
  <c r="C2373" i="2"/>
  <c r="B2373" i="2"/>
  <c r="E2372" i="2"/>
  <c r="D2372" i="2"/>
  <c r="C2372" i="2"/>
  <c r="B2372" i="2"/>
  <c r="E2371" i="2"/>
  <c r="D2371" i="2"/>
  <c r="C2371" i="2"/>
  <c r="B2371" i="2"/>
  <c r="E2370" i="2"/>
  <c r="D2370" i="2"/>
  <c r="C2370" i="2"/>
  <c r="B2370" i="2"/>
  <c r="E2369" i="2"/>
  <c r="D2369" i="2"/>
  <c r="C2369" i="2"/>
  <c r="B2369" i="2"/>
  <c r="E2368" i="2"/>
  <c r="D2368" i="2"/>
  <c r="C2368" i="2"/>
  <c r="B2368" i="2"/>
  <c r="E2367" i="2"/>
  <c r="D2367" i="2"/>
  <c r="C2367" i="2"/>
  <c r="B2367" i="2"/>
  <c r="E2366" i="2"/>
  <c r="D2366" i="2"/>
  <c r="C2366" i="2"/>
  <c r="B2366" i="2"/>
  <c r="E2365" i="2"/>
  <c r="D2365" i="2"/>
  <c r="C2365" i="2"/>
  <c r="B2365" i="2"/>
  <c r="E2364" i="2"/>
  <c r="D2364" i="2"/>
  <c r="C2364" i="2"/>
  <c r="B2364" i="2"/>
  <c r="E2363" i="2"/>
  <c r="D2363" i="2"/>
  <c r="C2363" i="2"/>
  <c r="B2363" i="2"/>
  <c r="E2362" i="2"/>
  <c r="D2362" i="2"/>
  <c r="C2362" i="2"/>
  <c r="B2362" i="2"/>
  <c r="E2361" i="2"/>
  <c r="D2361" i="2"/>
  <c r="C2361" i="2"/>
  <c r="B2361" i="2"/>
  <c r="E2360" i="2"/>
  <c r="D2360" i="2"/>
  <c r="C2360" i="2"/>
  <c r="B2360" i="2"/>
  <c r="E2359" i="2"/>
  <c r="D2359" i="2"/>
  <c r="C2359" i="2"/>
  <c r="B2359" i="2"/>
  <c r="E2358" i="2"/>
  <c r="D2358" i="2"/>
  <c r="C2358" i="2"/>
  <c r="B2358" i="2"/>
  <c r="E2357" i="2"/>
  <c r="D2357" i="2"/>
  <c r="C2357" i="2"/>
  <c r="B2357" i="2"/>
  <c r="E2356" i="2"/>
  <c r="D2356" i="2"/>
  <c r="C2356" i="2"/>
  <c r="B2356" i="2"/>
  <c r="E2355" i="2"/>
  <c r="D2355" i="2"/>
  <c r="C2355" i="2"/>
  <c r="B2355" i="2"/>
  <c r="E2354" i="2"/>
  <c r="D2354" i="2"/>
  <c r="C2354" i="2"/>
  <c r="B2354" i="2"/>
  <c r="E2353" i="2"/>
  <c r="D2353" i="2"/>
  <c r="C2353" i="2"/>
  <c r="B2353" i="2"/>
  <c r="E2352" i="2"/>
  <c r="D2352" i="2"/>
  <c r="C2352" i="2"/>
  <c r="B2352" i="2"/>
  <c r="E2351" i="2"/>
  <c r="D2351" i="2"/>
  <c r="C2351" i="2"/>
  <c r="B2351" i="2"/>
  <c r="E2350" i="2"/>
  <c r="D2350" i="2"/>
  <c r="C2350" i="2"/>
  <c r="B2350" i="2"/>
  <c r="E2349" i="2"/>
  <c r="D2349" i="2"/>
  <c r="C2349" i="2"/>
  <c r="B2349" i="2"/>
  <c r="E2348" i="2"/>
  <c r="D2348" i="2"/>
  <c r="C2348" i="2"/>
  <c r="B2348" i="2"/>
  <c r="E2347" i="2"/>
  <c r="D2347" i="2"/>
  <c r="C2347" i="2"/>
  <c r="B2347" i="2"/>
  <c r="E2346" i="2"/>
  <c r="D2346" i="2"/>
  <c r="C2346" i="2"/>
  <c r="B2346" i="2"/>
  <c r="E2345" i="2"/>
  <c r="D2345" i="2"/>
  <c r="C2345" i="2"/>
  <c r="B2345" i="2"/>
  <c r="E2344" i="2"/>
  <c r="D2344" i="2"/>
  <c r="C2344" i="2"/>
  <c r="B2344" i="2"/>
  <c r="E2343" i="2"/>
  <c r="D2343" i="2"/>
  <c r="C2343" i="2"/>
  <c r="B2343" i="2"/>
  <c r="E2342" i="2"/>
  <c r="D2342" i="2"/>
  <c r="C2342" i="2"/>
  <c r="B2342" i="2"/>
  <c r="E2341" i="2"/>
  <c r="D2341" i="2"/>
  <c r="C2341" i="2"/>
  <c r="B2341" i="2"/>
  <c r="E2340" i="2"/>
  <c r="D2340" i="2"/>
  <c r="C2340" i="2"/>
  <c r="B2340" i="2"/>
  <c r="E2339" i="2"/>
  <c r="D2339" i="2"/>
  <c r="C2339" i="2"/>
  <c r="B2339" i="2"/>
  <c r="E2338" i="2"/>
  <c r="D2338" i="2"/>
  <c r="C2338" i="2"/>
  <c r="B2338" i="2"/>
  <c r="E2337" i="2"/>
  <c r="D2337" i="2"/>
  <c r="C2337" i="2"/>
  <c r="B2337" i="2"/>
  <c r="E2336" i="2"/>
  <c r="D2336" i="2"/>
  <c r="C2336" i="2"/>
  <c r="B2336" i="2"/>
  <c r="E2335" i="2"/>
  <c r="D2335" i="2"/>
  <c r="C2335" i="2"/>
  <c r="B2335" i="2"/>
  <c r="E2334" i="2"/>
  <c r="D2334" i="2"/>
  <c r="C2334" i="2"/>
  <c r="B2334" i="2"/>
  <c r="E2333" i="2"/>
  <c r="D2333" i="2"/>
  <c r="C2333" i="2"/>
  <c r="B2333" i="2"/>
  <c r="E2332" i="2"/>
  <c r="D2332" i="2"/>
  <c r="C2332" i="2"/>
  <c r="B2332" i="2"/>
  <c r="E2331" i="2"/>
  <c r="D2331" i="2"/>
  <c r="C2331" i="2"/>
  <c r="B2331" i="2"/>
  <c r="E2330" i="2"/>
  <c r="D2330" i="2"/>
  <c r="C2330" i="2"/>
  <c r="B2330" i="2"/>
  <c r="E2329" i="2"/>
  <c r="D2329" i="2"/>
  <c r="C2329" i="2"/>
  <c r="B2329" i="2"/>
  <c r="E2328" i="2"/>
  <c r="D2328" i="2"/>
  <c r="C2328" i="2"/>
  <c r="B2328" i="2"/>
  <c r="E2327" i="2"/>
  <c r="D2327" i="2"/>
  <c r="C2327" i="2"/>
  <c r="B2327" i="2"/>
  <c r="E2326" i="2"/>
  <c r="D2326" i="2"/>
  <c r="C2326" i="2"/>
  <c r="B2326" i="2"/>
  <c r="E2325" i="2"/>
  <c r="D2325" i="2"/>
  <c r="C2325" i="2"/>
  <c r="B2325" i="2"/>
  <c r="E2324" i="2"/>
  <c r="D2324" i="2"/>
  <c r="C2324" i="2"/>
  <c r="B2324" i="2"/>
  <c r="E2323" i="2"/>
  <c r="D2323" i="2"/>
  <c r="C2323" i="2"/>
  <c r="B2323" i="2"/>
  <c r="E2322" i="2"/>
  <c r="D2322" i="2"/>
  <c r="C2322" i="2"/>
  <c r="B2322" i="2"/>
  <c r="E2321" i="2"/>
  <c r="D2321" i="2"/>
  <c r="C2321" i="2"/>
  <c r="B2321" i="2"/>
  <c r="E2320" i="2"/>
  <c r="D2320" i="2"/>
  <c r="C2320" i="2"/>
  <c r="B2320" i="2"/>
  <c r="E2319" i="2"/>
  <c r="D2319" i="2"/>
  <c r="C2319" i="2"/>
  <c r="B2319" i="2"/>
  <c r="E2318" i="2"/>
  <c r="D2318" i="2"/>
  <c r="C2318" i="2"/>
  <c r="B2318" i="2"/>
  <c r="E2317" i="2"/>
  <c r="D2317" i="2"/>
  <c r="C2317" i="2"/>
  <c r="B2317" i="2"/>
  <c r="E2316" i="2"/>
  <c r="D2316" i="2"/>
  <c r="C2316" i="2"/>
  <c r="B2316" i="2"/>
  <c r="E2315" i="2"/>
  <c r="D2315" i="2"/>
  <c r="C2315" i="2"/>
  <c r="B2315" i="2"/>
  <c r="E2314" i="2"/>
  <c r="D2314" i="2"/>
  <c r="C2314" i="2"/>
  <c r="B2314" i="2"/>
  <c r="E2313" i="2"/>
  <c r="D2313" i="2"/>
  <c r="C2313" i="2"/>
  <c r="B2313" i="2"/>
  <c r="E2312" i="2"/>
  <c r="D2312" i="2"/>
  <c r="C2312" i="2"/>
  <c r="B2312" i="2"/>
  <c r="E2311" i="2"/>
  <c r="D2311" i="2"/>
  <c r="C2311" i="2"/>
  <c r="B2311" i="2"/>
  <c r="E2310" i="2"/>
  <c r="D2310" i="2"/>
  <c r="C2310" i="2"/>
  <c r="B2310" i="2"/>
  <c r="E2309" i="2"/>
  <c r="D2309" i="2"/>
  <c r="C2309" i="2"/>
  <c r="B2309" i="2"/>
  <c r="E2308" i="2"/>
  <c r="D2308" i="2"/>
  <c r="C2308" i="2"/>
  <c r="B2308" i="2"/>
  <c r="E2307" i="2"/>
  <c r="D2307" i="2"/>
  <c r="C2307" i="2"/>
  <c r="B2307" i="2"/>
  <c r="E2306" i="2"/>
  <c r="D2306" i="2"/>
  <c r="C2306" i="2"/>
  <c r="B2306" i="2"/>
  <c r="E2305" i="2"/>
  <c r="D2305" i="2"/>
  <c r="C2305" i="2"/>
  <c r="B2305" i="2"/>
  <c r="E2304" i="2"/>
  <c r="D2304" i="2"/>
  <c r="C2304" i="2"/>
  <c r="B2304" i="2"/>
  <c r="E2303" i="2"/>
  <c r="D2303" i="2"/>
  <c r="C2303" i="2"/>
  <c r="B2303" i="2"/>
  <c r="E2302" i="2"/>
  <c r="D2302" i="2"/>
  <c r="C2302" i="2"/>
  <c r="B2302" i="2"/>
  <c r="E2301" i="2"/>
  <c r="D2301" i="2"/>
  <c r="C2301" i="2"/>
  <c r="B2301" i="2"/>
  <c r="E2300" i="2"/>
  <c r="D2300" i="2"/>
  <c r="C2300" i="2"/>
  <c r="B2300" i="2"/>
  <c r="E2299" i="2"/>
  <c r="D2299" i="2"/>
  <c r="C2299" i="2"/>
  <c r="B2299" i="2"/>
  <c r="E2298" i="2"/>
  <c r="D2298" i="2"/>
  <c r="C2298" i="2"/>
  <c r="B2298" i="2"/>
  <c r="E2297" i="2"/>
  <c r="D2297" i="2"/>
  <c r="C2297" i="2"/>
  <c r="B2297" i="2"/>
  <c r="E2296" i="2"/>
  <c r="D2296" i="2"/>
  <c r="C2296" i="2"/>
  <c r="B2296" i="2"/>
  <c r="E2295" i="2"/>
  <c r="D2295" i="2"/>
  <c r="C2295" i="2"/>
  <c r="B2295" i="2"/>
  <c r="E2294" i="2"/>
  <c r="D2294" i="2"/>
  <c r="C2294" i="2"/>
  <c r="B2294" i="2"/>
  <c r="E2293" i="2"/>
  <c r="D2293" i="2"/>
  <c r="C2293" i="2"/>
  <c r="B2293" i="2"/>
  <c r="E2292" i="2"/>
  <c r="D2292" i="2"/>
  <c r="C2292" i="2"/>
  <c r="B2292" i="2"/>
  <c r="E2291" i="2"/>
  <c r="D2291" i="2"/>
  <c r="C2291" i="2"/>
  <c r="B2291" i="2"/>
  <c r="E2290" i="2"/>
  <c r="D2290" i="2"/>
  <c r="C2290" i="2"/>
  <c r="B2290" i="2"/>
  <c r="E2289" i="2"/>
  <c r="D2289" i="2"/>
  <c r="C2289" i="2"/>
  <c r="B2289" i="2"/>
  <c r="E2288" i="2"/>
  <c r="D2288" i="2"/>
  <c r="C2288" i="2"/>
  <c r="B2288" i="2"/>
  <c r="E2287" i="2"/>
  <c r="D2287" i="2"/>
  <c r="C2287" i="2"/>
  <c r="B2287" i="2"/>
  <c r="E2286" i="2"/>
  <c r="D2286" i="2"/>
  <c r="C2286" i="2"/>
  <c r="B2286" i="2"/>
  <c r="E2285" i="2"/>
  <c r="D2285" i="2"/>
  <c r="C2285" i="2"/>
  <c r="B2285" i="2"/>
  <c r="E2284" i="2"/>
  <c r="D2284" i="2"/>
  <c r="C2284" i="2"/>
  <c r="B2284" i="2"/>
  <c r="E2283" i="2"/>
  <c r="D2283" i="2"/>
  <c r="C2283" i="2"/>
  <c r="B2283" i="2"/>
  <c r="E2282" i="2"/>
  <c r="D2282" i="2"/>
  <c r="C2282" i="2"/>
  <c r="B2282" i="2"/>
  <c r="E2281" i="2"/>
  <c r="D2281" i="2"/>
  <c r="C2281" i="2"/>
  <c r="B2281" i="2"/>
  <c r="E2280" i="2"/>
  <c r="D2280" i="2"/>
  <c r="C2280" i="2"/>
  <c r="B2280" i="2"/>
  <c r="E2279" i="2"/>
  <c r="D2279" i="2"/>
  <c r="C2279" i="2"/>
  <c r="B2279" i="2"/>
  <c r="E2278" i="2"/>
  <c r="D2278" i="2"/>
  <c r="C2278" i="2"/>
  <c r="B2278" i="2"/>
  <c r="E2277" i="2"/>
  <c r="D2277" i="2"/>
  <c r="C2277" i="2"/>
  <c r="B2277" i="2"/>
  <c r="E2276" i="2"/>
  <c r="D2276" i="2"/>
  <c r="C2276" i="2"/>
  <c r="B2276" i="2"/>
  <c r="E2275" i="2"/>
  <c r="D2275" i="2"/>
  <c r="C2275" i="2"/>
  <c r="B2275" i="2"/>
  <c r="E2274" i="2"/>
  <c r="D2274" i="2"/>
  <c r="C2274" i="2"/>
  <c r="B2274" i="2"/>
  <c r="E2273" i="2"/>
  <c r="D2273" i="2"/>
  <c r="C2273" i="2"/>
  <c r="B2273" i="2"/>
  <c r="E2272" i="2"/>
  <c r="D2272" i="2"/>
  <c r="C2272" i="2"/>
  <c r="B2272" i="2"/>
  <c r="E2271" i="2"/>
  <c r="D2271" i="2"/>
  <c r="C2271" i="2"/>
  <c r="B2271" i="2"/>
  <c r="E2270" i="2"/>
  <c r="D2270" i="2"/>
  <c r="C2270" i="2"/>
  <c r="B2270" i="2"/>
  <c r="E2269" i="2"/>
  <c r="D2269" i="2"/>
  <c r="C2269" i="2"/>
  <c r="B2269" i="2"/>
  <c r="E2268" i="2"/>
  <c r="D2268" i="2"/>
  <c r="C2268" i="2"/>
  <c r="B2268" i="2"/>
  <c r="E2267" i="2"/>
  <c r="D2267" i="2"/>
  <c r="C2267" i="2"/>
  <c r="B2267" i="2"/>
  <c r="E2266" i="2"/>
  <c r="D2266" i="2"/>
  <c r="C2266" i="2"/>
  <c r="B2266" i="2"/>
  <c r="E2265" i="2"/>
  <c r="D2265" i="2"/>
  <c r="C2265" i="2"/>
  <c r="B2265" i="2"/>
  <c r="E2264" i="2"/>
  <c r="D2264" i="2"/>
  <c r="C2264" i="2"/>
  <c r="B2264" i="2"/>
  <c r="E2263" i="2"/>
  <c r="D2263" i="2"/>
  <c r="C2263" i="2"/>
  <c r="B2263" i="2"/>
  <c r="E2262" i="2"/>
  <c r="D2262" i="2"/>
  <c r="C2262" i="2"/>
  <c r="B2262" i="2"/>
  <c r="E2261" i="2"/>
  <c r="D2261" i="2"/>
  <c r="C2261" i="2"/>
  <c r="B2261" i="2"/>
  <c r="E2260" i="2"/>
  <c r="D2260" i="2"/>
  <c r="C2260" i="2"/>
  <c r="B2260" i="2"/>
  <c r="E2259" i="2"/>
  <c r="D2259" i="2"/>
  <c r="C2259" i="2"/>
  <c r="B2259" i="2"/>
  <c r="E2258" i="2"/>
  <c r="D2258" i="2"/>
  <c r="C2258" i="2"/>
  <c r="B2258" i="2"/>
  <c r="E2257" i="2"/>
  <c r="D2257" i="2"/>
  <c r="C2257" i="2"/>
  <c r="B2257" i="2"/>
  <c r="E2256" i="2"/>
  <c r="D2256" i="2"/>
  <c r="C2256" i="2"/>
  <c r="B2256" i="2"/>
  <c r="E2255" i="2"/>
  <c r="D2255" i="2"/>
  <c r="C2255" i="2"/>
  <c r="B2255" i="2"/>
  <c r="E2254" i="2"/>
  <c r="D2254" i="2"/>
  <c r="C2254" i="2"/>
  <c r="B2254" i="2"/>
  <c r="E2253" i="2"/>
  <c r="D2253" i="2"/>
  <c r="C2253" i="2"/>
  <c r="B2253" i="2"/>
  <c r="E2252" i="2"/>
  <c r="D2252" i="2"/>
  <c r="C2252" i="2"/>
  <c r="B2252" i="2"/>
  <c r="E2251" i="2"/>
  <c r="D2251" i="2"/>
  <c r="C2251" i="2"/>
  <c r="B2251" i="2"/>
  <c r="E2250" i="2"/>
  <c r="D2250" i="2"/>
  <c r="C2250" i="2"/>
  <c r="B2250" i="2"/>
  <c r="E2249" i="2"/>
  <c r="D2249" i="2"/>
  <c r="C2249" i="2"/>
  <c r="B2249" i="2"/>
  <c r="E2248" i="2"/>
  <c r="D2248" i="2"/>
  <c r="C2248" i="2"/>
  <c r="B2248" i="2"/>
  <c r="E2247" i="2"/>
  <c r="D2247" i="2"/>
  <c r="C2247" i="2"/>
  <c r="B2247" i="2"/>
  <c r="E2246" i="2"/>
  <c r="D2246" i="2"/>
  <c r="C2246" i="2"/>
  <c r="B2246" i="2"/>
  <c r="E2245" i="2"/>
  <c r="D2245" i="2"/>
  <c r="C2245" i="2"/>
  <c r="B2245" i="2"/>
  <c r="E2244" i="2"/>
  <c r="D2244" i="2"/>
  <c r="C2244" i="2"/>
  <c r="B2244" i="2"/>
  <c r="E2243" i="2"/>
  <c r="D2243" i="2"/>
  <c r="C2243" i="2"/>
  <c r="B2243" i="2"/>
  <c r="E2242" i="2"/>
  <c r="D2242" i="2"/>
  <c r="C2242" i="2"/>
  <c r="B2242" i="2"/>
  <c r="E2241" i="2"/>
  <c r="D2241" i="2"/>
  <c r="C2241" i="2"/>
  <c r="B2241" i="2"/>
  <c r="E2240" i="2"/>
  <c r="D2240" i="2"/>
  <c r="C2240" i="2"/>
  <c r="B2240" i="2"/>
  <c r="E2239" i="2"/>
  <c r="D2239" i="2"/>
  <c r="C2239" i="2"/>
  <c r="B2239" i="2"/>
  <c r="E2238" i="2"/>
  <c r="D2238" i="2"/>
  <c r="C2238" i="2"/>
  <c r="B2238" i="2"/>
  <c r="E2237" i="2"/>
  <c r="D2237" i="2"/>
  <c r="C2237" i="2"/>
  <c r="B2237" i="2"/>
  <c r="E2236" i="2"/>
  <c r="D2236" i="2"/>
  <c r="C2236" i="2"/>
  <c r="B2236" i="2"/>
  <c r="E2235" i="2"/>
  <c r="D2235" i="2"/>
  <c r="C2235" i="2"/>
  <c r="B2235" i="2"/>
  <c r="E2234" i="2"/>
  <c r="D2234" i="2"/>
  <c r="C2234" i="2"/>
  <c r="B2234" i="2"/>
  <c r="E2233" i="2"/>
  <c r="D2233" i="2"/>
  <c r="C2233" i="2"/>
  <c r="B2233" i="2"/>
  <c r="E2232" i="2"/>
  <c r="D2232" i="2"/>
  <c r="C2232" i="2"/>
  <c r="B2232" i="2"/>
  <c r="E2231" i="2"/>
  <c r="D2231" i="2"/>
  <c r="C2231" i="2"/>
  <c r="B2231" i="2"/>
  <c r="E2230" i="2"/>
  <c r="D2230" i="2"/>
  <c r="C2230" i="2"/>
  <c r="B2230" i="2"/>
  <c r="E2229" i="2"/>
  <c r="D2229" i="2"/>
  <c r="C2229" i="2"/>
  <c r="B2229" i="2"/>
  <c r="E2228" i="2"/>
  <c r="D2228" i="2"/>
  <c r="C2228" i="2"/>
  <c r="B2228" i="2"/>
  <c r="E2227" i="2"/>
  <c r="D2227" i="2"/>
  <c r="C2227" i="2"/>
  <c r="B2227" i="2"/>
  <c r="E2226" i="2"/>
  <c r="D2226" i="2"/>
  <c r="C2226" i="2"/>
  <c r="B2226" i="2"/>
  <c r="E2225" i="2"/>
  <c r="D2225" i="2"/>
  <c r="C2225" i="2"/>
  <c r="B2225" i="2"/>
  <c r="E2224" i="2"/>
  <c r="D2224" i="2"/>
  <c r="C2224" i="2"/>
  <c r="B2224" i="2"/>
  <c r="E2223" i="2"/>
  <c r="D2223" i="2"/>
  <c r="C2223" i="2"/>
  <c r="B2223" i="2"/>
  <c r="E2222" i="2"/>
  <c r="D2222" i="2"/>
  <c r="C2222" i="2"/>
  <c r="B2222" i="2"/>
  <c r="E2221" i="2"/>
  <c r="D2221" i="2"/>
  <c r="C2221" i="2"/>
  <c r="B2221" i="2"/>
  <c r="E2220" i="2"/>
  <c r="D2220" i="2"/>
  <c r="C2220" i="2"/>
  <c r="B2220" i="2"/>
  <c r="E2219" i="2"/>
  <c r="D2219" i="2"/>
  <c r="C2219" i="2"/>
  <c r="B2219" i="2"/>
  <c r="E2218" i="2"/>
  <c r="D2218" i="2"/>
  <c r="C2218" i="2"/>
  <c r="B2218" i="2"/>
  <c r="E2217" i="2"/>
  <c r="D2217" i="2"/>
  <c r="C2217" i="2"/>
  <c r="B2217" i="2"/>
  <c r="E2216" i="2"/>
  <c r="D2216" i="2"/>
  <c r="C2216" i="2"/>
  <c r="B2216" i="2"/>
  <c r="E2215" i="2"/>
  <c r="D2215" i="2"/>
  <c r="C2215" i="2"/>
  <c r="B2215" i="2"/>
  <c r="E2214" i="2"/>
  <c r="D2214" i="2"/>
  <c r="C2214" i="2"/>
  <c r="B2214" i="2"/>
  <c r="E2213" i="2"/>
  <c r="D2213" i="2"/>
  <c r="C2213" i="2"/>
  <c r="B2213" i="2"/>
  <c r="E2212" i="2"/>
  <c r="D2212" i="2"/>
  <c r="C2212" i="2"/>
  <c r="B2212" i="2"/>
  <c r="E2211" i="2"/>
  <c r="D2211" i="2"/>
  <c r="C2211" i="2"/>
  <c r="B2211" i="2"/>
  <c r="E2210" i="2"/>
  <c r="D2210" i="2"/>
  <c r="C2210" i="2"/>
  <c r="B2210" i="2"/>
  <c r="E2209" i="2"/>
  <c r="D2209" i="2"/>
  <c r="C2209" i="2"/>
  <c r="B2209" i="2"/>
  <c r="E2208" i="2"/>
  <c r="D2208" i="2"/>
  <c r="C2208" i="2"/>
  <c r="B2208" i="2"/>
  <c r="E2207" i="2"/>
  <c r="D2207" i="2"/>
  <c r="C2207" i="2"/>
  <c r="B2207" i="2"/>
  <c r="E2206" i="2"/>
  <c r="D2206" i="2"/>
  <c r="C2206" i="2"/>
  <c r="B2206" i="2"/>
  <c r="E2205" i="2"/>
  <c r="D2205" i="2"/>
  <c r="C2205" i="2"/>
  <c r="B2205" i="2"/>
  <c r="E2204" i="2"/>
  <c r="D2204" i="2"/>
  <c r="C2204" i="2"/>
  <c r="B2204" i="2"/>
  <c r="E2203" i="2"/>
  <c r="D2203" i="2"/>
  <c r="C2203" i="2"/>
  <c r="B2203" i="2"/>
  <c r="E2202" i="2"/>
  <c r="D2202" i="2"/>
  <c r="C2202" i="2"/>
  <c r="B2202" i="2"/>
  <c r="E2201" i="2"/>
  <c r="D2201" i="2"/>
  <c r="C2201" i="2"/>
  <c r="B2201" i="2"/>
  <c r="E2200" i="2"/>
  <c r="D2200" i="2"/>
  <c r="C2200" i="2"/>
  <c r="B2200" i="2"/>
  <c r="E2199" i="2"/>
  <c r="D2199" i="2"/>
  <c r="C2199" i="2"/>
  <c r="B2199" i="2"/>
  <c r="E2198" i="2"/>
  <c r="D2198" i="2"/>
  <c r="C2198" i="2"/>
  <c r="B2198" i="2"/>
  <c r="E2197" i="2"/>
  <c r="D2197" i="2"/>
  <c r="C2197" i="2"/>
  <c r="B2197" i="2"/>
  <c r="E2196" i="2"/>
  <c r="D2196" i="2"/>
  <c r="C2196" i="2"/>
  <c r="B2196" i="2"/>
  <c r="E2195" i="2"/>
  <c r="D2195" i="2"/>
  <c r="C2195" i="2"/>
  <c r="B2195" i="2"/>
  <c r="E2194" i="2"/>
  <c r="D2194" i="2"/>
  <c r="C2194" i="2"/>
  <c r="B2194" i="2"/>
  <c r="E2193" i="2"/>
  <c r="D2193" i="2"/>
  <c r="C2193" i="2"/>
  <c r="B2193" i="2"/>
  <c r="E2192" i="2"/>
  <c r="D2192" i="2"/>
  <c r="C2192" i="2"/>
  <c r="B2192" i="2"/>
  <c r="E2191" i="2"/>
  <c r="D2191" i="2"/>
  <c r="C2191" i="2"/>
  <c r="B2191" i="2"/>
  <c r="E2190" i="2"/>
  <c r="D2190" i="2"/>
  <c r="C2190" i="2"/>
  <c r="B2190" i="2"/>
  <c r="E2189" i="2"/>
  <c r="D2189" i="2"/>
  <c r="C2189" i="2"/>
  <c r="B2189" i="2"/>
  <c r="E2188" i="2"/>
  <c r="D2188" i="2"/>
  <c r="C2188" i="2"/>
  <c r="B2188" i="2"/>
  <c r="E2187" i="2"/>
  <c r="D2187" i="2"/>
  <c r="C2187" i="2"/>
  <c r="B2187" i="2"/>
  <c r="E2186" i="2"/>
  <c r="D2186" i="2"/>
  <c r="C2186" i="2"/>
  <c r="B2186" i="2"/>
  <c r="E2185" i="2"/>
  <c r="D2185" i="2"/>
  <c r="C2185" i="2"/>
  <c r="B2185" i="2"/>
  <c r="E2184" i="2"/>
  <c r="D2184" i="2"/>
  <c r="C2184" i="2"/>
  <c r="B2184" i="2"/>
  <c r="E2183" i="2"/>
  <c r="D2183" i="2"/>
  <c r="C2183" i="2"/>
  <c r="B2183" i="2"/>
  <c r="E2182" i="2"/>
  <c r="D2182" i="2"/>
  <c r="C2182" i="2"/>
  <c r="B2182" i="2"/>
  <c r="E2181" i="2"/>
  <c r="D2181" i="2"/>
  <c r="C2181" i="2"/>
  <c r="B2181" i="2"/>
  <c r="E2180" i="2"/>
  <c r="D2180" i="2"/>
  <c r="C2180" i="2"/>
  <c r="B2180" i="2"/>
  <c r="E2179" i="2"/>
  <c r="D2179" i="2"/>
  <c r="C2179" i="2"/>
  <c r="B2179" i="2"/>
  <c r="E2178" i="2"/>
  <c r="D2178" i="2"/>
  <c r="C2178" i="2"/>
  <c r="B2178" i="2"/>
  <c r="E2177" i="2"/>
  <c r="D2177" i="2"/>
  <c r="C2177" i="2"/>
  <c r="B2177" i="2"/>
  <c r="E2176" i="2"/>
  <c r="D2176" i="2"/>
  <c r="C2176" i="2"/>
  <c r="B2176" i="2"/>
  <c r="E2175" i="2"/>
  <c r="D2175" i="2"/>
  <c r="C2175" i="2"/>
  <c r="B2175" i="2"/>
  <c r="E2174" i="2"/>
  <c r="D2174" i="2"/>
  <c r="C2174" i="2"/>
  <c r="B2174" i="2"/>
  <c r="E2173" i="2"/>
  <c r="D2173" i="2"/>
  <c r="C2173" i="2"/>
  <c r="B2173" i="2"/>
  <c r="E2172" i="2"/>
  <c r="D2172" i="2"/>
  <c r="C2172" i="2"/>
  <c r="B2172" i="2"/>
  <c r="E2171" i="2"/>
  <c r="D2171" i="2"/>
  <c r="C2171" i="2"/>
  <c r="B2171" i="2"/>
  <c r="E2170" i="2"/>
  <c r="D2170" i="2"/>
  <c r="C2170" i="2"/>
  <c r="B2170" i="2"/>
  <c r="E2169" i="2"/>
  <c r="D2169" i="2"/>
  <c r="C2169" i="2"/>
  <c r="B2169" i="2"/>
  <c r="E2168" i="2"/>
  <c r="D2168" i="2"/>
  <c r="C2168" i="2"/>
  <c r="B2168" i="2"/>
  <c r="E2167" i="2"/>
  <c r="D2167" i="2"/>
  <c r="C2167" i="2"/>
  <c r="B2167" i="2"/>
  <c r="E2166" i="2"/>
  <c r="D2166" i="2"/>
  <c r="C2166" i="2"/>
  <c r="B2166" i="2"/>
  <c r="E2165" i="2"/>
  <c r="D2165" i="2"/>
  <c r="C2165" i="2"/>
  <c r="B2165" i="2"/>
  <c r="E2164" i="2"/>
  <c r="D2164" i="2"/>
  <c r="C2164" i="2"/>
  <c r="B2164" i="2"/>
  <c r="E2163" i="2"/>
  <c r="D2163" i="2"/>
  <c r="C2163" i="2"/>
  <c r="B2163" i="2"/>
  <c r="E2162" i="2"/>
  <c r="D2162" i="2"/>
  <c r="C2162" i="2"/>
  <c r="B2162" i="2"/>
  <c r="E2161" i="2"/>
  <c r="D2161" i="2"/>
  <c r="C2161" i="2"/>
  <c r="B2161" i="2"/>
  <c r="E2160" i="2"/>
  <c r="D2160" i="2"/>
  <c r="C2160" i="2"/>
  <c r="B2160" i="2"/>
  <c r="E2159" i="2"/>
  <c r="D2159" i="2"/>
  <c r="C2159" i="2"/>
  <c r="B2159" i="2"/>
  <c r="E2158" i="2"/>
  <c r="D2158" i="2"/>
  <c r="C2158" i="2"/>
  <c r="B2158" i="2"/>
  <c r="E2157" i="2"/>
  <c r="D2157" i="2"/>
  <c r="C2157" i="2"/>
  <c r="B2157" i="2"/>
  <c r="E2156" i="2"/>
  <c r="D2156" i="2"/>
  <c r="C2156" i="2"/>
  <c r="B2156" i="2"/>
  <c r="E2155" i="2"/>
  <c r="D2155" i="2"/>
  <c r="C2155" i="2"/>
  <c r="B2155" i="2"/>
  <c r="E2154" i="2"/>
  <c r="D2154" i="2"/>
  <c r="C2154" i="2"/>
  <c r="B2154" i="2"/>
  <c r="E2153" i="2"/>
  <c r="D2153" i="2"/>
  <c r="C2153" i="2"/>
  <c r="B2153" i="2"/>
  <c r="E2152" i="2"/>
  <c r="D2152" i="2"/>
  <c r="C2152" i="2"/>
  <c r="B2152" i="2"/>
  <c r="E2151" i="2"/>
  <c r="D2151" i="2"/>
  <c r="C2151" i="2"/>
  <c r="B2151" i="2"/>
  <c r="E2150" i="2"/>
  <c r="D2150" i="2"/>
  <c r="C2150" i="2"/>
  <c r="B2150" i="2"/>
  <c r="E2149" i="2"/>
  <c r="D2149" i="2"/>
  <c r="C2149" i="2"/>
  <c r="B2149" i="2"/>
  <c r="E2148" i="2"/>
  <c r="D2148" i="2"/>
  <c r="C2148" i="2"/>
  <c r="B2148" i="2"/>
  <c r="E2147" i="2"/>
  <c r="D2147" i="2"/>
  <c r="C2147" i="2"/>
  <c r="B2147" i="2"/>
  <c r="E2146" i="2"/>
  <c r="D2146" i="2"/>
  <c r="C2146" i="2"/>
  <c r="B2146" i="2"/>
  <c r="E2145" i="2"/>
  <c r="D2145" i="2"/>
  <c r="C2145" i="2"/>
  <c r="B2145" i="2"/>
  <c r="E2144" i="2"/>
  <c r="D2144" i="2"/>
  <c r="C2144" i="2"/>
  <c r="B2144" i="2"/>
  <c r="E2143" i="2"/>
  <c r="D2143" i="2"/>
  <c r="C2143" i="2"/>
  <c r="B2143" i="2"/>
  <c r="E2142" i="2"/>
  <c r="D2142" i="2"/>
  <c r="C2142" i="2"/>
  <c r="B2142" i="2"/>
  <c r="E2141" i="2"/>
  <c r="D2141" i="2"/>
  <c r="C2141" i="2"/>
  <c r="B2141" i="2"/>
  <c r="E2140" i="2"/>
  <c r="D2140" i="2"/>
  <c r="C2140" i="2"/>
  <c r="B2140" i="2"/>
  <c r="E2139" i="2"/>
  <c r="D2139" i="2"/>
  <c r="C2139" i="2"/>
  <c r="B2139" i="2"/>
  <c r="E2138" i="2"/>
  <c r="D2138" i="2"/>
  <c r="C2138" i="2"/>
  <c r="B2138" i="2"/>
  <c r="E2137" i="2"/>
  <c r="D2137" i="2"/>
  <c r="C2137" i="2"/>
  <c r="B2137" i="2"/>
  <c r="E2136" i="2"/>
  <c r="D2136" i="2"/>
  <c r="C2136" i="2"/>
  <c r="B2136" i="2"/>
  <c r="E2135" i="2"/>
  <c r="D2135" i="2"/>
  <c r="C2135" i="2"/>
  <c r="B2135" i="2"/>
  <c r="E2134" i="2"/>
  <c r="D2134" i="2"/>
  <c r="C2134" i="2"/>
  <c r="B2134" i="2"/>
  <c r="E2133" i="2"/>
  <c r="D2133" i="2"/>
  <c r="C2133" i="2"/>
  <c r="B2133" i="2"/>
  <c r="E2132" i="2"/>
  <c r="D2132" i="2"/>
  <c r="C2132" i="2"/>
  <c r="B2132" i="2"/>
  <c r="E2131" i="2"/>
  <c r="D2131" i="2"/>
  <c r="C2131" i="2"/>
  <c r="B2131" i="2"/>
  <c r="E2130" i="2"/>
  <c r="D2130" i="2"/>
  <c r="C2130" i="2"/>
  <c r="B2130" i="2"/>
  <c r="E2129" i="2"/>
  <c r="D2129" i="2"/>
  <c r="C2129" i="2"/>
  <c r="B2129" i="2"/>
  <c r="E2128" i="2"/>
  <c r="D2128" i="2"/>
  <c r="C2128" i="2"/>
  <c r="B2128" i="2"/>
  <c r="E2127" i="2"/>
  <c r="D2127" i="2"/>
  <c r="C2127" i="2"/>
  <c r="B2127" i="2"/>
  <c r="E2126" i="2"/>
  <c r="D2126" i="2"/>
  <c r="C2126" i="2"/>
  <c r="B2126" i="2"/>
  <c r="E2125" i="2"/>
  <c r="D2125" i="2"/>
  <c r="C2125" i="2"/>
  <c r="B2125" i="2"/>
  <c r="E2124" i="2"/>
  <c r="D2124" i="2"/>
  <c r="C2124" i="2"/>
  <c r="B2124" i="2"/>
  <c r="E2123" i="2"/>
  <c r="D2123" i="2"/>
  <c r="C2123" i="2"/>
  <c r="B2123" i="2"/>
  <c r="E2122" i="2"/>
  <c r="D2122" i="2"/>
  <c r="C2122" i="2"/>
  <c r="B2122" i="2"/>
  <c r="E2121" i="2"/>
  <c r="D2121" i="2"/>
  <c r="C2121" i="2"/>
  <c r="B2121" i="2"/>
  <c r="E2120" i="2"/>
  <c r="D2120" i="2"/>
  <c r="C2120" i="2"/>
  <c r="B2120" i="2"/>
  <c r="E2119" i="2"/>
  <c r="D2119" i="2"/>
  <c r="C2119" i="2"/>
  <c r="B2119" i="2"/>
  <c r="E2118" i="2"/>
  <c r="D2118" i="2"/>
  <c r="C2118" i="2"/>
  <c r="B2118" i="2"/>
  <c r="E2117" i="2"/>
  <c r="D2117" i="2"/>
  <c r="C2117" i="2"/>
  <c r="B2117" i="2"/>
  <c r="E2116" i="2"/>
  <c r="D2116" i="2"/>
  <c r="C2116" i="2"/>
  <c r="B2116" i="2"/>
  <c r="E2115" i="2"/>
  <c r="D2115" i="2"/>
  <c r="C2115" i="2"/>
  <c r="B2115" i="2"/>
  <c r="E2114" i="2"/>
  <c r="D2114" i="2"/>
  <c r="C2114" i="2"/>
  <c r="B2114" i="2"/>
  <c r="E2113" i="2"/>
  <c r="D2113" i="2"/>
  <c r="C2113" i="2"/>
  <c r="B2113" i="2"/>
  <c r="E2112" i="2"/>
  <c r="D2112" i="2"/>
  <c r="C2112" i="2"/>
  <c r="B2112" i="2"/>
  <c r="E2111" i="2"/>
  <c r="D2111" i="2"/>
  <c r="C2111" i="2"/>
  <c r="B2111" i="2"/>
  <c r="E2110" i="2"/>
  <c r="D2110" i="2"/>
  <c r="C2110" i="2"/>
  <c r="B2110" i="2"/>
  <c r="E2109" i="2"/>
  <c r="D2109" i="2"/>
  <c r="C2109" i="2"/>
  <c r="B2109" i="2"/>
  <c r="E2108" i="2"/>
  <c r="D2108" i="2"/>
  <c r="C2108" i="2"/>
  <c r="B2108" i="2"/>
  <c r="E2107" i="2"/>
  <c r="D2107" i="2"/>
  <c r="C2107" i="2"/>
  <c r="B2107" i="2"/>
  <c r="E2106" i="2"/>
  <c r="D2106" i="2"/>
  <c r="C2106" i="2"/>
  <c r="B2106" i="2"/>
  <c r="E2105" i="2"/>
  <c r="D2105" i="2"/>
  <c r="C2105" i="2"/>
  <c r="B2105" i="2"/>
  <c r="E2104" i="2"/>
  <c r="D2104" i="2"/>
  <c r="C2104" i="2"/>
  <c r="B2104" i="2"/>
  <c r="E2103" i="2"/>
  <c r="D2103" i="2"/>
  <c r="C2103" i="2"/>
  <c r="B2103" i="2"/>
  <c r="E2102" i="2"/>
  <c r="D2102" i="2"/>
  <c r="C2102" i="2"/>
  <c r="B2102" i="2"/>
  <c r="E2101" i="2"/>
  <c r="D2101" i="2"/>
  <c r="C2101" i="2"/>
  <c r="B2101" i="2"/>
  <c r="E2100" i="2"/>
  <c r="D2100" i="2"/>
  <c r="C2100" i="2"/>
  <c r="B2100" i="2"/>
  <c r="E2099" i="2"/>
  <c r="D2099" i="2"/>
  <c r="C2099" i="2"/>
  <c r="B2099" i="2"/>
  <c r="E2098" i="2"/>
  <c r="D2098" i="2"/>
  <c r="C2098" i="2"/>
  <c r="B2098" i="2"/>
  <c r="E2097" i="2"/>
  <c r="D2097" i="2"/>
  <c r="C2097" i="2"/>
  <c r="B2097" i="2"/>
  <c r="E2096" i="2"/>
  <c r="D2096" i="2"/>
  <c r="C2096" i="2"/>
  <c r="B2096" i="2"/>
  <c r="E2095" i="2"/>
  <c r="D2095" i="2"/>
  <c r="C2095" i="2"/>
  <c r="B2095" i="2"/>
  <c r="E2094" i="2"/>
  <c r="D2094" i="2"/>
  <c r="C2094" i="2"/>
  <c r="B2094" i="2"/>
  <c r="E2093" i="2"/>
  <c r="D2093" i="2"/>
  <c r="C2093" i="2"/>
  <c r="B2093" i="2"/>
  <c r="E2092" i="2"/>
  <c r="D2092" i="2"/>
  <c r="C2092" i="2"/>
  <c r="B2092" i="2"/>
  <c r="E2091" i="2"/>
  <c r="D2091" i="2"/>
  <c r="C2091" i="2"/>
  <c r="B2091" i="2"/>
  <c r="E2090" i="2"/>
  <c r="D2090" i="2"/>
  <c r="C2090" i="2"/>
  <c r="B2090" i="2"/>
  <c r="E2089" i="2"/>
  <c r="D2089" i="2"/>
  <c r="C2089" i="2"/>
  <c r="B2089" i="2"/>
  <c r="E2088" i="2"/>
  <c r="D2088" i="2"/>
  <c r="C2088" i="2"/>
  <c r="B2088" i="2"/>
  <c r="E2087" i="2"/>
  <c r="D2087" i="2"/>
  <c r="C2087" i="2"/>
  <c r="B2087" i="2"/>
  <c r="E2086" i="2"/>
  <c r="D2086" i="2"/>
  <c r="C2086" i="2"/>
  <c r="B2086" i="2"/>
  <c r="E2085" i="2"/>
  <c r="D2085" i="2"/>
  <c r="C2085" i="2"/>
  <c r="B2085" i="2"/>
  <c r="E2084" i="2"/>
  <c r="D2084" i="2"/>
  <c r="C2084" i="2"/>
  <c r="B2084" i="2"/>
  <c r="E2083" i="2"/>
  <c r="D2083" i="2"/>
  <c r="C2083" i="2"/>
  <c r="B2083" i="2"/>
  <c r="E2082" i="2"/>
  <c r="D2082" i="2"/>
  <c r="C2082" i="2"/>
  <c r="B2082" i="2"/>
  <c r="E2081" i="2"/>
  <c r="D2081" i="2"/>
  <c r="C2081" i="2"/>
  <c r="B2081" i="2"/>
  <c r="E2080" i="2"/>
  <c r="D2080" i="2"/>
  <c r="C2080" i="2"/>
  <c r="B2080" i="2"/>
  <c r="E2079" i="2"/>
  <c r="D2079" i="2"/>
  <c r="C2079" i="2"/>
  <c r="B2079" i="2"/>
  <c r="E2078" i="2"/>
  <c r="D2078" i="2"/>
  <c r="C2078" i="2"/>
  <c r="B2078" i="2"/>
  <c r="E2077" i="2"/>
  <c r="D2077" i="2"/>
  <c r="C2077" i="2"/>
  <c r="B2077" i="2"/>
  <c r="E2076" i="2"/>
  <c r="D2076" i="2"/>
  <c r="C2076" i="2"/>
  <c r="B2076" i="2"/>
  <c r="E2075" i="2"/>
  <c r="D2075" i="2"/>
  <c r="C2075" i="2"/>
  <c r="B2075" i="2"/>
  <c r="E2074" i="2"/>
  <c r="D2074" i="2"/>
  <c r="C2074" i="2"/>
  <c r="B2074" i="2"/>
  <c r="E2073" i="2"/>
  <c r="D2073" i="2"/>
  <c r="C2073" i="2"/>
  <c r="B2073" i="2"/>
  <c r="E2072" i="2"/>
  <c r="D2072" i="2"/>
  <c r="C2072" i="2"/>
  <c r="B2072" i="2"/>
  <c r="E2071" i="2"/>
  <c r="D2071" i="2"/>
  <c r="C2071" i="2"/>
  <c r="B2071" i="2"/>
  <c r="E2070" i="2"/>
  <c r="D2070" i="2"/>
  <c r="C2070" i="2"/>
  <c r="B2070" i="2"/>
  <c r="E2069" i="2"/>
  <c r="D2069" i="2"/>
  <c r="C2069" i="2"/>
  <c r="B2069" i="2"/>
  <c r="E2068" i="2"/>
  <c r="D2068" i="2"/>
  <c r="C2068" i="2"/>
  <c r="B2068" i="2"/>
  <c r="E2067" i="2"/>
  <c r="D2067" i="2"/>
  <c r="C2067" i="2"/>
  <c r="B2067" i="2"/>
  <c r="E2066" i="2"/>
  <c r="D2066" i="2"/>
  <c r="C2066" i="2"/>
  <c r="B2066" i="2"/>
  <c r="E2065" i="2"/>
  <c r="D2065" i="2"/>
  <c r="C2065" i="2"/>
  <c r="B2065" i="2"/>
  <c r="E2064" i="2"/>
  <c r="D2064" i="2"/>
  <c r="C2064" i="2"/>
  <c r="B2064" i="2"/>
  <c r="E2063" i="2"/>
  <c r="D2063" i="2"/>
  <c r="C2063" i="2"/>
  <c r="B2063" i="2"/>
  <c r="E2062" i="2"/>
  <c r="D2062" i="2"/>
  <c r="C2062" i="2"/>
  <c r="B2062" i="2"/>
  <c r="E2061" i="2"/>
  <c r="D2061" i="2"/>
  <c r="C2061" i="2"/>
  <c r="B2061" i="2"/>
  <c r="E2060" i="2"/>
  <c r="D2060" i="2"/>
  <c r="C2060" i="2"/>
  <c r="B2060" i="2"/>
  <c r="E2059" i="2"/>
  <c r="D2059" i="2"/>
  <c r="C2059" i="2"/>
  <c r="B2059" i="2"/>
  <c r="E2058" i="2"/>
  <c r="D2058" i="2"/>
  <c r="C2058" i="2"/>
  <c r="B2058" i="2"/>
  <c r="E2057" i="2"/>
  <c r="D2057" i="2"/>
  <c r="C2057" i="2"/>
  <c r="B2057" i="2"/>
  <c r="E2056" i="2"/>
  <c r="D2056" i="2"/>
  <c r="C2056" i="2"/>
  <c r="B2056" i="2"/>
  <c r="E2055" i="2"/>
  <c r="D2055" i="2"/>
  <c r="C2055" i="2"/>
  <c r="B2055" i="2"/>
  <c r="E2054" i="2"/>
  <c r="D2054" i="2"/>
  <c r="C2054" i="2"/>
  <c r="B2054" i="2"/>
  <c r="E2053" i="2"/>
  <c r="D2053" i="2"/>
  <c r="C2053" i="2"/>
  <c r="B2053" i="2"/>
  <c r="E2052" i="2"/>
  <c r="D2052" i="2"/>
  <c r="C2052" i="2"/>
  <c r="B2052" i="2"/>
  <c r="E2051" i="2"/>
  <c r="D2051" i="2"/>
  <c r="C2051" i="2"/>
  <c r="B2051" i="2"/>
  <c r="E2050" i="2"/>
  <c r="D2050" i="2"/>
  <c r="C2050" i="2"/>
  <c r="B2050" i="2"/>
  <c r="E2049" i="2"/>
  <c r="D2049" i="2"/>
  <c r="C2049" i="2"/>
  <c r="B2049" i="2"/>
  <c r="E2048" i="2"/>
  <c r="D2048" i="2"/>
  <c r="C2048" i="2"/>
  <c r="B2048" i="2"/>
  <c r="E2047" i="2"/>
  <c r="D2047" i="2"/>
  <c r="C2047" i="2"/>
  <c r="B2047" i="2"/>
  <c r="E2046" i="2"/>
  <c r="D2046" i="2"/>
  <c r="C2046" i="2"/>
  <c r="B2046" i="2"/>
  <c r="E2045" i="2"/>
  <c r="D2045" i="2"/>
  <c r="C2045" i="2"/>
  <c r="B2045" i="2"/>
  <c r="E2044" i="2"/>
  <c r="D2044" i="2"/>
  <c r="C2044" i="2"/>
  <c r="B2044" i="2"/>
  <c r="E2043" i="2"/>
  <c r="D2043" i="2"/>
  <c r="C2043" i="2"/>
  <c r="B2043" i="2"/>
  <c r="E2042" i="2"/>
  <c r="D2042" i="2"/>
  <c r="C2042" i="2"/>
  <c r="B2042" i="2"/>
  <c r="E2041" i="2"/>
  <c r="D2041" i="2"/>
  <c r="C2041" i="2"/>
  <c r="B2041" i="2"/>
  <c r="E2040" i="2"/>
  <c r="D2040" i="2"/>
  <c r="C2040" i="2"/>
  <c r="B2040" i="2"/>
  <c r="E2039" i="2"/>
  <c r="D2039" i="2"/>
  <c r="C2039" i="2"/>
  <c r="B2039" i="2"/>
  <c r="E2038" i="2"/>
  <c r="D2038" i="2"/>
  <c r="C2038" i="2"/>
  <c r="B2038" i="2"/>
  <c r="E2037" i="2"/>
  <c r="D2037" i="2"/>
  <c r="C2037" i="2"/>
  <c r="B2037" i="2"/>
  <c r="E2036" i="2"/>
  <c r="D2036" i="2"/>
  <c r="C2036" i="2"/>
  <c r="B2036" i="2"/>
  <c r="E2035" i="2"/>
  <c r="D2035" i="2"/>
  <c r="C2035" i="2"/>
  <c r="B2035" i="2"/>
  <c r="E2034" i="2"/>
  <c r="D2034" i="2"/>
  <c r="C2034" i="2"/>
  <c r="B2034" i="2"/>
  <c r="E2033" i="2"/>
  <c r="D2033" i="2"/>
  <c r="C2033" i="2"/>
  <c r="B2033" i="2"/>
  <c r="E2032" i="2"/>
  <c r="D2032" i="2"/>
  <c r="C2032" i="2"/>
  <c r="B2032" i="2"/>
  <c r="E2031" i="2"/>
  <c r="D2031" i="2"/>
  <c r="C2031" i="2"/>
  <c r="B2031" i="2"/>
  <c r="E2030" i="2"/>
  <c r="D2030" i="2"/>
  <c r="C2030" i="2"/>
  <c r="B2030" i="2"/>
  <c r="E2029" i="2"/>
  <c r="D2029" i="2"/>
  <c r="C2029" i="2"/>
  <c r="B2029" i="2"/>
  <c r="E2028" i="2"/>
  <c r="D2028" i="2"/>
  <c r="C2028" i="2"/>
  <c r="B2028" i="2"/>
  <c r="E2027" i="2"/>
  <c r="D2027" i="2"/>
  <c r="C2027" i="2"/>
  <c r="B2027" i="2"/>
  <c r="E2026" i="2"/>
  <c r="D2026" i="2"/>
  <c r="C2026" i="2"/>
  <c r="B2026" i="2"/>
  <c r="E2025" i="2"/>
  <c r="D2025" i="2"/>
  <c r="C2025" i="2"/>
  <c r="B2025" i="2"/>
  <c r="E2024" i="2"/>
  <c r="D2024" i="2"/>
  <c r="C2024" i="2"/>
  <c r="B2024" i="2"/>
  <c r="E2023" i="2"/>
  <c r="D2023" i="2"/>
  <c r="C2023" i="2"/>
  <c r="B2023" i="2"/>
  <c r="E2022" i="2"/>
  <c r="D2022" i="2"/>
  <c r="C2022" i="2"/>
  <c r="B2022" i="2"/>
  <c r="E2021" i="2"/>
  <c r="D2021" i="2"/>
  <c r="C2021" i="2"/>
  <c r="B2021" i="2"/>
  <c r="E2020" i="2"/>
  <c r="D2020" i="2"/>
  <c r="C2020" i="2"/>
  <c r="B2020" i="2"/>
  <c r="E2019" i="2"/>
  <c r="D2019" i="2"/>
  <c r="C2019" i="2"/>
  <c r="B2019" i="2"/>
  <c r="E2018" i="2"/>
  <c r="D2018" i="2"/>
  <c r="C2018" i="2"/>
  <c r="B2018" i="2"/>
  <c r="E2017" i="2"/>
  <c r="D2017" i="2"/>
  <c r="C2017" i="2"/>
  <c r="B2017" i="2"/>
  <c r="E2016" i="2"/>
  <c r="D2016" i="2"/>
  <c r="C2016" i="2"/>
  <c r="B2016" i="2"/>
  <c r="E2015" i="2"/>
  <c r="D2015" i="2"/>
  <c r="C2015" i="2"/>
  <c r="B2015" i="2"/>
  <c r="E2014" i="2"/>
  <c r="D2014" i="2"/>
  <c r="C2014" i="2"/>
  <c r="B2014" i="2"/>
  <c r="E2013" i="2"/>
  <c r="D2013" i="2"/>
  <c r="C2013" i="2"/>
  <c r="B2013" i="2"/>
  <c r="E2012" i="2"/>
  <c r="D2012" i="2"/>
  <c r="C2012" i="2"/>
  <c r="B2012" i="2"/>
  <c r="E2011" i="2"/>
  <c r="D2011" i="2"/>
  <c r="C2011" i="2"/>
  <c r="B2011" i="2"/>
  <c r="E2010" i="2"/>
  <c r="D2010" i="2"/>
  <c r="C2010" i="2"/>
  <c r="B2010" i="2"/>
  <c r="E2009" i="2"/>
  <c r="D2009" i="2"/>
  <c r="C2009" i="2"/>
  <c r="B2009" i="2"/>
  <c r="E2008" i="2"/>
  <c r="D2008" i="2"/>
  <c r="C2008" i="2"/>
  <c r="B2008" i="2"/>
  <c r="E2007" i="2"/>
  <c r="D2007" i="2"/>
  <c r="C2007" i="2"/>
  <c r="B2007" i="2"/>
  <c r="E2006" i="2"/>
  <c r="D2006" i="2"/>
  <c r="C2006" i="2"/>
  <c r="B2006" i="2"/>
  <c r="E2005" i="2"/>
  <c r="D2005" i="2"/>
  <c r="C2005" i="2"/>
  <c r="B2005" i="2"/>
  <c r="E2004" i="2"/>
  <c r="D2004" i="2"/>
  <c r="C2004" i="2"/>
  <c r="B2004" i="2"/>
  <c r="E2003" i="2"/>
  <c r="D2003" i="2"/>
  <c r="C2003" i="2"/>
  <c r="B2003" i="2"/>
  <c r="E2002" i="2"/>
  <c r="D2002" i="2"/>
  <c r="C2002" i="2"/>
  <c r="B2002" i="2"/>
  <c r="E2001" i="2"/>
  <c r="D2001" i="2"/>
  <c r="C2001" i="2"/>
  <c r="B2001" i="2"/>
  <c r="E2000" i="2"/>
  <c r="D2000" i="2"/>
  <c r="C2000" i="2"/>
  <c r="B2000" i="2"/>
  <c r="E1999" i="2"/>
  <c r="D1999" i="2"/>
  <c r="C1999" i="2"/>
  <c r="B1999" i="2"/>
  <c r="E1998" i="2"/>
  <c r="D1998" i="2"/>
  <c r="C1998" i="2"/>
  <c r="B1998" i="2"/>
  <c r="E1997" i="2"/>
  <c r="D1997" i="2"/>
  <c r="C1997" i="2"/>
  <c r="B1997" i="2"/>
  <c r="E1996" i="2"/>
  <c r="D1996" i="2"/>
  <c r="C1996" i="2"/>
  <c r="B1996" i="2"/>
  <c r="E1995" i="2"/>
  <c r="D1995" i="2"/>
  <c r="C1995" i="2"/>
  <c r="B1995" i="2"/>
  <c r="E1994" i="2"/>
  <c r="D1994" i="2"/>
  <c r="C1994" i="2"/>
  <c r="B1994" i="2"/>
  <c r="E1993" i="2"/>
  <c r="D1993" i="2"/>
  <c r="C1993" i="2"/>
  <c r="B1993" i="2"/>
  <c r="E1992" i="2"/>
  <c r="D1992" i="2"/>
  <c r="C1992" i="2"/>
  <c r="B1992" i="2"/>
  <c r="E1991" i="2"/>
  <c r="D1991" i="2"/>
  <c r="C1991" i="2"/>
  <c r="B1991" i="2"/>
  <c r="E1990" i="2"/>
  <c r="D1990" i="2"/>
  <c r="C1990" i="2"/>
  <c r="B1990" i="2"/>
  <c r="E1989" i="2"/>
  <c r="D1989" i="2"/>
  <c r="C1989" i="2"/>
  <c r="B1989" i="2"/>
  <c r="E1988" i="2"/>
  <c r="D1988" i="2"/>
  <c r="C1988" i="2"/>
  <c r="B1988" i="2"/>
  <c r="E1987" i="2"/>
  <c r="D1987" i="2"/>
  <c r="C1987" i="2"/>
  <c r="B1987" i="2"/>
  <c r="E1986" i="2"/>
  <c r="D1986" i="2"/>
  <c r="C1986" i="2"/>
  <c r="B1986" i="2"/>
  <c r="E1985" i="2"/>
  <c r="D1985" i="2"/>
  <c r="C1985" i="2"/>
  <c r="B1985" i="2"/>
  <c r="E1984" i="2"/>
  <c r="D1984" i="2"/>
  <c r="C1984" i="2"/>
  <c r="B1984" i="2"/>
  <c r="E1983" i="2"/>
  <c r="D1983" i="2"/>
  <c r="C1983" i="2"/>
  <c r="B1983" i="2"/>
  <c r="E1982" i="2"/>
  <c r="D1982" i="2"/>
  <c r="C1982" i="2"/>
  <c r="B1982" i="2"/>
  <c r="E1981" i="2"/>
  <c r="D1981" i="2"/>
  <c r="C1981" i="2"/>
  <c r="B1981" i="2"/>
  <c r="E1980" i="2"/>
  <c r="D1980" i="2"/>
  <c r="C1980" i="2"/>
  <c r="B1980" i="2"/>
  <c r="E1979" i="2"/>
  <c r="D1979" i="2"/>
  <c r="C1979" i="2"/>
  <c r="B1979" i="2"/>
  <c r="E1978" i="2"/>
  <c r="D1978" i="2"/>
  <c r="C1978" i="2"/>
  <c r="B1978" i="2"/>
  <c r="E1977" i="2"/>
  <c r="D1977" i="2"/>
  <c r="C1977" i="2"/>
  <c r="B1977" i="2"/>
  <c r="E1976" i="2"/>
  <c r="D1976" i="2"/>
  <c r="C1976" i="2"/>
  <c r="B1976" i="2"/>
  <c r="E1975" i="2"/>
  <c r="D1975" i="2"/>
  <c r="C1975" i="2"/>
  <c r="B1975" i="2"/>
  <c r="E1974" i="2"/>
  <c r="D1974" i="2"/>
  <c r="C1974" i="2"/>
  <c r="B1974" i="2"/>
  <c r="E1973" i="2"/>
  <c r="D1973" i="2"/>
  <c r="C1973" i="2"/>
  <c r="B1973" i="2"/>
  <c r="E1972" i="2"/>
  <c r="D1972" i="2"/>
  <c r="C1972" i="2"/>
  <c r="B1972" i="2"/>
  <c r="E1971" i="2"/>
  <c r="D1971" i="2"/>
  <c r="C1971" i="2"/>
  <c r="B1971" i="2"/>
  <c r="E1970" i="2"/>
  <c r="D1970" i="2"/>
  <c r="C1970" i="2"/>
  <c r="B1970" i="2"/>
  <c r="E1969" i="2"/>
  <c r="D1969" i="2"/>
  <c r="C1969" i="2"/>
  <c r="B1969" i="2"/>
  <c r="E1968" i="2"/>
  <c r="D1968" i="2"/>
  <c r="C1968" i="2"/>
  <c r="B1968" i="2"/>
  <c r="E1967" i="2"/>
  <c r="D1967" i="2"/>
  <c r="C1967" i="2"/>
  <c r="B1967" i="2"/>
  <c r="E1966" i="2"/>
  <c r="D1966" i="2"/>
  <c r="C1966" i="2"/>
  <c r="B1966" i="2"/>
  <c r="E1965" i="2"/>
  <c r="D1965" i="2"/>
  <c r="C1965" i="2"/>
  <c r="B1965" i="2"/>
  <c r="E1964" i="2"/>
  <c r="D1964" i="2"/>
  <c r="C1964" i="2"/>
  <c r="B1964" i="2"/>
  <c r="E1963" i="2"/>
  <c r="D1963" i="2"/>
  <c r="C1963" i="2"/>
  <c r="B1963" i="2"/>
  <c r="E1962" i="2"/>
  <c r="D1962" i="2"/>
  <c r="C1962" i="2"/>
  <c r="B1962" i="2"/>
  <c r="E1961" i="2"/>
  <c r="D1961" i="2"/>
  <c r="C1961" i="2"/>
  <c r="B1961" i="2"/>
  <c r="E1960" i="2"/>
  <c r="D1960" i="2"/>
  <c r="C1960" i="2"/>
  <c r="B1960" i="2"/>
  <c r="E1959" i="2"/>
  <c r="D1959" i="2"/>
  <c r="C1959" i="2"/>
  <c r="B1959" i="2"/>
  <c r="E1958" i="2"/>
  <c r="D1958" i="2"/>
  <c r="C1958" i="2"/>
  <c r="B1958" i="2"/>
  <c r="E1957" i="2"/>
  <c r="D1957" i="2"/>
  <c r="C1957" i="2"/>
  <c r="B1957" i="2"/>
  <c r="E1956" i="2"/>
  <c r="D1956" i="2"/>
  <c r="C1956" i="2"/>
  <c r="B1956" i="2"/>
  <c r="E1955" i="2"/>
  <c r="D1955" i="2"/>
  <c r="C1955" i="2"/>
  <c r="B1955" i="2"/>
  <c r="E1954" i="2"/>
  <c r="D1954" i="2"/>
  <c r="C1954" i="2"/>
  <c r="B1954" i="2"/>
  <c r="E1953" i="2"/>
  <c r="D1953" i="2"/>
  <c r="C1953" i="2"/>
  <c r="B1953" i="2"/>
  <c r="E1952" i="2"/>
  <c r="D1952" i="2"/>
  <c r="C1952" i="2"/>
  <c r="B1952" i="2"/>
  <c r="E1951" i="2"/>
  <c r="D1951" i="2"/>
  <c r="C1951" i="2"/>
  <c r="B1951" i="2"/>
  <c r="E1950" i="2"/>
  <c r="D1950" i="2"/>
  <c r="C1950" i="2"/>
  <c r="B1950" i="2"/>
  <c r="E1949" i="2"/>
  <c r="D1949" i="2"/>
  <c r="C1949" i="2"/>
  <c r="B1949" i="2"/>
  <c r="E1948" i="2"/>
  <c r="D1948" i="2"/>
  <c r="C1948" i="2"/>
  <c r="B1948" i="2"/>
  <c r="E1947" i="2"/>
  <c r="D1947" i="2"/>
  <c r="C1947" i="2"/>
  <c r="B1947" i="2"/>
  <c r="E1946" i="2"/>
  <c r="D1946" i="2"/>
  <c r="C1946" i="2"/>
  <c r="B1946" i="2"/>
  <c r="E1945" i="2"/>
  <c r="D1945" i="2"/>
  <c r="C1945" i="2"/>
  <c r="B1945" i="2"/>
  <c r="E1944" i="2"/>
  <c r="D1944" i="2"/>
  <c r="C1944" i="2"/>
  <c r="B1944" i="2"/>
  <c r="E1943" i="2"/>
  <c r="D1943" i="2"/>
  <c r="C1943" i="2"/>
  <c r="B1943" i="2"/>
  <c r="E1942" i="2"/>
  <c r="D1942" i="2"/>
  <c r="C1942" i="2"/>
  <c r="B1942" i="2"/>
  <c r="E1941" i="2"/>
  <c r="D1941" i="2"/>
  <c r="C1941" i="2"/>
  <c r="B1941" i="2"/>
  <c r="E1940" i="2"/>
  <c r="D1940" i="2"/>
  <c r="C1940" i="2"/>
  <c r="B1940" i="2"/>
  <c r="E1939" i="2"/>
  <c r="D1939" i="2"/>
  <c r="C1939" i="2"/>
  <c r="B1939" i="2"/>
  <c r="E1938" i="2"/>
  <c r="D1938" i="2"/>
  <c r="C1938" i="2"/>
  <c r="B1938" i="2"/>
  <c r="E1937" i="2"/>
  <c r="D1937" i="2"/>
  <c r="C1937" i="2"/>
  <c r="B1937" i="2"/>
  <c r="E1936" i="2"/>
  <c r="D1936" i="2"/>
  <c r="C1936" i="2"/>
  <c r="B1936" i="2"/>
  <c r="E1935" i="2"/>
  <c r="D1935" i="2"/>
  <c r="C1935" i="2"/>
  <c r="B1935" i="2"/>
  <c r="E1934" i="2"/>
  <c r="D1934" i="2"/>
  <c r="C1934" i="2"/>
  <c r="B1934" i="2"/>
  <c r="E1933" i="2"/>
  <c r="D1933" i="2"/>
  <c r="C1933" i="2"/>
  <c r="B1933" i="2"/>
  <c r="E1932" i="2"/>
  <c r="D1932" i="2"/>
  <c r="C1932" i="2"/>
  <c r="B1932" i="2"/>
  <c r="E1931" i="2"/>
  <c r="D1931" i="2"/>
  <c r="C1931" i="2"/>
  <c r="B1931" i="2"/>
  <c r="E1930" i="2"/>
  <c r="D1930" i="2"/>
  <c r="C1930" i="2"/>
  <c r="B1930" i="2"/>
  <c r="E1929" i="2"/>
  <c r="D1929" i="2"/>
  <c r="C1929" i="2"/>
  <c r="B1929" i="2"/>
  <c r="E1928" i="2"/>
  <c r="D1928" i="2"/>
  <c r="C1928" i="2"/>
  <c r="B1928" i="2"/>
  <c r="E1927" i="2"/>
  <c r="D1927" i="2"/>
  <c r="C1927" i="2"/>
  <c r="B1927" i="2"/>
  <c r="E1926" i="2"/>
  <c r="D1926" i="2"/>
  <c r="C1926" i="2"/>
  <c r="B1926" i="2"/>
  <c r="E1925" i="2"/>
  <c r="D1925" i="2"/>
  <c r="C1925" i="2"/>
  <c r="B1925" i="2"/>
  <c r="E1924" i="2"/>
  <c r="D1924" i="2"/>
  <c r="C1924" i="2"/>
  <c r="B1924" i="2"/>
  <c r="E1923" i="2"/>
  <c r="D1923" i="2"/>
  <c r="C1923" i="2"/>
  <c r="B1923" i="2"/>
  <c r="E1922" i="2"/>
  <c r="D1922" i="2"/>
  <c r="C1922" i="2"/>
  <c r="B1922" i="2"/>
  <c r="E1921" i="2"/>
  <c r="D1921" i="2"/>
  <c r="C1921" i="2"/>
  <c r="B1921" i="2"/>
  <c r="E1920" i="2"/>
  <c r="D1920" i="2"/>
  <c r="C1920" i="2"/>
  <c r="B1920" i="2"/>
  <c r="E1919" i="2"/>
  <c r="D1919" i="2"/>
  <c r="C1919" i="2"/>
  <c r="B1919" i="2"/>
  <c r="E1918" i="2"/>
  <c r="D1918" i="2"/>
  <c r="C1918" i="2"/>
  <c r="B1918" i="2"/>
  <c r="E1917" i="2"/>
  <c r="D1917" i="2"/>
  <c r="C1917" i="2"/>
  <c r="B1917" i="2"/>
  <c r="E1916" i="2"/>
  <c r="D1916" i="2"/>
  <c r="C1916" i="2"/>
  <c r="B1916" i="2"/>
  <c r="E1915" i="2"/>
  <c r="D1915" i="2"/>
  <c r="C1915" i="2"/>
  <c r="B1915" i="2"/>
  <c r="E1914" i="2"/>
  <c r="D1914" i="2"/>
  <c r="C1914" i="2"/>
  <c r="B1914" i="2"/>
  <c r="E1913" i="2"/>
  <c r="D1913" i="2"/>
  <c r="C1913" i="2"/>
  <c r="B1913" i="2"/>
  <c r="E1912" i="2"/>
  <c r="D1912" i="2"/>
  <c r="C1912" i="2"/>
  <c r="B1912" i="2"/>
  <c r="E1911" i="2"/>
  <c r="D1911" i="2"/>
  <c r="C1911" i="2"/>
  <c r="B1911" i="2"/>
  <c r="E1910" i="2"/>
  <c r="D1910" i="2"/>
  <c r="C1910" i="2"/>
  <c r="B1910" i="2"/>
  <c r="E1909" i="2"/>
  <c r="D1909" i="2"/>
  <c r="C1909" i="2"/>
  <c r="B1909" i="2"/>
  <c r="E1908" i="2"/>
  <c r="D1908" i="2"/>
  <c r="C1908" i="2"/>
  <c r="B1908" i="2"/>
  <c r="E1907" i="2"/>
  <c r="D1907" i="2"/>
  <c r="C1907" i="2"/>
  <c r="B1907" i="2"/>
  <c r="E1906" i="2"/>
  <c r="D1906" i="2"/>
  <c r="C1906" i="2"/>
  <c r="B1906" i="2"/>
  <c r="E1905" i="2"/>
  <c r="D1905" i="2"/>
  <c r="C1905" i="2"/>
  <c r="B1905" i="2"/>
  <c r="E1904" i="2"/>
  <c r="D1904" i="2"/>
  <c r="C1904" i="2"/>
  <c r="B1904" i="2"/>
  <c r="E1903" i="2"/>
  <c r="D1903" i="2"/>
  <c r="C1903" i="2"/>
  <c r="B1903" i="2"/>
  <c r="E1902" i="2"/>
  <c r="D1902" i="2"/>
  <c r="C1902" i="2"/>
  <c r="B1902" i="2"/>
  <c r="E1901" i="2"/>
  <c r="D1901" i="2"/>
  <c r="C1901" i="2"/>
  <c r="B1901" i="2"/>
  <c r="E1900" i="2"/>
  <c r="D1900" i="2"/>
  <c r="C1900" i="2"/>
  <c r="B1900" i="2"/>
  <c r="E1899" i="2"/>
  <c r="D1899" i="2"/>
  <c r="C1899" i="2"/>
  <c r="B1899" i="2"/>
  <c r="E1898" i="2"/>
  <c r="D1898" i="2"/>
  <c r="C1898" i="2"/>
  <c r="B1898" i="2"/>
  <c r="E1897" i="2"/>
  <c r="D1897" i="2"/>
  <c r="C1897" i="2"/>
  <c r="B1897" i="2"/>
  <c r="E1896" i="2"/>
  <c r="D1896" i="2"/>
  <c r="C1896" i="2"/>
  <c r="B1896" i="2"/>
  <c r="E1895" i="2"/>
  <c r="D1895" i="2"/>
  <c r="C1895" i="2"/>
  <c r="B1895" i="2"/>
  <c r="E1894" i="2"/>
  <c r="D1894" i="2"/>
  <c r="C1894" i="2"/>
  <c r="B1894" i="2"/>
  <c r="E1893" i="2"/>
  <c r="D1893" i="2"/>
  <c r="C1893" i="2"/>
  <c r="B1893" i="2"/>
  <c r="E1892" i="2"/>
  <c r="D1892" i="2"/>
  <c r="C1892" i="2"/>
  <c r="B1892" i="2"/>
  <c r="E1891" i="2"/>
  <c r="D1891" i="2"/>
  <c r="C1891" i="2"/>
  <c r="B1891" i="2"/>
  <c r="E1890" i="2"/>
  <c r="D1890" i="2"/>
  <c r="C1890" i="2"/>
  <c r="B1890" i="2"/>
  <c r="E1889" i="2"/>
  <c r="D1889" i="2"/>
  <c r="C1889" i="2"/>
  <c r="B1889" i="2"/>
  <c r="E1888" i="2"/>
  <c r="D1888" i="2"/>
  <c r="C1888" i="2"/>
  <c r="B1888" i="2"/>
  <c r="E1887" i="2"/>
  <c r="D1887" i="2"/>
  <c r="C1887" i="2"/>
  <c r="B1887" i="2"/>
  <c r="E1886" i="2"/>
  <c r="D1886" i="2"/>
  <c r="C1886" i="2"/>
  <c r="B1886" i="2"/>
  <c r="E1885" i="2"/>
  <c r="D1885" i="2"/>
  <c r="C1885" i="2"/>
  <c r="B1885" i="2"/>
  <c r="E1884" i="2"/>
  <c r="D1884" i="2"/>
  <c r="C1884" i="2"/>
  <c r="B1884" i="2"/>
  <c r="E1883" i="2"/>
  <c r="D1883" i="2"/>
  <c r="C1883" i="2"/>
  <c r="B1883" i="2"/>
  <c r="E1882" i="2"/>
  <c r="D1882" i="2"/>
  <c r="C1882" i="2"/>
  <c r="B1882" i="2"/>
  <c r="E1881" i="2"/>
  <c r="D1881" i="2"/>
  <c r="C1881" i="2"/>
  <c r="B1881" i="2"/>
  <c r="E1880" i="2"/>
  <c r="D1880" i="2"/>
  <c r="C1880" i="2"/>
  <c r="B1880" i="2"/>
  <c r="E1879" i="2"/>
  <c r="D1879" i="2"/>
  <c r="C1879" i="2"/>
  <c r="B1879" i="2"/>
  <c r="E1878" i="2"/>
  <c r="D1878" i="2"/>
  <c r="C1878" i="2"/>
  <c r="B1878" i="2"/>
  <c r="E1877" i="2"/>
  <c r="D1877" i="2"/>
  <c r="C1877" i="2"/>
  <c r="B1877" i="2"/>
  <c r="E1876" i="2"/>
  <c r="D1876" i="2"/>
  <c r="C1876" i="2"/>
  <c r="B1876" i="2"/>
  <c r="E1875" i="2"/>
  <c r="D1875" i="2"/>
  <c r="C1875" i="2"/>
  <c r="B1875" i="2"/>
  <c r="E1874" i="2"/>
  <c r="D1874" i="2"/>
  <c r="C1874" i="2"/>
  <c r="B1874" i="2"/>
  <c r="E1873" i="2"/>
  <c r="D1873" i="2"/>
  <c r="C1873" i="2"/>
  <c r="B1873" i="2"/>
  <c r="E1872" i="2"/>
  <c r="D1872" i="2"/>
  <c r="C1872" i="2"/>
  <c r="B1872" i="2"/>
  <c r="E1871" i="2"/>
  <c r="D1871" i="2"/>
  <c r="C1871" i="2"/>
  <c r="B1871" i="2"/>
  <c r="E1870" i="2"/>
  <c r="D1870" i="2"/>
  <c r="C1870" i="2"/>
  <c r="B1870" i="2"/>
  <c r="E1869" i="2"/>
  <c r="D1869" i="2"/>
  <c r="C1869" i="2"/>
  <c r="B1869" i="2"/>
  <c r="E1868" i="2"/>
  <c r="D1868" i="2"/>
  <c r="C1868" i="2"/>
  <c r="B1868" i="2"/>
  <c r="E1867" i="2"/>
  <c r="D1867" i="2"/>
  <c r="C1867" i="2"/>
  <c r="B1867" i="2"/>
  <c r="E1866" i="2"/>
  <c r="D1866" i="2"/>
  <c r="C1866" i="2"/>
  <c r="B1866" i="2"/>
  <c r="E1865" i="2"/>
  <c r="D1865" i="2"/>
  <c r="C1865" i="2"/>
  <c r="B1865" i="2"/>
  <c r="E1864" i="2"/>
  <c r="D1864" i="2"/>
  <c r="C1864" i="2"/>
  <c r="B1864" i="2"/>
  <c r="E1863" i="2"/>
  <c r="D1863" i="2"/>
  <c r="C1863" i="2"/>
  <c r="B1863" i="2"/>
  <c r="E1862" i="2"/>
  <c r="D1862" i="2"/>
  <c r="C1862" i="2"/>
  <c r="B1862" i="2"/>
  <c r="E1861" i="2"/>
  <c r="D1861" i="2"/>
  <c r="C1861" i="2"/>
  <c r="B1861" i="2"/>
  <c r="E1860" i="2"/>
  <c r="D1860" i="2"/>
  <c r="C1860" i="2"/>
  <c r="B1860" i="2"/>
  <c r="E1859" i="2"/>
  <c r="D1859" i="2"/>
  <c r="C1859" i="2"/>
  <c r="B1859" i="2"/>
  <c r="E1858" i="2"/>
  <c r="D1858" i="2"/>
  <c r="C1858" i="2"/>
  <c r="B1858" i="2"/>
  <c r="E1857" i="2"/>
  <c r="D1857" i="2"/>
  <c r="C1857" i="2"/>
  <c r="B1857" i="2"/>
  <c r="E1856" i="2"/>
  <c r="D1856" i="2"/>
  <c r="C1856" i="2"/>
  <c r="B1856" i="2"/>
  <c r="E1855" i="2"/>
  <c r="D1855" i="2"/>
  <c r="C1855" i="2"/>
  <c r="B1855" i="2"/>
  <c r="E1854" i="2"/>
  <c r="D1854" i="2"/>
  <c r="C1854" i="2"/>
  <c r="B1854" i="2"/>
  <c r="E1853" i="2"/>
  <c r="D1853" i="2"/>
  <c r="C1853" i="2"/>
  <c r="B1853" i="2"/>
  <c r="E1852" i="2"/>
  <c r="D1852" i="2"/>
  <c r="C1852" i="2"/>
  <c r="B1852" i="2"/>
  <c r="E1851" i="2"/>
  <c r="D1851" i="2"/>
  <c r="C1851" i="2"/>
  <c r="B1851" i="2"/>
  <c r="E1850" i="2"/>
  <c r="D1850" i="2"/>
  <c r="C1850" i="2"/>
  <c r="B1850" i="2"/>
  <c r="E1849" i="2"/>
  <c r="D1849" i="2"/>
  <c r="C1849" i="2"/>
  <c r="B1849" i="2"/>
  <c r="E1848" i="2"/>
  <c r="D1848" i="2"/>
  <c r="C1848" i="2"/>
  <c r="B1848" i="2"/>
  <c r="E1847" i="2"/>
  <c r="D1847" i="2"/>
  <c r="C1847" i="2"/>
  <c r="B1847" i="2"/>
  <c r="E1846" i="2"/>
  <c r="D1846" i="2"/>
  <c r="C1846" i="2"/>
  <c r="B1846" i="2"/>
  <c r="E1845" i="2"/>
  <c r="D1845" i="2"/>
  <c r="C1845" i="2"/>
  <c r="B1845" i="2"/>
  <c r="E1844" i="2"/>
  <c r="D1844" i="2"/>
  <c r="C1844" i="2"/>
  <c r="B1844" i="2"/>
  <c r="E1843" i="2"/>
  <c r="D1843" i="2"/>
  <c r="C1843" i="2"/>
  <c r="B1843" i="2"/>
  <c r="E1842" i="2"/>
  <c r="D1842" i="2"/>
  <c r="C1842" i="2"/>
  <c r="B1842" i="2"/>
  <c r="E1841" i="2"/>
  <c r="D1841" i="2"/>
  <c r="C1841" i="2"/>
  <c r="B1841" i="2"/>
  <c r="E1840" i="2"/>
  <c r="D1840" i="2"/>
  <c r="C1840" i="2"/>
  <c r="B1840" i="2"/>
  <c r="E1839" i="2"/>
  <c r="D1839" i="2"/>
  <c r="C1839" i="2"/>
  <c r="B1839" i="2"/>
  <c r="E1838" i="2"/>
  <c r="D1838" i="2"/>
  <c r="C1838" i="2"/>
  <c r="B1838" i="2"/>
  <c r="E1837" i="2"/>
  <c r="D1837" i="2"/>
  <c r="C1837" i="2"/>
  <c r="B1837" i="2"/>
  <c r="E1836" i="2"/>
  <c r="D1836" i="2"/>
  <c r="C1836" i="2"/>
  <c r="B1836" i="2"/>
  <c r="E1835" i="2"/>
  <c r="D1835" i="2"/>
  <c r="C1835" i="2"/>
  <c r="B1835" i="2"/>
  <c r="E1834" i="2"/>
  <c r="D1834" i="2"/>
  <c r="C1834" i="2"/>
  <c r="B1834" i="2"/>
  <c r="E1833" i="2"/>
  <c r="D1833" i="2"/>
  <c r="C1833" i="2"/>
  <c r="B1833" i="2"/>
  <c r="E1832" i="2"/>
  <c r="D1832" i="2"/>
  <c r="C1832" i="2"/>
  <c r="B1832" i="2"/>
  <c r="E1831" i="2"/>
  <c r="D1831" i="2"/>
  <c r="C1831" i="2"/>
  <c r="B1831" i="2"/>
  <c r="E1830" i="2"/>
  <c r="D1830" i="2"/>
  <c r="C1830" i="2"/>
  <c r="B1830" i="2"/>
  <c r="E1829" i="2"/>
  <c r="D1829" i="2"/>
  <c r="C1829" i="2"/>
  <c r="B1829" i="2"/>
  <c r="E1828" i="2"/>
  <c r="D1828" i="2"/>
  <c r="C1828" i="2"/>
  <c r="B1828" i="2"/>
  <c r="E1827" i="2"/>
  <c r="D1827" i="2"/>
  <c r="C1827" i="2"/>
  <c r="B1827" i="2"/>
  <c r="E1826" i="2"/>
  <c r="D1826" i="2"/>
  <c r="C1826" i="2"/>
  <c r="B1826" i="2"/>
  <c r="E1825" i="2"/>
  <c r="D1825" i="2"/>
  <c r="C1825" i="2"/>
  <c r="B1825" i="2"/>
  <c r="E1824" i="2"/>
  <c r="D1824" i="2"/>
  <c r="C1824" i="2"/>
  <c r="B1824" i="2"/>
  <c r="E1823" i="2"/>
  <c r="D1823" i="2"/>
  <c r="C1823" i="2"/>
  <c r="B1823" i="2"/>
  <c r="E1822" i="2"/>
  <c r="D1822" i="2"/>
  <c r="C1822" i="2"/>
  <c r="B1822" i="2"/>
  <c r="E1821" i="2"/>
  <c r="D1821" i="2"/>
  <c r="C1821" i="2"/>
  <c r="B1821" i="2"/>
  <c r="E1820" i="2"/>
  <c r="D1820" i="2"/>
  <c r="C1820" i="2"/>
  <c r="B1820" i="2"/>
  <c r="E1819" i="2"/>
  <c r="D1819" i="2"/>
  <c r="C1819" i="2"/>
  <c r="B1819" i="2"/>
  <c r="E1818" i="2"/>
  <c r="D1818" i="2"/>
  <c r="C1818" i="2"/>
  <c r="B1818" i="2"/>
  <c r="E1817" i="2"/>
  <c r="D1817" i="2"/>
  <c r="C1817" i="2"/>
  <c r="B1817" i="2"/>
  <c r="E1816" i="2"/>
  <c r="D1816" i="2"/>
  <c r="C1816" i="2"/>
  <c r="B1816" i="2"/>
  <c r="E1815" i="2"/>
  <c r="D1815" i="2"/>
  <c r="C1815" i="2"/>
  <c r="B1815" i="2"/>
  <c r="E1814" i="2"/>
  <c r="D1814" i="2"/>
  <c r="C1814" i="2"/>
  <c r="B1814" i="2"/>
  <c r="E1813" i="2"/>
  <c r="D1813" i="2"/>
  <c r="C1813" i="2"/>
  <c r="B1813" i="2"/>
  <c r="E1812" i="2"/>
  <c r="D1812" i="2"/>
  <c r="C1812" i="2"/>
  <c r="B1812" i="2"/>
  <c r="E1811" i="2"/>
  <c r="D1811" i="2"/>
  <c r="C1811" i="2"/>
  <c r="B1811" i="2"/>
  <c r="E1810" i="2"/>
  <c r="D1810" i="2"/>
  <c r="C1810" i="2"/>
  <c r="B1810" i="2"/>
  <c r="E1809" i="2"/>
  <c r="D1809" i="2"/>
  <c r="C1809" i="2"/>
  <c r="B1809" i="2"/>
  <c r="E1808" i="2"/>
  <c r="D1808" i="2"/>
  <c r="C1808" i="2"/>
  <c r="B1808" i="2"/>
  <c r="E1807" i="2"/>
  <c r="D1807" i="2"/>
  <c r="C1807" i="2"/>
  <c r="B1807" i="2"/>
  <c r="E1806" i="2"/>
  <c r="D1806" i="2"/>
  <c r="C1806" i="2"/>
  <c r="B1806" i="2"/>
  <c r="E1805" i="2"/>
  <c r="D1805" i="2"/>
  <c r="C1805" i="2"/>
  <c r="B1805" i="2"/>
  <c r="E1804" i="2"/>
  <c r="D1804" i="2"/>
  <c r="C1804" i="2"/>
  <c r="B1804" i="2"/>
  <c r="E1803" i="2"/>
  <c r="D1803" i="2"/>
  <c r="C1803" i="2"/>
  <c r="B1803" i="2"/>
  <c r="E1802" i="2"/>
  <c r="D1802" i="2"/>
  <c r="C1802" i="2"/>
  <c r="B1802" i="2"/>
  <c r="E1801" i="2"/>
  <c r="D1801" i="2"/>
  <c r="C1801" i="2"/>
  <c r="B1801" i="2"/>
  <c r="E1800" i="2"/>
  <c r="D1800" i="2"/>
  <c r="C1800" i="2"/>
  <c r="B1800" i="2"/>
  <c r="E1799" i="2"/>
  <c r="D1799" i="2"/>
  <c r="C1799" i="2"/>
  <c r="B1799" i="2"/>
  <c r="E1798" i="2"/>
  <c r="D1798" i="2"/>
  <c r="C1798" i="2"/>
  <c r="B1798" i="2"/>
  <c r="E1797" i="2"/>
  <c r="D1797" i="2"/>
  <c r="C1797" i="2"/>
  <c r="B1797" i="2"/>
  <c r="E1796" i="2"/>
  <c r="D1796" i="2"/>
  <c r="C1796" i="2"/>
  <c r="B1796" i="2"/>
  <c r="E1795" i="2"/>
  <c r="D1795" i="2"/>
  <c r="C1795" i="2"/>
  <c r="B1795" i="2"/>
  <c r="E1794" i="2"/>
  <c r="D1794" i="2"/>
  <c r="C1794" i="2"/>
  <c r="B1794" i="2"/>
  <c r="E1793" i="2"/>
  <c r="D1793" i="2"/>
  <c r="C1793" i="2"/>
  <c r="B1793" i="2"/>
  <c r="E1792" i="2"/>
  <c r="D1792" i="2"/>
  <c r="C1792" i="2"/>
  <c r="B1792" i="2"/>
  <c r="E1791" i="2"/>
  <c r="D1791" i="2"/>
  <c r="C1791" i="2"/>
  <c r="B1791" i="2"/>
  <c r="E1790" i="2"/>
  <c r="D1790" i="2"/>
  <c r="C1790" i="2"/>
  <c r="B1790" i="2"/>
  <c r="E1789" i="2"/>
  <c r="D1789" i="2"/>
  <c r="C1789" i="2"/>
  <c r="B1789" i="2"/>
  <c r="E1788" i="2"/>
  <c r="D1788" i="2"/>
  <c r="C1788" i="2"/>
  <c r="B1788" i="2"/>
  <c r="E1787" i="2"/>
  <c r="D1787" i="2"/>
  <c r="C1787" i="2"/>
  <c r="B1787" i="2"/>
  <c r="E1786" i="2"/>
  <c r="D1786" i="2"/>
  <c r="C1786" i="2"/>
  <c r="B1786" i="2"/>
  <c r="E1785" i="2"/>
  <c r="D1785" i="2"/>
  <c r="C1785" i="2"/>
  <c r="B1785" i="2"/>
  <c r="E1784" i="2"/>
  <c r="D1784" i="2"/>
  <c r="C1784" i="2"/>
  <c r="B1784" i="2"/>
  <c r="E1783" i="2"/>
  <c r="D1783" i="2"/>
  <c r="C1783" i="2"/>
  <c r="B1783" i="2"/>
  <c r="E1782" i="2"/>
  <c r="D1782" i="2"/>
  <c r="C1782" i="2"/>
  <c r="B1782" i="2"/>
  <c r="E1781" i="2"/>
  <c r="D1781" i="2"/>
  <c r="C1781" i="2"/>
  <c r="B1781" i="2"/>
  <c r="E1780" i="2"/>
  <c r="D1780" i="2"/>
  <c r="C1780" i="2"/>
  <c r="B1780" i="2"/>
  <c r="E1779" i="2"/>
  <c r="D1779" i="2"/>
  <c r="C1779" i="2"/>
  <c r="B1779" i="2"/>
  <c r="E1778" i="2"/>
  <c r="D1778" i="2"/>
  <c r="C1778" i="2"/>
  <c r="B1778" i="2"/>
  <c r="E1777" i="2"/>
  <c r="D1777" i="2"/>
  <c r="C1777" i="2"/>
  <c r="B1777" i="2"/>
  <c r="E1776" i="2"/>
  <c r="D1776" i="2"/>
  <c r="C1776" i="2"/>
  <c r="B1776" i="2"/>
  <c r="E1775" i="2"/>
  <c r="D1775" i="2"/>
  <c r="C1775" i="2"/>
  <c r="B1775" i="2"/>
  <c r="E1774" i="2"/>
  <c r="D1774" i="2"/>
  <c r="C1774" i="2"/>
  <c r="B1774" i="2"/>
  <c r="E1773" i="2"/>
  <c r="D1773" i="2"/>
  <c r="C1773" i="2"/>
  <c r="B1773" i="2"/>
  <c r="E1772" i="2"/>
  <c r="D1772" i="2"/>
  <c r="C1772" i="2"/>
  <c r="B1772" i="2"/>
  <c r="E1771" i="2"/>
  <c r="D1771" i="2"/>
  <c r="C1771" i="2"/>
  <c r="B1771" i="2"/>
  <c r="E1770" i="2"/>
  <c r="D1770" i="2"/>
  <c r="C1770" i="2"/>
  <c r="B1770" i="2"/>
  <c r="E1769" i="2"/>
  <c r="D1769" i="2"/>
  <c r="C1769" i="2"/>
  <c r="B1769" i="2"/>
  <c r="E1768" i="2"/>
  <c r="D1768" i="2"/>
  <c r="C1768" i="2"/>
  <c r="B1768" i="2"/>
  <c r="E1767" i="2"/>
  <c r="D1767" i="2"/>
  <c r="C1767" i="2"/>
  <c r="B1767" i="2"/>
  <c r="E1766" i="2"/>
  <c r="D1766" i="2"/>
  <c r="C1766" i="2"/>
  <c r="B1766" i="2"/>
  <c r="E1765" i="2"/>
  <c r="D1765" i="2"/>
  <c r="C1765" i="2"/>
  <c r="B1765" i="2"/>
  <c r="E1764" i="2"/>
  <c r="D1764" i="2"/>
  <c r="C1764" i="2"/>
  <c r="B1764" i="2"/>
  <c r="E1763" i="2"/>
  <c r="D1763" i="2"/>
  <c r="C1763" i="2"/>
  <c r="B1763" i="2"/>
  <c r="E1762" i="2"/>
  <c r="D1762" i="2"/>
  <c r="C1762" i="2"/>
  <c r="B1762" i="2"/>
  <c r="E1761" i="2"/>
  <c r="D1761" i="2"/>
  <c r="C1761" i="2"/>
  <c r="B1761" i="2"/>
  <c r="E1760" i="2"/>
  <c r="D1760" i="2"/>
  <c r="C1760" i="2"/>
  <c r="B1760" i="2"/>
  <c r="E1759" i="2"/>
  <c r="D1759" i="2"/>
  <c r="C1759" i="2"/>
  <c r="B1759" i="2"/>
  <c r="E1758" i="2"/>
  <c r="D1758" i="2"/>
  <c r="C1758" i="2"/>
  <c r="B1758" i="2"/>
  <c r="E1757" i="2"/>
  <c r="D1757" i="2"/>
  <c r="C1757" i="2"/>
  <c r="B1757" i="2"/>
  <c r="E1756" i="2"/>
  <c r="D1756" i="2"/>
  <c r="C1756" i="2"/>
  <c r="B1756" i="2"/>
  <c r="E1755" i="2"/>
  <c r="D1755" i="2"/>
  <c r="C1755" i="2"/>
  <c r="B1755" i="2"/>
  <c r="E1754" i="2"/>
  <c r="D1754" i="2"/>
  <c r="C1754" i="2"/>
  <c r="B1754" i="2"/>
  <c r="E1753" i="2"/>
  <c r="D1753" i="2"/>
  <c r="C1753" i="2"/>
  <c r="B1753" i="2"/>
  <c r="E1752" i="2"/>
  <c r="D1752" i="2"/>
  <c r="C1752" i="2"/>
  <c r="B1752" i="2"/>
  <c r="E1751" i="2"/>
  <c r="D1751" i="2"/>
  <c r="C1751" i="2"/>
  <c r="B1751" i="2"/>
  <c r="E1750" i="2"/>
  <c r="D1750" i="2"/>
  <c r="C1750" i="2"/>
  <c r="B1750" i="2"/>
  <c r="E1749" i="2"/>
  <c r="D1749" i="2"/>
  <c r="C1749" i="2"/>
  <c r="B1749" i="2"/>
  <c r="E1748" i="2"/>
  <c r="D1748" i="2"/>
  <c r="C1748" i="2"/>
  <c r="B1748" i="2"/>
  <c r="E1747" i="2"/>
  <c r="D1747" i="2"/>
  <c r="C1747" i="2"/>
  <c r="B1747" i="2"/>
  <c r="E1746" i="2"/>
  <c r="D1746" i="2"/>
  <c r="C1746" i="2"/>
  <c r="B1746" i="2"/>
  <c r="E1745" i="2"/>
  <c r="D1745" i="2"/>
  <c r="C1745" i="2"/>
  <c r="B1745" i="2"/>
  <c r="E1744" i="2"/>
  <c r="D1744" i="2"/>
  <c r="C1744" i="2"/>
  <c r="B1744" i="2"/>
  <c r="E1743" i="2"/>
  <c r="D1743" i="2"/>
  <c r="C1743" i="2"/>
  <c r="B1743" i="2"/>
  <c r="E1742" i="2"/>
  <c r="D1742" i="2"/>
  <c r="C1742" i="2"/>
  <c r="B1742" i="2"/>
  <c r="E1741" i="2"/>
  <c r="D1741" i="2"/>
  <c r="C1741" i="2"/>
  <c r="B1741" i="2"/>
  <c r="E1740" i="2"/>
  <c r="D1740" i="2"/>
  <c r="C1740" i="2"/>
  <c r="B1740" i="2"/>
  <c r="E1739" i="2"/>
  <c r="D1739" i="2"/>
  <c r="C1739" i="2"/>
  <c r="B1739" i="2"/>
  <c r="E1738" i="2"/>
  <c r="D1738" i="2"/>
  <c r="C1738" i="2"/>
  <c r="B1738" i="2"/>
  <c r="E1737" i="2"/>
  <c r="D1737" i="2"/>
  <c r="C1737" i="2"/>
  <c r="B1737" i="2"/>
  <c r="E1736" i="2"/>
  <c r="D1736" i="2"/>
  <c r="C1736" i="2"/>
  <c r="B1736" i="2"/>
  <c r="E1735" i="2"/>
  <c r="D1735" i="2"/>
  <c r="C1735" i="2"/>
  <c r="B1735" i="2"/>
  <c r="E1734" i="2"/>
  <c r="D1734" i="2"/>
  <c r="C1734" i="2"/>
  <c r="B1734" i="2"/>
  <c r="E1733" i="2"/>
  <c r="D1733" i="2"/>
  <c r="C1733" i="2"/>
  <c r="B1733" i="2"/>
  <c r="E1732" i="2"/>
  <c r="D1732" i="2"/>
  <c r="C1732" i="2"/>
  <c r="B1732" i="2"/>
  <c r="E1731" i="2"/>
  <c r="D1731" i="2"/>
  <c r="C1731" i="2"/>
  <c r="B1731" i="2"/>
  <c r="E1730" i="2"/>
  <c r="D1730" i="2"/>
  <c r="C1730" i="2"/>
  <c r="B1730" i="2"/>
  <c r="E1729" i="2"/>
  <c r="D1729" i="2"/>
  <c r="C1729" i="2"/>
  <c r="B1729" i="2"/>
  <c r="E1728" i="2"/>
  <c r="D1728" i="2"/>
  <c r="C1728" i="2"/>
  <c r="B1728" i="2"/>
  <c r="E1727" i="2"/>
  <c r="D1727" i="2"/>
  <c r="C1727" i="2"/>
  <c r="B1727" i="2"/>
  <c r="E1726" i="2"/>
  <c r="D1726" i="2"/>
  <c r="C1726" i="2"/>
  <c r="B1726" i="2"/>
  <c r="E1725" i="2"/>
  <c r="D1725" i="2"/>
  <c r="C1725" i="2"/>
  <c r="B1725" i="2"/>
  <c r="E1724" i="2"/>
  <c r="D1724" i="2"/>
  <c r="C1724" i="2"/>
  <c r="B1724" i="2"/>
  <c r="E1723" i="2"/>
  <c r="D1723" i="2"/>
  <c r="C1723" i="2"/>
  <c r="B1723" i="2"/>
  <c r="E1722" i="2"/>
  <c r="D1722" i="2"/>
  <c r="C1722" i="2"/>
  <c r="B1722" i="2"/>
  <c r="E1721" i="2"/>
  <c r="D1721" i="2"/>
  <c r="C1721" i="2"/>
  <c r="B1721" i="2"/>
  <c r="E1720" i="2"/>
  <c r="D1720" i="2"/>
  <c r="C1720" i="2"/>
  <c r="B1720" i="2"/>
  <c r="E1719" i="2"/>
  <c r="D1719" i="2"/>
  <c r="C1719" i="2"/>
  <c r="B1719" i="2"/>
  <c r="E1718" i="2"/>
  <c r="D1718" i="2"/>
  <c r="C1718" i="2"/>
  <c r="B1718" i="2"/>
  <c r="E1717" i="2"/>
  <c r="D1717" i="2"/>
  <c r="C1717" i="2"/>
  <c r="B1717" i="2"/>
  <c r="E1716" i="2"/>
  <c r="D1716" i="2"/>
  <c r="C1716" i="2"/>
  <c r="B1716" i="2"/>
  <c r="E1715" i="2"/>
  <c r="D1715" i="2"/>
  <c r="C1715" i="2"/>
  <c r="B1715" i="2"/>
  <c r="E1714" i="2"/>
  <c r="D1714" i="2"/>
  <c r="C1714" i="2"/>
  <c r="B1714" i="2"/>
  <c r="E1713" i="2"/>
  <c r="D1713" i="2"/>
  <c r="C1713" i="2"/>
  <c r="B1713" i="2"/>
  <c r="E1712" i="2"/>
  <c r="D1712" i="2"/>
  <c r="C1712" i="2"/>
  <c r="B1712" i="2"/>
  <c r="E1711" i="2"/>
  <c r="D1711" i="2"/>
  <c r="C1711" i="2"/>
  <c r="B1711" i="2"/>
  <c r="E1710" i="2"/>
  <c r="D1710" i="2"/>
  <c r="C1710" i="2"/>
  <c r="B1710" i="2"/>
  <c r="E1709" i="2"/>
  <c r="D1709" i="2"/>
  <c r="C1709" i="2"/>
  <c r="B1709" i="2"/>
  <c r="E1708" i="2"/>
  <c r="D1708" i="2"/>
  <c r="C1708" i="2"/>
  <c r="B1708" i="2"/>
  <c r="E1707" i="2"/>
  <c r="D1707" i="2"/>
  <c r="C1707" i="2"/>
  <c r="B1707" i="2"/>
  <c r="E1706" i="2"/>
  <c r="D1706" i="2"/>
  <c r="C1706" i="2"/>
  <c r="B1706" i="2"/>
  <c r="E1705" i="2"/>
  <c r="D1705" i="2"/>
  <c r="C1705" i="2"/>
  <c r="B1705" i="2"/>
  <c r="E1704" i="2"/>
  <c r="D1704" i="2"/>
  <c r="C1704" i="2"/>
  <c r="B1704" i="2"/>
  <c r="E1703" i="2"/>
  <c r="D1703" i="2"/>
  <c r="C1703" i="2"/>
  <c r="B1703" i="2"/>
  <c r="E1702" i="2"/>
  <c r="D1702" i="2"/>
  <c r="C1702" i="2"/>
  <c r="B1702" i="2"/>
  <c r="E1701" i="2"/>
  <c r="D1701" i="2"/>
  <c r="C1701" i="2"/>
  <c r="B1701" i="2"/>
  <c r="E1700" i="2"/>
  <c r="D1700" i="2"/>
  <c r="C1700" i="2"/>
  <c r="B1700" i="2"/>
  <c r="E1699" i="2"/>
  <c r="D1699" i="2"/>
  <c r="C1699" i="2"/>
  <c r="B1699" i="2"/>
  <c r="E1698" i="2"/>
  <c r="D1698" i="2"/>
  <c r="C1698" i="2"/>
  <c r="B1698" i="2"/>
  <c r="E1697" i="2"/>
  <c r="D1697" i="2"/>
  <c r="C1697" i="2"/>
  <c r="B1697" i="2"/>
  <c r="E1696" i="2"/>
  <c r="D1696" i="2"/>
  <c r="C1696" i="2"/>
  <c r="B1696" i="2"/>
  <c r="E1695" i="2"/>
  <c r="D1695" i="2"/>
  <c r="C1695" i="2"/>
  <c r="B1695" i="2"/>
  <c r="E1694" i="2"/>
  <c r="D1694" i="2"/>
  <c r="C1694" i="2"/>
  <c r="B1694" i="2"/>
  <c r="E1693" i="2"/>
  <c r="D1693" i="2"/>
  <c r="C1693" i="2"/>
  <c r="B1693" i="2"/>
  <c r="E1692" i="2"/>
  <c r="D1692" i="2"/>
  <c r="C1692" i="2"/>
  <c r="B1692" i="2"/>
  <c r="E1691" i="2"/>
  <c r="D1691" i="2"/>
  <c r="C1691" i="2"/>
  <c r="B1691" i="2"/>
  <c r="E1690" i="2"/>
  <c r="D1690" i="2"/>
  <c r="C1690" i="2"/>
  <c r="B1690" i="2"/>
  <c r="E1689" i="2"/>
  <c r="D1689" i="2"/>
  <c r="C1689" i="2"/>
  <c r="B1689" i="2"/>
  <c r="E1688" i="2"/>
  <c r="D1688" i="2"/>
  <c r="C1688" i="2"/>
  <c r="B1688" i="2"/>
  <c r="E1687" i="2"/>
  <c r="D1687" i="2"/>
  <c r="C1687" i="2"/>
  <c r="B1687" i="2"/>
  <c r="E1686" i="2"/>
  <c r="D1686" i="2"/>
  <c r="C1686" i="2"/>
  <c r="B1686" i="2"/>
  <c r="E1685" i="2"/>
  <c r="D1685" i="2"/>
  <c r="C1685" i="2"/>
  <c r="B1685" i="2"/>
  <c r="E1684" i="2"/>
  <c r="D1684" i="2"/>
  <c r="C1684" i="2"/>
  <c r="B1684" i="2"/>
  <c r="E1683" i="2"/>
  <c r="D1683" i="2"/>
  <c r="C1683" i="2"/>
  <c r="B1683" i="2"/>
  <c r="E1682" i="2"/>
  <c r="D1682" i="2"/>
  <c r="C1682" i="2"/>
  <c r="B1682" i="2"/>
  <c r="E1681" i="2"/>
  <c r="D1681" i="2"/>
  <c r="C1681" i="2"/>
  <c r="B1681" i="2"/>
  <c r="E1680" i="2"/>
  <c r="D1680" i="2"/>
  <c r="C1680" i="2"/>
  <c r="B1680" i="2"/>
  <c r="E1679" i="2"/>
  <c r="D1679" i="2"/>
  <c r="C1679" i="2"/>
  <c r="B1679" i="2"/>
  <c r="E1678" i="2"/>
  <c r="D1678" i="2"/>
  <c r="C1678" i="2"/>
  <c r="B1678" i="2"/>
  <c r="E1677" i="2"/>
  <c r="D1677" i="2"/>
  <c r="C1677" i="2"/>
  <c r="B1677" i="2"/>
  <c r="E1676" i="2"/>
  <c r="D1676" i="2"/>
  <c r="C1676" i="2"/>
  <c r="B1676" i="2"/>
  <c r="E1675" i="2"/>
  <c r="D1675" i="2"/>
  <c r="C1675" i="2"/>
  <c r="B1675" i="2"/>
  <c r="E1674" i="2"/>
  <c r="D1674" i="2"/>
  <c r="C1674" i="2"/>
  <c r="B1674" i="2"/>
  <c r="E1673" i="2"/>
  <c r="D1673" i="2"/>
  <c r="C1673" i="2"/>
  <c r="B1673" i="2"/>
  <c r="E1672" i="2"/>
  <c r="D1672" i="2"/>
  <c r="C1672" i="2"/>
  <c r="B1672" i="2"/>
  <c r="E1671" i="2"/>
  <c r="D1671" i="2"/>
  <c r="C1671" i="2"/>
  <c r="B1671" i="2"/>
  <c r="E1670" i="2"/>
  <c r="D1670" i="2"/>
  <c r="C1670" i="2"/>
  <c r="B1670" i="2"/>
  <c r="E1669" i="2"/>
  <c r="D1669" i="2"/>
  <c r="C1669" i="2"/>
  <c r="B1669" i="2"/>
  <c r="E1668" i="2"/>
  <c r="D1668" i="2"/>
  <c r="C1668" i="2"/>
  <c r="B1668" i="2"/>
  <c r="E1667" i="2"/>
  <c r="D1667" i="2"/>
  <c r="C1667" i="2"/>
  <c r="B1667" i="2"/>
  <c r="E1666" i="2"/>
  <c r="D1666" i="2"/>
  <c r="C1666" i="2"/>
  <c r="B1666" i="2"/>
  <c r="E1665" i="2"/>
  <c r="D1665" i="2"/>
  <c r="C1665" i="2"/>
  <c r="B1665" i="2"/>
  <c r="E1664" i="2"/>
  <c r="D1664" i="2"/>
  <c r="C1664" i="2"/>
  <c r="B1664" i="2"/>
  <c r="E1663" i="2"/>
  <c r="D1663" i="2"/>
  <c r="C1663" i="2"/>
  <c r="B1663" i="2"/>
  <c r="E1662" i="2"/>
  <c r="D1662" i="2"/>
  <c r="C1662" i="2"/>
  <c r="B1662" i="2"/>
  <c r="E1661" i="2"/>
  <c r="D1661" i="2"/>
  <c r="C1661" i="2"/>
  <c r="B1661" i="2"/>
  <c r="E1660" i="2"/>
  <c r="D1660" i="2"/>
  <c r="C1660" i="2"/>
  <c r="B1660" i="2"/>
  <c r="E1659" i="2"/>
  <c r="D1659" i="2"/>
  <c r="C1659" i="2"/>
  <c r="B1659" i="2"/>
  <c r="E1658" i="2"/>
  <c r="D1658" i="2"/>
  <c r="C1658" i="2"/>
  <c r="B1658" i="2"/>
  <c r="E1657" i="2"/>
  <c r="D1657" i="2"/>
  <c r="C1657" i="2"/>
  <c r="B1657" i="2"/>
  <c r="E1656" i="2"/>
  <c r="D1656" i="2"/>
  <c r="C1656" i="2"/>
  <c r="B1656" i="2"/>
  <c r="E1655" i="2"/>
  <c r="D1655" i="2"/>
  <c r="C1655" i="2"/>
  <c r="B1655" i="2"/>
  <c r="E1654" i="2"/>
  <c r="D1654" i="2"/>
  <c r="C1654" i="2"/>
  <c r="B1654" i="2"/>
  <c r="E1653" i="2"/>
  <c r="D1653" i="2"/>
  <c r="C1653" i="2"/>
  <c r="B1653" i="2"/>
  <c r="E1652" i="2"/>
  <c r="D1652" i="2"/>
  <c r="C1652" i="2"/>
  <c r="B1652" i="2"/>
  <c r="E1651" i="2"/>
  <c r="D1651" i="2"/>
  <c r="C1651" i="2"/>
  <c r="B1651" i="2"/>
  <c r="E1650" i="2"/>
  <c r="D1650" i="2"/>
  <c r="C1650" i="2"/>
  <c r="B1650" i="2"/>
  <c r="E1649" i="2"/>
  <c r="D1649" i="2"/>
  <c r="C1649" i="2"/>
  <c r="B1649" i="2"/>
  <c r="E1648" i="2"/>
  <c r="D1648" i="2"/>
  <c r="C1648" i="2"/>
  <c r="B1648" i="2"/>
  <c r="E1647" i="2"/>
  <c r="D1647" i="2"/>
  <c r="C1647" i="2"/>
  <c r="B1647" i="2"/>
  <c r="E1646" i="2"/>
  <c r="D1646" i="2"/>
  <c r="C1646" i="2"/>
  <c r="B1646" i="2"/>
  <c r="E1645" i="2"/>
  <c r="D1645" i="2"/>
  <c r="C1645" i="2"/>
  <c r="B1645" i="2"/>
  <c r="E1644" i="2"/>
  <c r="D1644" i="2"/>
  <c r="C1644" i="2"/>
  <c r="B1644" i="2"/>
  <c r="E1643" i="2"/>
  <c r="D1643" i="2"/>
  <c r="C1643" i="2"/>
  <c r="B1643" i="2"/>
  <c r="E1642" i="2"/>
  <c r="D1642" i="2"/>
  <c r="C1642" i="2"/>
  <c r="B1642" i="2"/>
  <c r="E1641" i="2"/>
  <c r="D1641" i="2"/>
  <c r="C1641" i="2"/>
  <c r="B1641" i="2"/>
  <c r="E1640" i="2"/>
  <c r="D1640" i="2"/>
  <c r="C1640" i="2"/>
  <c r="B1640" i="2"/>
  <c r="E1639" i="2"/>
  <c r="D1639" i="2"/>
  <c r="C1639" i="2"/>
  <c r="B1639" i="2"/>
  <c r="E1638" i="2"/>
  <c r="D1638" i="2"/>
  <c r="C1638" i="2"/>
  <c r="B1638" i="2"/>
  <c r="E1637" i="2"/>
  <c r="D1637" i="2"/>
  <c r="C1637" i="2"/>
  <c r="B1637" i="2"/>
  <c r="E1636" i="2"/>
  <c r="D1636" i="2"/>
  <c r="C1636" i="2"/>
  <c r="B1636" i="2"/>
  <c r="E1635" i="2"/>
  <c r="D1635" i="2"/>
  <c r="C1635" i="2"/>
  <c r="B1635" i="2"/>
  <c r="E1634" i="2"/>
  <c r="D1634" i="2"/>
  <c r="C1634" i="2"/>
  <c r="B1634" i="2"/>
  <c r="E1633" i="2"/>
  <c r="D1633" i="2"/>
  <c r="C1633" i="2"/>
  <c r="B1633" i="2"/>
  <c r="E1632" i="2"/>
  <c r="D1632" i="2"/>
  <c r="C1632" i="2"/>
  <c r="B1632" i="2"/>
  <c r="E1631" i="2"/>
  <c r="D1631" i="2"/>
  <c r="C1631" i="2"/>
  <c r="B1631" i="2"/>
  <c r="E1630" i="2"/>
  <c r="D1630" i="2"/>
  <c r="C1630" i="2"/>
  <c r="B1630" i="2"/>
  <c r="E1629" i="2"/>
  <c r="D1629" i="2"/>
  <c r="C1629" i="2"/>
  <c r="B1629" i="2"/>
  <c r="E1628" i="2"/>
  <c r="D1628" i="2"/>
  <c r="C1628" i="2"/>
  <c r="B1628" i="2"/>
  <c r="E1627" i="2"/>
  <c r="D1627" i="2"/>
  <c r="C1627" i="2"/>
  <c r="B1627" i="2"/>
  <c r="E1626" i="2"/>
  <c r="D1626" i="2"/>
  <c r="C1626" i="2"/>
  <c r="B1626" i="2"/>
  <c r="E1625" i="2"/>
  <c r="D1625" i="2"/>
  <c r="C1625" i="2"/>
  <c r="B1625" i="2"/>
  <c r="E1624" i="2"/>
  <c r="D1624" i="2"/>
  <c r="C1624" i="2"/>
  <c r="B1624" i="2"/>
  <c r="E1623" i="2"/>
  <c r="D1623" i="2"/>
  <c r="C1623" i="2"/>
  <c r="B1623" i="2"/>
  <c r="E1622" i="2"/>
  <c r="D1622" i="2"/>
  <c r="C1622" i="2"/>
  <c r="B1622" i="2"/>
  <c r="E1621" i="2"/>
  <c r="D1621" i="2"/>
  <c r="C1621" i="2"/>
  <c r="B1621" i="2"/>
  <c r="E1620" i="2"/>
  <c r="D1620" i="2"/>
  <c r="C1620" i="2"/>
  <c r="B1620" i="2"/>
  <c r="E1619" i="2"/>
  <c r="D1619" i="2"/>
  <c r="C1619" i="2"/>
  <c r="B1619" i="2"/>
  <c r="E1618" i="2"/>
  <c r="D1618" i="2"/>
  <c r="C1618" i="2"/>
  <c r="B1618" i="2"/>
  <c r="E1617" i="2"/>
  <c r="D1617" i="2"/>
  <c r="C1617" i="2"/>
  <c r="B1617" i="2"/>
  <c r="E1616" i="2"/>
  <c r="D1616" i="2"/>
  <c r="C1616" i="2"/>
  <c r="B1616" i="2"/>
  <c r="E1615" i="2"/>
  <c r="D1615" i="2"/>
  <c r="C1615" i="2"/>
  <c r="B1615" i="2"/>
  <c r="E1614" i="2"/>
  <c r="D1614" i="2"/>
  <c r="C1614" i="2"/>
  <c r="B1614" i="2"/>
  <c r="E1613" i="2"/>
  <c r="D1613" i="2"/>
  <c r="C1613" i="2"/>
  <c r="B1613" i="2"/>
  <c r="E1612" i="2"/>
  <c r="D1612" i="2"/>
  <c r="C1612" i="2"/>
  <c r="B1612" i="2"/>
  <c r="E1611" i="2"/>
  <c r="D1611" i="2"/>
  <c r="C1611" i="2"/>
  <c r="B1611" i="2"/>
  <c r="E1610" i="2"/>
  <c r="D1610" i="2"/>
  <c r="C1610" i="2"/>
  <c r="B1610" i="2"/>
  <c r="E1609" i="2"/>
  <c r="D1609" i="2"/>
  <c r="C1609" i="2"/>
  <c r="B1609" i="2"/>
  <c r="E1608" i="2"/>
  <c r="D1608" i="2"/>
  <c r="C1608" i="2"/>
  <c r="B1608" i="2"/>
  <c r="E1607" i="2"/>
  <c r="D1607" i="2"/>
  <c r="C1607" i="2"/>
  <c r="B1607" i="2"/>
  <c r="E1606" i="2"/>
  <c r="D1606" i="2"/>
  <c r="C1606" i="2"/>
  <c r="B1606" i="2"/>
  <c r="E1605" i="2"/>
  <c r="D1605" i="2"/>
  <c r="C1605" i="2"/>
  <c r="B1605" i="2"/>
  <c r="E1604" i="2"/>
  <c r="D1604" i="2"/>
  <c r="C1604" i="2"/>
  <c r="B1604" i="2"/>
  <c r="E1603" i="2"/>
  <c r="D1603" i="2"/>
  <c r="C1603" i="2"/>
  <c r="B1603" i="2"/>
  <c r="E1602" i="2"/>
  <c r="D1602" i="2"/>
  <c r="C1602" i="2"/>
  <c r="B1602" i="2"/>
  <c r="E1601" i="2"/>
  <c r="D1601" i="2"/>
  <c r="C1601" i="2"/>
  <c r="B1601" i="2"/>
  <c r="E1600" i="2"/>
  <c r="D1600" i="2"/>
  <c r="C1600" i="2"/>
  <c r="B1600" i="2"/>
  <c r="E1599" i="2"/>
  <c r="D1599" i="2"/>
  <c r="C1599" i="2"/>
  <c r="B1599" i="2"/>
  <c r="E1598" i="2"/>
  <c r="D1598" i="2"/>
  <c r="C1598" i="2"/>
  <c r="B1598" i="2"/>
  <c r="E1597" i="2"/>
  <c r="D1597" i="2"/>
  <c r="C1597" i="2"/>
  <c r="B1597" i="2"/>
  <c r="E1596" i="2"/>
  <c r="D1596" i="2"/>
  <c r="C1596" i="2"/>
  <c r="B1596" i="2"/>
  <c r="E1595" i="2"/>
  <c r="D1595" i="2"/>
  <c r="C1595" i="2"/>
  <c r="B1595" i="2"/>
  <c r="E1594" i="2"/>
  <c r="D1594" i="2"/>
  <c r="C1594" i="2"/>
  <c r="B1594" i="2"/>
  <c r="E1593" i="2"/>
  <c r="D1593" i="2"/>
  <c r="C1593" i="2"/>
  <c r="B1593" i="2"/>
  <c r="E1592" i="2"/>
  <c r="D1592" i="2"/>
  <c r="C1592" i="2"/>
  <c r="B1592" i="2"/>
  <c r="E1591" i="2"/>
  <c r="D1591" i="2"/>
  <c r="C1591" i="2"/>
  <c r="B1591" i="2"/>
  <c r="E1590" i="2"/>
  <c r="D1590" i="2"/>
  <c r="C1590" i="2"/>
  <c r="B1590" i="2"/>
  <c r="E1589" i="2"/>
  <c r="D1589" i="2"/>
  <c r="C1589" i="2"/>
  <c r="B1589" i="2"/>
  <c r="E1588" i="2"/>
  <c r="D1588" i="2"/>
  <c r="C1588" i="2"/>
  <c r="B1588" i="2"/>
  <c r="E1587" i="2"/>
  <c r="D1587" i="2"/>
  <c r="C1587" i="2"/>
  <c r="B1587" i="2"/>
  <c r="E1586" i="2"/>
  <c r="D1586" i="2"/>
  <c r="C1586" i="2"/>
  <c r="B1586" i="2"/>
  <c r="E1585" i="2"/>
  <c r="D1585" i="2"/>
  <c r="C1585" i="2"/>
  <c r="B1585" i="2"/>
  <c r="E1584" i="2"/>
  <c r="D1584" i="2"/>
  <c r="C1584" i="2"/>
  <c r="B1584" i="2"/>
  <c r="E1583" i="2"/>
  <c r="D1583" i="2"/>
  <c r="C1583" i="2"/>
  <c r="B1583" i="2"/>
  <c r="E1582" i="2"/>
  <c r="D1582" i="2"/>
  <c r="C1582" i="2"/>
  <c r="B1582" i="2"/>
  <c r="E1581" i="2"/>
  <c r="D1581" i="2"/>
  <c r="C1581" i="2"/>
  <c r="B1581" i="2"/>
  <c r="E1580" i="2"/>
  <c r="D1580" i="2"/>
  <c r="C1580" i="2"/>
  <c r="B1580" i="2"/>
  <c r="E1579" i="2"/>
  <c r="D1579" i="2"/>
  <c r="C1579" i="2"/>
  <c r="B1579" i="2"/>
  <c r="E1578" i="2"/>
  <c r="D1578" i="2"/>
  <c r="C1578" i="2"/>
  <c r="B1578" i="2"/>
  <c r="E1577" i="2"/>
  <c r="D1577" i="2"/>
  <c r="C1577" i="2"/>
  <c r="B1577" i="2"/>
  <c r="E1576" i="2"/>
  <c r="D1576" i="2"/>
  <c r="C1576" i="2"/>
  <c r="B1576" i="2"/>
  <c r="E1575" i="2"/>
  <c r="D1575" i="2"/>
  <c r="C1575" i="2"/>
  <c r="B1575" i="2"/>
  <c r="E1574" i="2"/>
  <c r="D1574" i="2"/>
  <c r="C1574" i="2"/>
  <c r="B1574" i="2"/>
  <c r="E1573" i="2"/>
  <c r="D1573" i="2"/>
  <c r="C1573" i="2"/>
  <c r="B1573" i="2"/>
  <c r="E1572" i="2"/>
  <c r="D1572" i="2"/>
  <c r="C1572" i="2"/>
  <c r="B1572" i="2"/>
  <c r="E1571" i="2"/>
  <c r="D1571" i="2"/>
  <c r="C1571" i="2"/>
  <c r="B1571" i="2"/>
  <c r="E1570" i="2"/>
  <c r="D1570" i="2"/>
  <c r="C1570" i="2"/>
  <c r="B1570" i="2"/>
  <c r="E1569" i="2"/>
  <c r="D1569" i="2"/>
  <c r="C1569" i="2"/>
  <c r="B1569" i="2"/>
  <c r="E1568" i="2"/>
  <c r="D1568" i="2"/>
  <c r="C1568" i="2"/>
  <c r="B1568" i="2"/>
  <c r="E1567" i="2"/>
  <c r="D1567" i="2"/>
  <c r="C1567" i="2"/>
  <c r="B1567" i="2"/>
  <c r="E1566" i="2"/>
  <c r="D1566" i="2"/>
  <c r="C1566" i="2"/>
  <c r="B1566" i="2"/>
  <c r="E1565" i="2"/>
  <c r="D1565" i="2"/>
  <c r="C1565" i="2"/>
  <c r="B1565" i="2"/>
  <c r="E1564" i="2"/>
  <c r="D1564" i="2"/>
  <c r="C1564" i="2"/>
  <c r="B1564" i="2"/>
  <c r="E1563" i="2"/>
  <c r="D1563" i="2"/>
  <c r="C1563" i="2"/>
  <c r="B1563" i="2"/>
  <c r="E1562" i="2"/>
  <c r="D1562" i="2"/>
  <c r="C1562" i="2"/>
  <c r="B1562" i="2"/>
  <c r="E1561" i="2"/>
  <c r="D1561" i="2"/>
  <c r="C1561" i="2"/>
  <c r="B1561" i="2"/>
  <c r="E1560" i="2"/>
  <c r="D1560" i="2"/>
  <c r="C1560" i="2"/>
  <c r="B1560" i="2"/>
  <c r="E1559" i="2"/>
  <c r="D1559" i="2"/>
  <c r="C1559" i="2"/>
  <c r="B1559" i="2"/>
  <c r="E1558" i="2"/>
  <c r="D1558" i="2"/>
  <c r="C1558" i="2"/>
  <c r="B1558" i="2"/>
  <c r="E1557" i="2"/>
  <c r="D1557" i="2"/>
  <c r="C1557" i="2"/>
  <c r="B1557" i="2"/>
  <c r="E1556" i="2"/>
  <c r="D1556" i="2"/>
  <c r="C1556" i="2"/>
  <c r="B1556" i="2"/>
  <c r="E1555" i="2"/>
  <c r="D1555" i="2"/>
  <c r="C1555" i="2"/>
  <c r="B1555" i="2"/>
  <c r="E1554" i="2"/>
  <c r="D1554" i="2"/>
  <c r="C1554" i="2"/>
  <c r="B1554" i="2"/>
  <c r="E1553" i="2"/>
  <c r="D1553" i="2"/>
  <c r="C1553" i="2"/>
  <c r="B1553" i="2"/>
  <c r="E1552" i="2"/>
  <c r="D1552" i="2"/>
  <c r="C1552" i="2"/>
  <c r="B1552" i="2"/>
  <c r="E1551" i="2"/>
  <c r="D1551" i="2"/>
  <c r="C1551" i="2"/>
  <c r="B1551" i="2"/>
  <c r="E1550" i="2"/>
  <c r="D1550" i="2"/>
  <c r="C1550" i="2"/>
  <c r="B1550" i="2"/>
  <c r="E1549" i="2"/>
  <c r="D1549" i="2"/>
  <c r="C1549" i="2"/>
  <c r="B1549" i="2"/>
  <c r="E1548" i="2"/>
  <c r="D1548" i="2"/>
  <c r="C1548" i="2"/>
  <c r="B1548" i="2"/>
  <c r="E1547" i="2"/>
  <c r="D1547" i="2"/>
  <c r="C1547" i="2"/>
  <c r="B1547" i="2"/>
  <c r="E1546" i="2"/>
  <c r="D1546" i="2"/>
  <c r="C1546" i="2"/>
  <c r="B1546" i="2"/>
  <c r="E1545" i="2"/>
  <c r="D1545" i="2"/>
  <c r="C1545" i="2"/>
  <c r="B1545" i="2"/>
  <c r="E1544" i="2"/>
  <c r="D1544" i="2"/>
  <c r="C1544" i="2"/>
  <c r="B1544" i="2"/>
  <c r="E1543" i="2"/>
  <c r="D1543" i="2"/>
  <c r="C1543" i="2"/>
  <c r="B1543" i="2"/>
  <c r="E1542" i="2"/>
  <c r="D1542" i="2"/>
  <c r="C1542" i="2"/>
  <c r="B1542" i="2"/>
  <c r="E1541" i="2"/>
  <c r="D1541" i="2"/>
  <c r="C1541" i="2"/>
  <c r="B1541" i="2"/>
  <c r="E1540" i="2"/>
  <c r="D1540" i="2"/>
  <c r="C1540" i="2"/>
  <c r="B1540" i="2"/>
  <c r="E1539" i="2"/>
  <c r="D1539" i="2"/>
  <c r="C1539" i="2"/>
  <c r="B1539" i="2"/>
  <c r="E1538" i="2"/>
  <c r="D1538" i="2"/>
  <c r="C1538" i="2"/>
  <c r="B1538" i="2"/>
  <c r="E1537" i="2"/>
  <c r="D1537" i="2"/>
  <c r="C1537" i="2"/>
  <c r="B1537" i="2"/>
  <c r="E1536" i="2"/>
  <c r="D1536" i="2"/>
  <c r="C1536" i="2"/>
  <c r="B1536" i="2"/>
  <c r="E1535" i="2"/>
  <c r="D1535" i="2"/>
  <c r="C1535" i="2"/>
  <c r="B1535" i="2"/>
  <c r="E1534" i="2"/>
  <c r="D1534" i="2"/>
  <c r="C1534" i="2"/>
  <c r="B1534" i="2"/>
  <c r="E1533" i="2"/>
  <c r="D1533" i="2"/>
  <c r="C1533" i="2"/>
  <c r="B1533" i="2"/>
  <c r="E1532" i="2"/>
  <c r="D1532" i="2"/>
  <c r="C1532" i="2"/>
  <c r="B1532" i="2"/>
  <c r="E1531" i="2"/>
  <c r="D1531" i="2"/>
  <c r="C1531" i="2"/>
  <c r="B1531" i="2"/>
  <c r="E1530" i="2"/>
  <c r="D1530" i="2"/>
  <c r="C1530" i="2"/>
  <c r="B1530" i="2"/>
  <c r="E1529" i="2"/>
  <c r="D1529" i="2"/>
  <c r="C1529" i="2"/>
  <c r="B1529" i="2"/>
  <c r="E1528" i="2"/>
  <c r="D1528" i="2"/>
  <c r="C1528" i="2"/>
  <c r="B1528" i="2"/>
  <c r="E1527" i="2"/>
  <c r="D1527" i="2"/>
  <c r="C1527" i="2"/>
  <c r="B1527" i="2"/>
  <c r="E1526" i="2"/>
  <c r="D1526" i="2"/>
  <c r="C1526" i="2"/>
  <c r="B1526" i="2"/>
  <c r="E1525" i="2"/>
  <c r="D1525" i="2"/>
  <c r="C1525" i="2"/>
  <c r="B1525" i="2"/>
  <c r="E1524" i="2"/>
  <c r="D1524" i="2"/>
  <c r="C1524" i="2"/>
  <c r="B1524" i="2"/>
  <c r="E1523" i="2"/>
  <c r="D1523" i="2"/>
  <c r="C1523" i="2"/>
  <c r="B1523" i="2"/>
  <c r="E1522" i="2"/>
  <c r="D1522" i="2"/>
  <c r="C1522" i="2"/>
  <c r="B1522" i="2"/>
  <c r="E1521" i="2"/>
  <c r="D1521" i="2"/>
  <c r="C1521" i="2"/>
  <c r="B1521" i="2"/>
  <c r="E1520" i="2"/>
  <c r="D1520" i="2"/>
  <c r="C1520" i="2"/>
  <c r="B1520" i="2"/>
  <c r="E1519" i="2"/>
  <c r="D1519" i="2"/>
  <c r="C1519" i="2"/>
  <c r="B1519" i="2"/>
  <c r="E1518" i="2"/>
  <c r="D1518" i="2"/>
  <c r="C1518" i="2"/>
  <c r="B1518" i="2"/>
  <c r="E1517" i="2"/>
  <c r="D1517" i="2"/>
  <c r="C1517" i="2"/>
  <c r="B1517" i="2"/>
  <c r="E1516" i="2"/>
  <c r="D1516" i="2"/>
  <c r="C1516" i="2"/>
  <c r="B1516" i="2"/>
  <c r="E1515" i="2"/>
  <c r="D1515" i="2"/>
  <c r="C1515" i="2"/>
  <c r="B1515" i="2"/>
  <c r="E1514" i="2"/>
  <c r="D1514" i="2"/>
  <c r="C1514" i="2"/>
  <c r="B1514" i="2"/>
  <c r="E1513" i="2"/>
  <c r="D1513" i="2"/>
  <c r="C1513" i="2"/>
  <c r="B1513" i="2"/>
  <c r="E1512" i="2"/>
  <c r="D1512" i="2"/>
  <c r="C1512" i="2"/>
  <c r="B1512" i="2"/>
  <c r="E1511" i="2"/>
  <c r="D1511" i="2"/>
  <c r="C1511" i="2"/>
  <c r="B1511" i="2"/>
  <c r="E1510" i="2"/>
  <c r="D1510" i="2"/>
  <c r="C1510" i="2"/>
  <c r="B1510" i="2"/>
  <c r="E1509" i="2"/>
  <c r="D1509" i="2"/>
  <c r="C1509" i="2"/>
  <c r="B1509" i="2"/>
  <c r="E1508" i="2"/>
  <c r="D1508" i="2"/>
  <c r="C1508" i="2"/>
  <c r="B1508" i="2"/>
  <c r="E1507" i="2"/>
  <c r="D1507" i="2"/>
  <c r="C1507" i="2"/>
  <c r="B1507" i="2"/>
  <c r="E1506" i="2"/>
  <c r="D1506" i="2"/>
  <c r="C1506" i="2"/>
  <c r="B1506" i="2"/>
  <c r="E1505" i="2"/>
  <c r="D1505" i="2"/>
  <c r="C1505" i="2"/>
  <c r="B1505" i="2"/>
  <c r="E1504" i="2"/>
  <c r="D1504" i="2"/>
  <c r="C1504" i="2"/>
  <c r="B1504" i="2"/>
  <c r="E1503" i="2"/>
  <c r="D1503" i="2"/>
  <c r="C1503" i="2"/>
  <c r="B1503" i="2"/>
  <c r="E1502" i="2"/>
  <c r="D1502" i="2"/>
  <c r="C1502" i="2"/>
  <c r="B1502" i="2"/>
  <c r="E1501" i="2"/>
  <c r="D1501" i="2"/>
  <c r="C1501" i="2"/>
  <c r="B1501" i="2"/>
  <c r="E1500" i="2"/>
  <c r="D1500" i="2"/>
  <c r="C1500" i="2"/>
  <c r="B1500" i="2"/>
  <c r="E1499" i="2"/>
  <c r="D1499" i="2"/>
  <c r="C1499" i="2"/>
  <c r="B1499" i="2"/>
  <c r="E1498" i="2"/>
  <c r="D1498" i="2"/>
  <c r="C1498" i="2"/>
  <c r="B1498" i="2"/>
  <c r="E1497" i="2"/>
  <c r="D1497" i="2"/>
  <c r="C1497" i="2"/>
  <c r="B1497" i="2"/>
  <c r="E1496" i="2"/>
  <c r="D1496" i="2"/>
  <c r="C1496" i="2"/>
  <c r="B1496" i="2"/>
  <c r="E1495" i="2"/>
  <c r="D1495" i="2"/>
  <c r="C1495" i="2"/>
  <c r="B1495" i="2"/>
  <c r="E1494" i="2"/>
  <c r="D1494" i="2"/>
  <c r="C1494" i="2"/>
  <c r="B1494" i="2"/>
  <c r="E1493" i="2"/>
  <c r="D1493" i="2"/>
  <c r="C1493" i="2"/>
  <c r="B1493" i="2"/>
  <c r="E1492" i="2"/>
  <c r="D1492" i="2"/>
  <c r="C1492" i="2"/>
  <c r="B1492" i="2"/>
  <c r="E1491" i="2"/>
  <c r="D1491" i="2"/>
  <c r="C1491" i="2"/>
  <c r="B1491" i="2"/>
  <c r="E1490" i="2"/>
  <c r="D1490" i="2"/>
  <c r="C1490" i="2"/>
  <c r="B1490" i="2"/>
  <c r="E1489" i="2"/>
  <c r="D1489" i="2"/>
  <c r="C1489" i="2"/>
  <c r="B1489" i="2"/>
  <c r="E1488" i="2"/>
  <c r="D1488" i="2"/>
  <c r="C1488" i="2"/>
  <c r="B1488" i="2"/>
  <c r="E1487" i="2"/>
  <c r="D1487" i="2"/>
  <c r="C1487" i="2"/>
  <c r="B1487" i="2"/>
  <c r="E1486" i="2"/>
  <c r="D1486" i="2"/>
  <c r="C1486" i="2"/>
  <c r="B1486" i="2"/>
  <c r="E1485" i="2"/>
  <c r="D1485" i="2"/>
  <c r="C1485" i="2"/>
  <c r="B1485" i="2"/>
  <c r="E1484" i="2"/>
  <c r="D1484" i="2"/>
  <c r="C1484" i="2"/>
  <c r="B1484" i="2"/>
  <c r="E1483" i="2"/>
  <c r="D1483" i="2"/>
  <c r="C1483" i="2"/>
  <c r="B1483" i="2"/>
  <c r="E1482" i="2"/>
  <c r="D1482" i="2"/>
  <c r="C1482" i="2"/>
  <c r="B1482" i="2"/>
  <c r="E1481" i="2"/>
  <c r="D1481" i="2"/>
  <c r="C1481" i="2"/>
  <c r="B1481" i="2"/>
  <c r="E1480" i="2"/>
  <c r="D1480" i="2"/>
  <c r="C1480" i="2"/>
  <c r="B1480" i="2"/>
  <c r="E1479" i="2"/>
  <c r="D1479" i="2"/>
  <c r="C1479" i="2"/>
  <c r="B1479" i="2"/>
  <c r="E1478" i="2"/>
  <c r="D1478" i="2"/>
  <c r="C1478" i="2"/>
  <c r="B1478" i="2"/>
  <c r="E1477" i="2"/>
  <c r="D1477" i="2"/>
  <c r="C1477" i="2"/>
  <c r="B1477" i="2"/>
  <c r="E1476" i="2"/>
  <c r="D1476" i="2"/>
  <c r="C1476" i="2"/>
  <c r="B1476" i="2"/>
  <c r="E1475" i="2"/>
  <c r="D1475" i="2"/>
  <c r="C1475" i="2"/>
  <c r="B1475" i="2"/>
  <c r="E1474" i="2"/>
  <c r="D1474" i="2"/>
  <c r="C1474" i="2"/>
  <c r="B1474" i="2"/>
  <c r="E1473" i="2"/>
  <c r="D1473" i="2"/>
  <c r="C1473" i="2"/>
  <c r="B1473" i="2"/>
  <c r="E1472" i="2"/>
  <c r="D1472" i="2"/>
  <c r="C1472" i="2"/>
  <c r="B1472" i="2"/>
  <c r="E1471" i="2"/>
  <c r="D1471" i="2"/>
  <c r="C1471" i="2"/>
  <c r="B1471" i="2"/>
  <c r="E1470" i="2"/>
  <c r="D1470" i="2"/>
  <c r="C1470" i="2"/>
  <c r="B1470" i="2"/>
  <c r="E1469" i="2"/>
  <c r="D1469" i="2"/>
  <c r="C1469" i="2"/>
  <c r="B1469" i="2"/>
  <c r="E1468" i="2"/>
  <c r="D1468" i="2"/>
  <c r="C1468" i="2"/>
  <c r="B1468" i="2"/>
  <c r="E1467" i="2"/>
  <c r="D1467" i="2"/>
  <c r="C1467" i="2"/>
  <c r="B1467" i="2"/>
  <c r="E1466" i="2"/>
  <c r="D1466" i="2"/>
  <c r="C1466" i="2"/>
  <c r="B1466" i="2"/>
  <c r="E1465" i="2"/>
  <c r="D1465" i="2"/>
  <c r="C1465" i="2"/>
  <c r="B1465" i="2"/>
  <c r="E1464" i="2"/>
  <c r="D1464" i="2"/>
  <c r="C1464" i="2"/>
  <c r="B1464" i="2"/>
  <c r="E1463" i="2"/>
  <c r="D1463" i="2"/>
  <c r="C1463" i="2"/>
  <c r="B1463" i="2"/>
  <c r="E1462" i="2"/>
  <c r="D1462" i="2"/>
  <c r="C1462" i="2"/>
  <c r="B1462" i="2"/>
  <c r="E1461" i="2"/>
  <c r="D1461" i="2"/>
  <c r="C1461" i="2"/>
  <c r="B1461" i="2"/>
  <c r="E1460" i="2"/>
  <c r="D1460" i="2"/>
  <c r="C1460" i="2"/>
  <c r="B1460" i="2"/>
  <c r="E1459" i="2"/>
  <c r="D1459" i="2"/>
  <c r="C1459" i="2"/>
  <c r="B1459" i="2"/>
  <c r="E1458" i="2"/>
  <c r="D1458" i="2"/>
  <c r="C1458" i="2"/>
  <c r="B1458" i="2"/>
  <c r="E1457" i="2"/>
  <c r="D1457" i="2"/>
  <c r="C1457" i="2"/>
  <c r="B1457" i="2"/>
  <c r="E1456" i="2"/>
  <c r="D1456" i="2"/>
  <c r="C1456" i="2"/>
  <c r="B1456" i="2"/>
  <c r="E1455" i="2"/>
  <c r="D1455" i="2"/>
  <c r="C1455" i="2"/>
  <c r="B1455" i="2"/>
  <c r="E1454" i="2"/>
  <c r="D1454" i="2"/>
  <c r="C1454" i="2"/>
  <c r="B1454" i="2"/>
  <c r="E1453" i="2"/>
  <c r="D1453" i="2"/>
  <c r="C1453" i="2"/>
  <c r="B1453" i="2"/>
  <c r="E1452" i="2"/>
  <c r="D1452" i="2"/>
  <c r="C1452" i="2"/>
  <c r="B1452" i="2"/>
  <c r="E1451" i="2"/>
  <c r="D1451" i="2"/>
  <c r="C1451" i="2"/>
  <c r="B1451" i="2"/>
  <c r="E1450" i="2"/>
  <c r="D1450" i="2"/>
  <c r="C1450" i="2"/>
  <c r="B1450" i="2"/>
  <c r="E1449" i="2"/>
  <c r="D1449" i="2"/>
  <c r="C1449" i="2"/>
  <c r="B1449" i="2"/>
  <c r="E1448" i="2"/>
  <c r="D1448" i="2"/>
  <c r="C1448" i="2"/>
  <c r="B1448" i="2"/>
  <c r="E1447" i="2"/>
  <c r="D1447" i="2"/>
  <c r="C1447" i="2"/>
  <c r="B1447" i="2"/>
  <c r="E1446" i="2"/>
  <c r="D1446" i="2"/>
  <c r="C1446" i="2"/>
  <c r="B1446" i="2"/>
  <c r="E1445" i="2"/>
  <c r="D1445" i="2"/>
  <c r="C1445" i="2"/>
  <c r="B1445" i="2"/>
  <c r="E1444" i="2"/>
  <c r="D1444" i="2"/>
  <c r="C1444" i="2"/>
  <c r="B1444" i="2"/>
  <c r="E1443" i="2"/>
  <c r="D1443" i="2"/>
  <c r="C1443" i="2"/>
  <c r="B1443" i="2"/>
  <c r="E1442" i="2"/>
  <c r="D1442" i="2"/>
  <c r="C1442" i="2"/>
  <c r="B1442" i="2"/>
  <c r="E1441" i="2"/>
  <c r="D1441" i="2"/>
  <c r="C1441" i="2"/>
  <c r="B1441" i="2"/>
  <c r="E1440" i="2"/>
  <c r="D1440" i="2"/>
  <c r="C1440" i="2"/>
  <c r="B1440" i="2"/>
  <c r="E1439" i="2"/>
  <c r="D1439" i="2"/>
  <c r="C1439" i="2"/>
  <c r="B1439" i="2"/>
  <c r="E1438" i="2"/>
  <c r="D1438" i="2"/>
  <c r="C1438" i="2"/>
  <c r="B1438" i="2"/>
  <c r="E1437" i="2"/>
  <c r="D1437" i="2"/>
  <c r="C1437" i="2"/>
  <c r="B1437" i="2"/>
  <c r="E1436" i="2"/>
  <c r="D1436" i="2"/>
  <c r="C1436" i="2"/>
  <c r="B1436" i="2"/>
  <c r="E1435" i="2"/>
  <c r="D1435" i="2"/>
  <c r="C1435" i="2"/>
  <c r="B1435" i="2"/>
  <c r="E1434" i="2"/>
  <c r="D1434" i="2"/>
  <c r="C1434" i="2"/>
  <c r="B1434" i="2"/>
  <c r="E1433" i="2"/>
  <c r="D1433" i="2"/>
  <c r="C1433" i="2"/>
  <c r="B1433" i="2"/>
  <c r="E1432" i="2"/>
  <c r="D1432" i="2"/>
  <c r="C1432" i="2"/>
  <c r="B1432" i="2"/>
  <c r="E1431" i="2"/>
  <c r="D1431" i="2"/>
  <c r="C1431" i="2"/>
  <c r="B1431" i="2"/>
  <c r="E1430" i="2"/>
  <c r="D1430" i="2"/>
  <c r="C1430" i="2"/>
  <c r="B1430" i="2"/>
  <c r="E1429" i="2"/>
  <c r="D1429" i="2"/>
  <c r="C1429" i="2"/>
  <c r="B1429" i="2"/>
  <c r="E1428" i="2"/>
  <c r="D1428" i="2"/>
  <c r="C1428" i="2"/>
  <c r="B1428" i="2"/>
  <c r="E1427" i="2"/>
  <c r="D1427" i="2"/>
  <c r="C1427" i="2"/>
  <c r="B1427" i="2"/>
  <c r="E1426" i="2"/>
  <c r="D1426" i="2"/>
  <c r="C1426" i="2"/>
  <c r="B1426" i="2"/>
  <c r="E1425" i="2"/>
  <c r="D1425" i="2"/>
  <c r="C1425" i="2"/>
  <c r="B1425" i="2"/>
  <c r="E1424" i="2"/>
  <c r="D1424" i="2"/>
  <c r="C1424" i="2"/>
  <c r="B1424" i="2"/>
  <c r="E1423" i="2"/>
  <c r="D1423" i="2"/>
  <c r="C1423" i="2"/>
  <c r="B1423" i="2"/>
  <c r="E1422" i="2"/>
  <c r="D1422" i="2"/>
  <c r="C1422" i="2"/>
  <c r="B1422" i="2"/>
  <c r="E1421" i="2"/>
  <c r="D1421" i="2"/>
  <c r="C1421" i="2"/>
  <c r="B1421" i="2"/>
  <c r="E1420" i="2"/>
  <c r="D1420" i="2"/>
  <c r="C1420" i="2"/>
  <c r="B1420" i="2"/>
  <c r="E1419" i="2"/>
  <c r="D1419" i="2"/>
  <c r="C1419" i="2"/>
  <c r="B1419" i="2"/>
  <c r="E1418" i="2"/>
  <c r="D1418" i="2"/>
  <c r="C1418" i="2"/>
  <c r="B1418" i="2"/>
  <c r="E1417" i="2"/>
  <c r="D1417" i="2"/>
  <c r="C1417" i="2"/>
  <c r="B1417" i="2"/>
  <c r="E1416" i="2"/>
  <c r="D1416" i="2"/>
  <c r="C1416" i="2"/>
  <c r="B1416" i="2"/>
  <c r="E1415" i="2"/>
  <c r="D1415" i="2"/>
  <c r="C1415" i="2"/>
  <c r="B1415" i="2"/>
  <c r="E1414" i="2"/>
  <c r="D1414" i="2"/>
  <c r="C1414" i="2"/>
  <c r="B1414" i="2"/>
  <c r="E1413" i="2"/>
  <c r="D1413" i="2"/>
  <c r="C1413" i="2"/>
  <c r="B1413" i="2"/>
  <c r="E1412" i="2"/>
  <c r="D1412" i="2"/>
  <c r="C1412" i="2"/>
  <c r="B1412" i="2"/>
  <c r="E1411" i="2"/>
  <c r="D1411" i="2"/>
  <c r="C1411" i="2"/>
  <c r="B1411" i="2"/>
  <c r="E1410" i="2"/>
  <c r="D1410" i="2"/>
  <c r="C1410" i="2"/>
  <c r="B1410" i="2"/>
  <c r="E1409" i="2"/>
  <c r="D1409" i="2"/>
  <c r="C1409" i="2"/>
  <c r="B1409" i="2"/>
  <c r="E1408" i="2"/>
  <c r="D1408" i="2"/>
  <c r="C1408" i="2"/>
  <c r="B1408" i="2"/>
  <c r="E1407" i="2"/>
  <c r="D1407" i="2"/>
  <c r="C1407" i="2"/>
  <c r="B1407" i="2"/>
  <c r="E1406" i="2"/>
  <c r="D1406" i="2"/>
  <c r="C1406" i="2"/>
  <c r="B1406" i="2"/>
  <c r="E1405" i="2"/>
  <c r="D1405" i="2"/>
  <c r="C1405" i="2"/>
  <c r="B1405" i="2"/>
  <c r="E1404" i="2"/>
  <c r="D1404" i="2"/>
  <c r="C1404" i="2"/>
  <c r="B1404" i="2"/>
  <c r="E1403" i="2"/>
  <c r="D1403" i="2"/>
  <c r="C1403" i="2"/>
  <c r="B1403" i="2"/>
  <c r="E1402" i="2"/>
  <c r="D1402" i="2"/>
  <c r="C1402" i="2"/>
  <c r="B1402" i="2"/>
  <c r="E1401" i="2"/>
  <c r="D1401" i="2"/>
  <c r="C1401" i="2"/>
  <c r="B1401" i="2"/>
  <c r="E1400" i="2"/>
  <c r="D1400" i="2"/>
  <c r="C1400" i="2"/>
  <c r="B1400" i="2"/>
  <c r="E1399" i="2"/>
  <c r="D1399" i="2"/>
  <c r="C1399" i="2"/>
  <c r="B1399" i="2"/>
  <c r="E1398" i="2"/>
  <c r="D1398" i="2"/>
  <c r="C1398" i="2"/>
  <c r="B1398" i="2"/>
  <c r="E1397" i="2"/>
  <c r="D1397" i="2"/>
  <c r="C1397" i="2"/>
  <c r="B1397" i="2"/>
  <c r="E1396" i="2"/>
  <c r="D1396" i="2"/>
  <c r="C1396" i="2"/>
  <c r="B1396" i="2"/>
  <c r="E1395" i="2"/>
  <c r="D1395" i="2"/>
  <c r="C1395" i="2"/>
  <c r="B1395" i="2"/>
  <c r="E1394" i="2"/>
  <c r="D1394" i="2"/>
  <c r="C1394" i="2"/>
  <c r="B1394" i="2"/>
  <c r="E1393" i="2"/>
  <c r="D1393" i="2"/>
  <c r="C1393" i="2"/>
  <c r="B1393" i="2"/>
  <c r="E1392" i="2"/>
  <c r="D1392" i="2"/>
  <c r="C1392" i="2"/>
  <c r="B1392" i="2"/>
  <c r="E1391" i="2"/>
  <c r="D1391" i="2"/>
  <c r="C1391" i="2"/>
  <c r="B1391" i="2"/>
  <c r="E1390" i="2"/>
  <c r="D1390" i="2"/>
  <c r="C1390" i="2"/>
  <c r="B1390" i="2"/>
  <c r="E1389" i="2"/>
  <c r="D1389" i="2"/>
  <c r="C1389" i="2"/>
  <c r="B1389" i="2"/>
  <c r="E1388" i="2"/>
  <c r="D1388" i="2"/>
  <c r="C1388" i="2"/>
  <c r="B1388" i="2"/>
  <c r="E1387" i="2"/>
  <c r="D1387" i="2"/>
  <c r="C1387" i="2"/>
  <c r="B1387" i="2"/>
  <c r="E1386" i="2"/>
  <c r="D1386" i="2"/>
  <c r="C1386" i="2"/>
  <c r="B1386" i="2"/>
  <c r="E1385" i="2"/>
  <c r="D1385" i="2"/>
  <c r="C1385" i="2"/>
  <c r="B1385" i="2"/>
  <c r="E1384" i="2"/>
  <c r="D1384" i="2"/>
  <c r="C1384" i="2"/>
  <c r="B1384" i="2"/>
  <c r="E1383" i="2"/>
  <c r="D1383" i="2"/>
  <c r="C1383" i="2"/>
  <c r="B1383" i="2"/>
  <c r="E1382" i="2"/>
  <c r="D1382" i="2"/>
  <c r="C1382" i="2"/>
  <c r="B1382" i="2"/>
  <c r="E1381" i="2"/>
  <c r="D1381" i="2"/>
  <c r="C1381" i="2"/>
  <c r="B1381" i="2"/>
  <c r="E1380" i="2"/>
  <c r="D1380" i="2"/>
  <c r="C1380" i="2"/>
  <c r="B1380" i="2"/>
  <c r="E1379" i="2"/>
  <c r="D1379" i="2"/>
  <c r="C1379" i="2"/>
  <c r="B1379" i="2"/>
  <c r="E1378" i="2"/>
  <c r="D1378" i="2"/>
  <c r="C1378" i="2"/>
  <c r="B1378" i="2"/>
  <c r="E1377" i="2"/>
  <c r="D1377" i="2"/>
  <c r="C1377" i="2"/>
  <c r="B1377" i="2"/>
  <c r="E1376" i="2"/>
  <c r="D1376" i="2"/>
  <c r="C1376" i="2"/>
  <c r="B1376" i="2"/>
  <c r="E1375" i="2"/>
  <c r="D1375" i="2"/>
  <c r="C1375" i="2"/>
  <c r="B1375" i="2"/>
  <c r="E1374" i="2"/>
  <c r="D1374" i="2"/>
  <c r="C1374" i="2"/>
  <c r="B1374" i="2"/>
  <c r="E1373" i="2"/>
  <c r="D1373" i="2"/>
  <c r="C1373" i="2"/>
  <c r="B1373" i="2"/>
  <c r="E1372" i="2"/>
  <c r="D1372" i="2"/>
  <c r="C1372" i="2"/>
  <c r="B1372" i="2"/>
  <c r="E1371" i="2"/>
  <c r="D1371" i="2"/>
  <c r="C1371" i="2"/>
  <c r="B1371" i="2"/>
  <c r="E1370" i="2"/>
  <c r="D1370" i="2"/>
  <c r="C1370" i="2"/>
  <c r="B1370" i="2"/>
  <c r="E1369" i="2"/>
  <c r="D1369" i="2"/>
  <c r="C1369" i="2"/>
  <c r="B1369" i="2"/>
  <c r="E1368" i="2"/>
  <c r="D1368" i="2"/>
  <c r="C1368" i="2"/>
  <c r="B1368" i="2"/>
  <c r="E1367" i="2"/>
  <c r="D1367" i="2"/>
  <c r="C1367" i="2"/>
  <c r="B1367" i="2"/>
  <c r="E1366" i="2"/>
  <c r="D1366" i="2"/>
  <c r="C1366" i="2"/>
  <c r="B1366" i="2"/>
  <c r="E1365" i="2"/>
  <c r="D1365" i="2"/>
  <c r="C1365" i="2"/>
  <c r="B1365" i="2"/>
  <c r="E1364" i="2"/>
  <c r="D1364" i="2"/>
  <c r="C1364" i="2"/>
  <c r="B1364" i="2"/>
  <c r="E1363" i="2"/>
  <c r="D1363" i="2"/>
  <c r="C1363" i="2"/>
  <c r="B1363" i="2"/>
  <c r="E1362" i="2"/>
  <c r="D1362" i="2"/>
  <c r="C1362" i="2"/>
  <c r="B1362" i="2"/>
  <c r="E1361" i="2"/>
  <c r="D1361" i="2"/>
  <c r="C1361" i="2"/>
  <c r="B1361" i="2"/>
  <c r="E1360" i="2"/>
  <c r="D1360" i="2"/>
  <c r="C1360" i="2"/>
  <c r="B1360" i="2"/>
  <c r="E1359" i="2"/>
  <c r="D1359" i="2"/>
  <c r="C1359" i="2"/>
  <c r="B1359" i="2"/>
  <c r="E1358" i="2"/>
  <c r="D1358" i="2"/>
  <c r="C1358" i="2"/>
  <c r="B1358" i="2"/>
  <c r="E1357" i="2"/>
  <c r="D1357" i="2"/>
  <c r="C1357" i="2"/>
  <c r="B1357" i="2"/>
  <c r="E1356" i="2"/>
  <c r="D1356" i="2"/>
  <c r="C1356" i="2"/>
  <c r="B1356" i="2"/>
  <c r="E1355" i="2"/>
  <c r="D1355" i="2"/>
  <c r="C1355" i="2"/>
  <c r="B1355" i="2"/>
  <c r="E1354" i="2"/>
  <c r="D1354" i="2"/>
  <c r="C1354" i="2"/>
  <c r="B1354" i="2"/>
  <c r="E1353" i="2"/>
  <c r="D1353" i="2"/>
  <c r="C1353" i="2"/>
  <c r="B1353" i="2"/>
  <c r="E1352" i="2"/>
  <c r="D1352" i="2"/>
  <c r="C1352" i="2"/>
  <c r="B1352" i="2"/>
  <c r="E1351" i="2"/>
  <c r="D1351" i="2"/>
  <c r="C1351" i="2"/>
  <c r="B1351" i="2"/>
  <c r="E1350" i="2"/>
  <c r="D1350" i="2"/>
  <c r="C1350" i="2"/>
  <c r="B1350" i="2"/>
  <c r="E1349" i="2"/>
  <c r="D1349" i="2"/>
  <c r="C1349" i="2"/>
  <c r="B1349" i="2"/>
  <c r="E1348" i="2"/>
  <c r="D1348" i="2"/>
  <c r="C1348" i="2"/>
  <c r="B1348" i="2"/>
  <c r="E1347" i="2"/>
  <c r="D1347" i="2"/>
  <c r="C1347" i="2"/>
  <c r="B1347" i="2"/>
  <c r="E1346" i="2"/>
  <c r="D1346" i="2"/>
  <c r="C1346" i="2"/>
  <c r="B1346" i="2"/>
  <c r="E1345" i="2"/>
  <c r="D1345" i="2"/>
  <c r="C1345" i="2"/>
  <c r="B1345" i="2"/>
  <c r="E1344" i="2"/>
  <c r="D1344" i="2"/>
  <c r="C1344" i="2"/>
  <c r="B1344" i="2"/>
  <c r="E1343" i="2"/>
  <c r="D1343" i="2"/>
  <c r="C1343" i="2"/>
  <c r="B1343" i="2"/>
  <c r="E1342" i="2"/>
  <c r="D1342" i="2"/>
  <c r="C1342" i="2"/>
  <c r="B1342" i="2"/>
  <c r="E1341" i="2"/>
  <c r="D1341" i="2"/>
  <c r="C1341" i="2"/>
  <c r="B1341" i="2"/>
  <c r="E1340" i="2"/>
  <c r="D1340" i="2"/>
  <c r="C1340" i="2"/>
  <c r="B1340" i="2"/>
  <c r="E1339" i="2"/>
  <c r="D1339" i="2"/>
  <c r="C1339" i="2"/>
  <c r="B1339" i="2"/>
  <c r="E1338" i="2"/>
  <c r="D1338" i="2"/>
  <c r="C1338" i="2"/>
  <c r="B1338" i="2"/>
  <c r="E1337" i="2"/>
  <c r="D1337" i="2"/>
  <c r="C1337" i="2"/>
  <c r="B1337" i="2"/>
  <c r="E1336" i="2"/>
  <c r="D1336" i="2"/>
  <c r="C1336" i="2"/>
  <c r="B1336" i="2"/>
  <c r="E1335" i="2"/>
  <c r="D1335" i="2"/>
  <c r="C1335" i="2"/>
  <c r="B1335" i="2"/>
  <c r="E1334" i="2"/>
  <c r="D1334" i="2"/>
  <c r="C1334" i="2"/>
  <c r="B1334" i="2"/>
  <c r="E1333" i="2"/>
  <c r="D1333" i="2"/>
  <c r="C1333" i="2"/>
  <c r="B1333" i="2"/>
  <c r="E1332" i="2"/>
  <c r="D1332" i="2"/>
  <c r="C1332" i="2"/>
  <c r="B1332" i="2"/>
  <c r="E1331" i="2"/>
  <c r="D1331" i="2"/>
  <c r="C1331" i="2"/>
  <c r="B1331" i="2"/>
  <c r="E1330" i="2"/>
  <c r="D1330" i="2"/>
  <c r="C1330" i="2"/>
  <c r="B1330" i="2"/>
  <c r="E1329" i="2"/>
  <c r="D1329" i="2"/>
  <c r="C1329" i="2"/>
  <c r="B1329" i="2"/>
  <c r="E1328" i="2"/>
  <c r="D1328" i="2"/>
  <c r="C1328" i="2"/>
  <c r="B1328" i="2"/>
  <c r="E1327" i="2"/>
  <c r="D1327" i="2"/>
  <c r="C1327" i="2"/>
  <c r="B1327" i="2"/>
  <c r="E1326" i="2"/>
  <c r="D1326" i="2"/>
  <c r="C1326" i="2"/>
  <c r="B1326" i="2"/>
  <c r="E1325" i="2"/>
  <c r="D1325" i="2"/>
  <c r="C1325" i="2"/>
  <c r="B1325" i="2"/>
  <c r="E1324" i="2"/>
  <c r="D1324" i="2"/>
  <c r="C1324" i="2"/>
  <c r="B1324" i="2"/>
  <c r="E1323" i="2"/>
  <c r="D1323" i="2"/>
  <c r="C1323" i="2"/>
  <c r="B1323" i="2"/>
  <c r="E1322" i="2"/>
  <c r="D1322" i="2"/>
  <c r="C1322" i="2"/>
  <c r="B1322" i="2"/>
  <c r="E1321" i="2"/>
  <c r="D1321" i="2"/>
  <c r="C1321" i="2"/>
  <c r="B1321" i="2"/>
  <c r="E1320" i="2"/>
  <c r="D1320" i="2"/>
  <c r="C1320" i="2"/>
  <c r="B1320" i="2"/>
  <c r="E1319" i="2"/>
  <c r="D1319" i="2"/>
  <c r="C1319" i="2"/>
  <c r="B1319" i="2"/>
  <c r="E1318" i="2"/>
  <c r="D1318" i="2"/>
  <c r="C1318" i="2"/>
  <c r="B1318" i="2"/>
  <c r="E1317" i="2"/>
  <c r="D1317" i="2"/>
  <c r="C1317" i="2"/>
  <c r="B1317" i="2"/>
  <c r="E1316" i="2"/>
  <c r="D1316" i="2"/>
  <c r="C1316" i="2"/>
  <c r="B1316" i="2"/>
  <c r="E1315" i="2"/>
  <c r="D1315" i="2"/>
  <c r="C1315" i="2"/>
  <c r="B1315" i="2"/>
  <c r="E1314" i="2"/>
  <c r="D1314" i="2"/>
  <c r="C1314" i="2"/>
  <c r="B1314" i="2"/>
  <c r="E1313" i="2"/>
  <c r="D1313" i="2"/>
  <c r="C1313" i="2"/>
  <c r="B1313" i="2"/>
  <c r="E1312" i="2"/>
  <c r="D1312" i="2"/>
  <c r="C1312" i="2"/>
  <c r="B1312" i="2"/>
  <c r="E1311" i="2"/>
  <c r="D1311" i="2"/>
  <c r="C1311" i="2"/>
  <c r="B1311" i="2"/>
  <c r="E1310" i="2"/>
  <c r="D1310" i="2"/>
  <c r="C1310" i="2"/>
  <c r="B1310" i="2"/>
  <c r="E1309" i="2"/>
  <c r="D1309" i="2"/>
  <c r="C1309" i="2"/>
  <c r="B1309" i="2"/>
  <c r="E1308" i="2"/>
  <c r="D1308" i="2"/>
  <c r="C1308" i="2"/>
  <c r="B1308" i="2"/>
  <c r="E1307" i="2"/>
  <c r="D1307" i="2"/>
  <c r="C1307" i="2"/>
  <c r="B1307" i="2"/>
  <c r="E1306" i="2"/>
  <c r="D1306" i="2"/>
  <c r="C1306" i="2"/>
  <c r="B1306" i="2"/>
  <c r="E1305" i="2"/>
  <c r="D1305" i="2"/>
  <c r="C1305" i="2"/>
  <c r="B1305" i="2"/>
  <c r="E1304" i="2"/>
  <c r="D1304" i="2"/>
  <c r="C1304" i="2"/>
  <c r="B1304" i="2"/>
  <c r="E1303" i="2"/>
  <c r="D1303" i="2"/>
  <c r="C1303" i="2"/>
  <c r="B1303" i="2"/>
  <c r="E1302" i="2"/>
  <c r="D1302" i="2"/>
  <c r="C1302" i="2"/>
  <c r="B1302" i="2"/>
  <c r="E1301" i="2"/>
  <c r="D1301" i="2"/>
  <c r="C1301" i="2"/>
  <c r="B1301" i="2"/>
  <c r="E1300" i="2"/>
  <c r="D1300" i="2"/>
  <c r="C1300" i="2"/>
  <c r="B1300" i="2"/>
  <c r="E1299" i="2"/>
  <c r="D1299" i="2"/>
  <c r="C1299" i="2"/>
  <c r="B1299" i="2"/>
  <c r="E1298" i="2"/>
  <c r="D1298" i="2"/>
  <c r="C1298" i="2"/>
  <c r="B1298" i="2"/>
  <c r="E1297" i="2"/>
  <c r="D1297" i="2"/>
  <c r="C1297" i="2"/>
  <c r="B1297" i="2"/>
  <c r="E1296" i="2"/>
  <c r="D1296" i="2"/>
  <c r="C1296" i="2"/>
  <c r="B1296" i="2"/>
  <c r="E1295" i="2"/>
  <c r="D1295" i="2"/>
  <c r="C1295" i="2"/>
  <c r="B1295" i="2"/>
  <c r="E1294" i="2"/>
  <c r="D1294" i="2"/>
  <c r="C1294" i="2"/>
  <c r="B1294" i="2"/>
  <c r="E1293" i="2"/>
  <c r="D1293" i="2"/>
  <c r="C1293" i="2"/>
  <c r="B1293" i="2"/>
  <c r="E1292" i="2"/>
  <c r="D1292" i="2"/>
  <c r="C1292" i="2"/>
  <c r="B1292" i="2"/>
  <c r="E1291" i="2"/>
  <c r="D1291" i="2"/>
  <c r="C1291" i="2"/>
  <c r="B1291" i="2"/>
  <c r="E1290" i="2"/>
  <c r="D1290" i="2"/>
  <c r="C1290" i="2"/>
  <c r="B1290" i="2"/>
  <c r="E1289" i="2"/>
  <c r="D1289" i="2"/>
  <c r="C1289" i="2"/>
  <c r="B1289" i="2"/>
  <c r="E1288" i="2"/>
  <c r="D1288" i="2"/>
  <c r="C1288" i="2"/>
  <c r="B1288" i="2"/>
  <c r="E1287" i="2"/>
  <c r="D1287" i="2"/>
  <c r="C1287" i="2"/>
  <c r="B1287" i="2"/>
  <c r="E1286" i="2"/>
  <c r="D1286" i="2"/>
  <c r="C1286" i="2"/>
  <c r="B1286" i="2"/>
  <c r="E1285" i="2"/>
  <c r="D1285" i="2"/>
  <c r="C1285" i="2"/>
  <c r="B1285" i="2"/>
  <c r="E1284" i="2"/>
  <c r="D1284" i="2"/>
  <c r="C1284" i="2"/>
  <c r="B1284" i="2"/>
  <c r="E1283" i="2"/>
  <c r="D1283" i="2"/>
  <c r="C1283" i="2"/>
  <c r="B1283" i="2"/>
  <c r="E1282" i="2"/>
  <c r="D1282" i="2"/>
  <c r="C1282" i="2"/>
  <c r="B1282" i="2"/>
  <c r="E1281" i="2"/>
  <c r="D1281" i="2"/>
  <c r="C1281" i="2"/>
  <c r="B1281" i="2"/>
  <c r="E1280" i="2"/>
  <c r="D1280" i="2"/>
  <c r="C1280" i="2"/>
  <c r="B1280" i="2"/>
  <c r="E1279" i="2"/>
  <c r="D1279" i="2"/>
  <c r="C1279" i="2"/>
  <c r="B1279" i="2"/>
  <c r="E1278" i="2"/>
  <c r="D1278" i="2"/>
  <c r="C1278" i="2"/>
  <c r="B1278" i="2"/>
  <c r="E1277" i="2"/>
  <c r="D1277" i="2"/>
  <c r="C1277" i="2"/>
  <c r="B1277" i="2"/>
  <c r="E1276" i="2"/>
  <c r="D1276" i="2"/>
  <c r="C1276" i="2"/>
  <c r="B1276" i="2"/>
  <c r="E1275" i="2"/>
  <c r="D1275" i="2"/>
  <c r="C1275" i="2"/>
  <c r="B1275" i="2"/>
  <c r="E1274" i="2"/>
  <c r="D1274" i="2"/>
  <c r="C1274" i="2"/>
  <c r="B1274" i="2"/>
  <c r="E1273" i="2"/>
  <c r="D1273" i="2"/>
  <c r="C1273" i="2"/>
  <c r="B1273" i="2"/>
  <c r="E1272" i="2"/>
  <c r="D1272" i="2"/>
  <c r="C1272" i="2"/>
  <c r="B1272" i="2"/>
  <c r="E1271" i="2"/>
  <c r="D1271" i="2"/>
  <c r="C1271" i="2"/>
  <c r="B1271" i="2"/>
  <c r="E1270" i="2"/>
  <c r="D1270" i="2"/>
  <c r="C1270" i="2"/>
  <c r="B1270" i="2"/>
  <c r="E1269" i="2"/>
  <c r="D1269" i="2"/>
  <c r="C1269" i="2"/>
  <c r="B1269" i="2"/>
  <c r="E1268" i="2"/>
  <c r="D1268" i="2"/>
  <c r="C1268" i="2"/>
  <c r="B1268" i="2"/>
  <c r="E1267" i="2"/>
  <c r="D1267" i="2"/>
  <c r="C1267" i="2"/>
  <c r="B1267" i="2"/>
  <c r="E1266" i="2"/>
  <c r="D1266" i="2"/>
  <c r="C1266" i="2"/>
  <c r="B1266" i="2"/>
  <c r="E1265" i="2"/>
  <c r="D1265" i="2"/>
  <c r="C1265" i="2"/>
  <c r="B1265" i="2"/>
  <c r="E1264" i="2"/>
  <c r="D1264" i="2"/>
  <c r="C1264" i="2"/>
  <c r="B1264" i="2"/>
  <c r="E1263" i="2"/>
  <c r="D1263" i="2"/>
  <c r="C1263" i="2"/>
  <c r="B1263" i="2"/>
  <c r="E1262" i="2"/>
  <c r="D1262" i="2"/>
  <c r="C1262" i="2"/>
  <c r="B1262" i="2"/>
  <c r="E1261" i="2"/>
  <c r="D1261" i="2"/>
  <c r="C1261" i="2"/>
  <c r="B1261" i="2"/>
  <c r="E1260" i="2"/>
  <c r="D1260" i="2"/>
  <c r="C1260" i="2"/>
  <c r="B1260" i="2"/>
  <c r="E1259" i="2"/>
  <c r="D1259" i="2"/>
  <c r="C1259" i="2"/>
  <c r="B1259" i="2"/>
  <c r="E1258" i="2"/>
  <c r="D1258" i="2"/>
  <c r="C1258" i="2"/>
  <c r="B1258" i="2"/>
  <c r="E1257" i="2"/>
  <c r="D1257" i="2"/>
  <c r="C1257" i="2"/>
  <c r="B1257" i="2"/>
  <c r="E1256" i="2"/>
  <c r="D1256" i="2"/>
  <c r="C1256" i="2"/>
  <c r="B1256" i="2"/>
  <c r="E1255" i="2"/>
  <c r="D1255" i="2"/>
  <c r="C1255" i="2"/>
  <c r="B1255" i="2"/>
  <c r="E1254" i="2"/>
  <c r="D1254" i="2"/>
  <c r="C1254" i="2"/>
  <c r="B1254" i="2"/>
  <c r="E1253" i="2"/>
  <c r="D1253" i="2"/>
  <c r="C1253" i="2"/>
  <c r="B1253" i="2"/>
  <c r="E1252" i="2"/>
  <c r="D1252" i="2"/>
  <c r="C1252" i="2"/>
  <c r="B1252" i="2"/>
  <c r="E1251" i="2"/>
  <c r="D1251" i="2"/>
  <c r="C1251" i="2"/>
  <c r="B1251" i="2"/>
  <c r="E1250" i="2"/>
  <c r="D1250" i="2"/>
  <c r="C1250" i="2"/>
  <c r="B1250" i="2"/>
  <c r="E1249" i="2"/>
  <c r="D1249" i="2"/>
  <c r="C1249" i="2"/>
  <c r="B1249" i="2"/>
  <c r="E1248" i="2"/>
  <c r="D1248" i="2"/>
  <c r="C1248" i="2"/>
  <c r="B1248" i="2"/>
  <c r="E1247" i="2"/>
  <c r="D1247" i="2"/>
  <c r="C1247" i="2"/>
  <c r="B1247" i="2"/>
  <c r="E1246" i="2"/>
  <c r="D1246" i="2"/>
  <c r="C1246" i="2"/>
  <c r="B1246" i="2"/>
  <c r="E1245" i="2"/>
  <c r="D1245" i="2"/>
  <c r="C1245" i="2"/>
  <c r="B1245" i="2"/>
  <c r="E1244" i="2"/>
  <c r="D1244" i="2"/>
  <c r="C1244" i="2"/>
  <c r="B1244" i="2"/>
  <c r="E1243" i="2"/>
  <c r="D1243" i="2"/>
  <c r="C1243" i="2"/>
  <c r="B1243" i="2"/>
  <c r="E1242" i="2"/>
  <c r="D1242" i="2"/>
  <c r="C1242" i="2"/>
  <c r="B1242" i="2"/>
  <c r="E1241" i="2"/>
  <c r="D1241" i="2"/>
  <c r="C1241" i="2"/>
  <c r="B1241" i="2"/>
  <c r="E1240" i="2"/>
  <c r="D1240" i="2"/>
  <c r="C1240" i="2"/>
  <c r="B1240" i="2"/>
  <c r="E1239" i="2"/>
  <c r="D1239" i="2"/>
  <c r="C1239" i="2"/>
  <c r="B1239" i="2"/>
  <c r="E1238" i="2"/>
  <c r="D1238" i="2"/>
  <c r="C1238" i="2"/>
  <c r="B1238" i="2"/>
  <c r="E1237" i="2"/>
  <c r="D1237" i="2"/>
  <c r="C1237" i="2"/>
  <c r="B1237" i="2"/>
  <c r="E1236" i="2"/>
  <c r="D1236" i="2"/>
  <c r="C1236" i="2"/>
  <c r="B1236" i="2"/>
  <c r="E1235" i="2"/>
  <c r="D1235" i="2"/>
  <c r="C1235" i="2"/>
  <c r="B1235" i="2"/>
  <c r="E1234" i="2"/>
  <c r="D1234" i="2"/>
  <c r="C1234" i="2"/>
  <c r="B1234" i="2"/>
  <c r="E1233" i="2"/>
  <c r="D1233" i="2"/>
  <c r="C1233" i="2"/>
  <c r="B1233" i="2"/>
  <c r="E1232" i="2"/>
  <c r="D1232" i="2"/>
  <c r="C1232" i="2"/>
  <c r="B1232" i="2"/>
  <c r="E1231" i="2"/>
  <c r="D1231" i="2"/>
  <c r="C1231" i="2"/>
  <c r="B1231" i="2"/>
  <c r="E1230" i="2"/>
  <c r="D1230" i="2"/>
  <c r="C1230" i="2"/>
  <c r="B1230" i="2"/>
  <c r="E1229" i="2"/>
  <c r="D1229" i="2"/>
  <c r="C1229" i="2"/>
  <c r="B1229" i="2"/>
  <c r="E1228" i="2"/>
  <c r="D1228" i="2"/>
  <c r="C1228" i="2"/>
  <c r="B1228" i="2"/>
  <c r="E1227" i="2"/>
  <c r="D1227" i="2"/>
  <c r="C1227" i="2"/>
  <c r="B1227" i="2"/>
  <c r="E1226" i="2"/>
  <c r="D1226" i="2"/>
  <c r="C1226" i="2"/>
  <c r="B1226" i="2"/>
  <c r="E1225" i="2"/>
  <c r="D1225" i="2"/>
  <c r="C1225" i="2"/>
  <c r="B1225" i="2"/>
  <c r="E1224" i="2"/>
  <c r="D1224" i="2"/>
  <c r="C1224" i="2"/>
  <c r="B1224" i="2"/>
  <c r="E1223" i="2"/>
  <c r="D1223" i="2"/>
  <c r="C1223" i="2"/>
  <c r="B1223" i="2"/>
  <c r="E1222" i="2"/>
  <c r="D1222" i="2"/>
  <c r="C1222" i="2"/>
  <c r="B1222" i="2"/>
  <c r="E1221" i="2"/>
  <c r="D1221" i="2"/>
  <c r="C1221" i="2"/>
  <c r="B1221" i="2"/>
  <c r="E1220" i="2"/>
  <c r="D1220" i="2"/>
  <c r="C1220" i="2"/>
  <c r="B1220" i="2"/>
  <c r="E1219" i="2"/>
  <c r="D1219" i="2"/>
  <c r="C1219" i="2"/>
  <c r="B1219" i="2"/>
  <c r="E1218" i="2"/>
  <c r="D1218" i="2"/>
  <c r="C1218" i="2"/>
  <c r="B1218" i="2"/>
  <c r="E1217" i="2"/>
  <c r="D1217" i="2"/>
  <c r="C1217" i="2"/>
  <c r="B1217" i="2"/>
  <c r="E1216" i="2"/>
  <c r="D1216" i="2"/>
  <c r="C1216" i="2"/>
  <c r="B1216" i="2"/>
  <c r="E1215" i="2"/>
  <c r="D1215" i="2"/>
  <c r="C1215" i="2"/>
  <c r="B1215" i="2"/>
  <c r="E1214" i="2"/>
  <c r="D1214" i="2"/>
  <c r="C1214" i="2"/>
  <c r="B1214" i="2"/>
  <c r="E1213" i="2"/>
  <c r="D1213" i="2"/>
  <c r="C1213" i="2"/>
  <c r="B1213" i="2"/>
  <c r="E1212" i="2"/>
  <c r="D1212" i="2"/>
  <c r="C1212" i="2"/>
  <c r="B1212" i="2"/>
  <c r="E1211" i="2"/>
  <c r="D1211" i="2"/>
  <c r="C1211" i="2"/>
  <c r="B1211" i="2"/>
  <c r="E1210" i="2"/>
  <c r="D1210" i="2"/>
  <c r="C1210" i="2"/>
  <c r="B1210" i="2"/>
  <c r="E1209" i="2"/>
  <c r="D1209" i="2"/>
  <c r="C1209" i="2"/>
  <c r="B1209" i="2"/>
  <c r="E1208" i="2"/>
  <c r="D1208" i="2"/>
  <c r="C1208" i="2"/>
  <c r="B1208" i="2"/>
  <c r="E1207" i="2"/>
  <c r="D1207" i="2"/>
  <c r="C1207" i="2"/>
  <c r="B1207" i="2"/>
  <c r="E1206" i="2"/>
  <c r="D1206" i="2"/>
  <c r="C1206" i="2"/>
  <c r="B1206" i="2"/>
  <c r="E1205" i="2"/>
  <c r="D1205" i="2"/>
  <c r="C1205" i="2"/>
  <c r="B1205" i="2"/>
  <c r="E1204" i="2"/>
  <c r="D1204" i="2"/>
  <c r="C1204" i="2"/>
  <c r="B1204" i="2"/>
  <c r="E1203" i="2"/>
  <c r="D1203" i="2"/>
  <c r="C1203" i="2"/>
  <c r="B1203" i="2"/>
  <c r="E1202" i="2"/>
  <c r="D1202" i="2"/>
  <c r="C1202" i="2"/>
  <c r="B1202" i="2"/>
  <c r="E1201" i="2"/>
  <c r="D1201" i="2"/>
  <c r="C1201" i="2"/>
  <c r="B1201" i="2"/>
  <c r="E1200" i="2"/>
  <c r="D1200" i="2"/>
  <c r="C1200" i="2"/>
  <c r="B1200" i="2"/>
  <c r="E1199" i="2"/>
  <c r="D1199" i="2"/>
  <c r="C1199" i="2"/>
  <c r="B1199" i="2"/>
  <c r="E1198" i="2"/>
  <c r="D1198" i="2"/>
  <c r="C1198" i="2"/>
  <c r="B1198" i="2"/>
  <c r="E1197" i="2"/>
  <c r="D1197" i="2"/>
  <c r="C1197" i="2"/>
  <c r="B1197" i="2"/>
  <c r="E1196" i="2"/>
  <c r="D1196" i="2"/>
  <c r="C1196" i="2"/>
  <c r="B1196" i="2"/>
  <c r="E1195" i="2"/>
  <c r="D1195" i="2"/>
  <c r="C1195" i="2"/>
  <c r="B1195" i="2"/>
  <c r="E1194" i="2"/>
  <c r="D1194" i="2"/>
  <c r="C1194" i="2"/>
  <c r="B1194" i="2"/>
  <c r="E1193" i="2"/>
  <c r="D1193" i="2"/>
  <c r="C1193" i="2"/>
  <c r="B1193" i="2"/>
  <c r="E1192" i="2"/>
  <c r="D1192" i="2"/>
  <c r="C1192" i="2"/>
  <c r="B1192" i="2"/>
  <c r="E1191" i="2"/>
  <c r="D1191" i="2"/>
  <c r="C1191" i="2"/>
  <c r="B1191" i="2"/>
  <c r="E1190" i="2"/>
  <c r="D1190" i="2"/>
  <c r="C1190" i="2"/>
  <c r="B1190" i="2"/>
  <c r="E1189" i="2"/>
  <c r="D1189" i="2"/>
  <c r="C1189" i="2"/>
  <c r="B1189" i="2"/>
  <c r="E1188" i="2"/>
  <c r="D1188" i="2"/>
  <c r="C1188" i="2"/>
  <c r="B1188" i="2"/>
  <c r="E1187" i="2"/>
  <c r="D1187" i="2"/>
  <c r="C1187" i="2"/>
  <c r="B1187" i="2"/>
  <c r="E1186" i="2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D725" i="2"/>
  <c r="C725" i="2"/>
  <c r="B725" i="2"/>
  <c r="E724" i="2"/>
  <c r="D724" i="2"/>
  <c r="C724" i="2"/>
  <c r="B724" i="2"/>
  <c r="E723" i="2"/>
  <c r="D723" i="2"/>
  <c r="C723" i="2"/>
  <c r="B723" i="2"/>
  <c r="E722" i="2"/>
  <c r="D722" i="2"/>
  <c r="C722" i="2"/>
  <c r="B722" i="2"/>
  <c r="E721" i="2"/>
  <c r="D721" i="2"/>
  <c r="C721" i="2"/>
  <c r="B721" i="2"/>
  <c r="E720" i="2"/>
  <c r="D720" i="2"/>
  <c r="C720" i="2"/>
  <c r="B720" i="2"/>
  <c r="E719" i="2"/>
  <c r="D719" i="2"/>
  <c r="C719" i="2"/>
  <c r="B719" i="2"/>
  <c r="E718" i="2"/>
  <c r="D718" i="2"/>
  <c r="C718" i="2"/>
  <c r="B718" i="2"/>
  <c r="E717" i="2"/>
  <c r="D717" i="2"/>
  <c r="C717" i="2"/>
  <c r="B717" i="2"/>
  <c r="E716" i="2"/>
  <c r="D716" i="2"/>
  <c r="C716" i="2"/>
  <c r="B716" i="2"/>
  <c r="E715" i="2"/>
  <c r="D715" i="2"/>
  <c r="C715" i="2"/>
  <c r="B715" i="2"/>
  <c r="E714" i="2"/>
  <c r="D714" i="2"/>
  <c r="C714" i="2"/>
  <c r="B714" i="2"/>
  <c r="E713" i="2"/>
  <c r="D713" i="2"/>
  <c r="C713" i="2"/>
  <c r="B713" i="2"/>
  <c r="E712" i="2"/>
  <c r="D712" i="2"/>
  <c r="C712" i="2"/>
  <c r="B712" i="2"/>
  <c r="E711" i="2"/>
  <c r="D711" i="2"/>
  <c r="C711" i="2"/>
  <c r="B711" i="2"/>
  <c r="E710" i="2"/>
  <c r="D710" i="2"/>
  <c r="C710" i="2"/>
  <c r="B710" i="2"/>
  <c r="E709" i="2"/>
  <c r="D709" i="2"/>
  <c r="C709" i="2"/>
  <c r="B709" i="2"/>
  <c r="E708" i="2"/>
  <c r="D708" i="2"/>
  <c r="C708" i="2"/>
  <c r="B708" i="2"/>
  <c r="E707" i="2"/>
  <c r="D707" i="2"/>
  <c r="C707" i="2"/>
  <c r="B707" i="2"/>
  <c r="E706" i="2"/>
  <c r="D706" i="2"/>
  <c r="C706" i="2"/>
  <c r="B706" i="2"/>
  <c r="E705" i="2"/>
  <c r="D705" i="2"/>
  <c r="C705" i="2"/>
  <c r="B705" i="2"/>
  <c r="E704" i="2"/>
  <c r="D704" i="2"/>
  <c r="C704" i="2"/>
  <c r="B704" i="2"/>
  <c r="E703" i="2"/>
  <c r="D703" i="2"/>
  <c r="C703" i="2"/>
  <c r="B703" i="2"/>
  <c r="E702" i="2"/>
  <c r="D702" i="2"/>
  <c r="C702" i="2"/>
  <c r="B702" i="2"/>
  <c r="E701" i="2"/>
  <c r="D701" i="2"/>
  <c r="C701" i="2"/>
  <c r="B701" i="2"/>
  <c r="E700" i="2"/>
  <c r="D700" i="2"/>
  <c r="C700" i="2"/>
  <c r="B700" i="2"/>
  <c r="E699" i="2"/>
  <c r="D699" i="2"/>
  <c r="C699" i="2"/>
  <c r="B699" i="2"/>
  <c r="E698" i="2"/>
  <c r="D698" i="2"/>
  <c r="C698" i="2"/>
  <c r="B698" i="2"/>
  <c r="E697" i="2"/>
  <c r="D697" i="2"/>
  <c r="C697" i="2"/>
  <c r="B697" i="2"/>
  <c r="E696" i="2"/>
  <c r="D696" i="2"/>
  <c r="C696" i="2"/>
  <c r="B696" i="2"/>
  <c r="E695" i="2"/>
  <c r="D695" i="2"/>
  <c r="C695" i="2"/>
  <c r="B695" i="2"/>
  <c r="E694" i="2"/>
  <c r="D694" i="2"/>
  <c r="C694" i="2"/>
  <c r="B694" i="2"/>
  <c r="E693" i="2"/>
  <c r="D693" i="2"/>
  <c r="C693" i="2"/>
  <c r="B693" i="2"/>
  <c r="E692" i="2"/>
  <c r="D692" i="2"/>
  <c r="C692" i="2"/>
  <c r="B692" i="2"/>
  <c r="E691" i="2"/>
  <c r="D691" i="2"/>
  <c r="C691" i="2"/>
  <c r="B691" i="2"/>
  <c r="E690" i="2"/>
  <c r="D690" i="2"/>
  <c r="C690" i="2"/>
  <c r="B690" i="2"/>
  <c r="E689" i="2"/>
  <c r="D689" i="2"/>
  <c r="C689" i="2"/>
  <c r="B689" i="2"/>
  <c r="E688" i="2"/>
  <c r="D688" i="2"/>
  <c r="C688" i="2"/>
  <c r="B688" i="2"/>
  <c r="E687" i="2"/>
  <c r="D687" i="2"/>
  <c r="C687" i="2"/>
  <c r="B687" i="2"/>
  <c r="E686" i="2"/>
  <c r="D686" i="2"/>
  <c r="C686" i="2"/>
  <c r="B686" i="2"/>
  <c r="E685" i="2"/>
  <c r="D685" i="2"/>
  <c r="C685" i="2"/>
  <c r="B685" i="2"/>
  <c r="E684" i="2"/>
  <c r="D684" i="2"/>
  <c r="C684" i="2"/>
  <c r="B684" i="2"/>
  <c r="E683" i="2"/>
  <c r="D683" i="2"/>
  <c r="C683" i="2"/>
  <c r="B683" i="2"/>
  <c r="E682" i="2"/>
  <c r="D682" i="2"/>
  <c r="C682" i="2"/>
  <c r="B682" i="2"/>
  <c r="E681" i="2"/>
  <c r="D681" i="2"/>
  <c r="C681" i="2"/>
  <c r="B681" i="2"/>
  <c r="E680" i="2"/>
  <c r="D680" i="2"/>
  <c r="C680" i="2"/>
  <c r="B680" i="2"/>
  <c r="E679" i="2"/>
  <c r="D679" i="2"/>
  <c r="C679" i="2"/>
  <c r="B679" i="2"/>
  <c r="E678" i="2"/>
  <c r="D678" i="2"/>
  <c r="C678" i="2"/>
  <c r="B678" i="2"/>
  <c r="E677" i="2"/>
  <c r="D677" i="2"/>
  <c r="C677" i="2"/>
  <c r="B677" i="2"/>
  <c r="E676" i="2"/>
  <c r="D676" i="2"/>
  <c r="C676" i="2"/>
  <c r="B676" i="2"/>
  <c r="E675" i="2"/>
  <c r="D675" i="2"/>
  <c r="C675" i="2"/>
  <c r="B675" i="2"/>
  <c r="E674" i="2"/>
  <c r="D674" i="2"/>
  <c r="C674" i="2"/>
  <c r="B674" i="2"/>
  <c r="E673" i="2"/>
  <c r="D673" i="2"/>
  <c r="C673" i="2"/>
  <c r="B673" i="2"/>
  <c r="E672" i="2"/>
  <c r="D672" i="2"/>
  <c r="C672" i="2"/>
  <c r="B672" i="2"/>
  <c r="E671" i="2"/>
  <c r="D671" i="2"/>
  <c r="C671" i="2"/>
  <c r="B671" i="2"/>
  <c r="E670" i="2"/>
  <c r="D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D652" i="2"/>
  <c r="C652" i="2"/>
  <c r="B652" i="2"/>
  <c r="E651" i="2"/>
  <c r="D651" i="2"/>
  <c r="C651" i="2"/>
  <c r="B651" i="2"/>
  <c r="E650" i="2"/>
  <c r="D650" i="2"/>
  <c r="C650" i="2"/>
  <c r="B650" i="2"/>
  <c r="E649" i="2"/>
  <c r="D649" i="2"/>
  <c r="C649" i="2"/>
  <c r="B649" i="2"/>
  <c r="E648" i="2"/>
  <c r="D648" i="2"/>
  <c r="C648" i="2"/>
  <c r="B648" i="2"/>
  <c r="E647" i="2"/>
  <c r="D647" i="2"/>
  <c r="C647" i="2"/>
  <c r="B647" i="2"/>
  <c r="E646" i="2"/>
  <c r="D646" i="2"/>
  <c r="C646" i="2"/>
  <c r="B646" i="2"/>
  <c r="E645" i="2"/>
  <c r="D645" i="2"/>
  <c r="C645" i="2"/>
  <c r="B645" i="2"/>
  <c r="E644" i="2"/>
  <c r="D644" i="2"/>
  <c r="C644" i="2"/>
  <c r="B644" i="2"/>
  <c r="E643" i="2"/>
  <c r="D643" i="2"/>
  <c r="C643" i="2"/>
  <c r="B643" i="2"/>
  <c r="E642" i="2"/>
  <c r="D642" i="2"/>
  <c r="C642" i="2"/>
  <c r="B642" i="2"/>
  <c r="E641" i="2"/>
  <c r="D641" i="2"/>
  <c r="C641" i="2"/>
  <c r="B641" i="2"/>
  <c r="E640" i="2"/>
  <c r="D640" i="2"/>
  <c r="C640" i="2"/>
  <c r="B640" i="2"/>
  <c r="E639" i="2"/>
  <c r="D639" i="2"/>
  <c r="C639" i="2"/>
  <c r="B639" i="2"/>
  <c r="E638" i="2"/>
  <c r="D638" i="2"/>
  <c r="C638" i="2"/>
  <c r="B638" i="2"/>
  <c r="E637" i="2"/>
  <c r="D637" i="2"/>
  <c r="C637" i="2"/>
  <c r="B637" i="2"/>
  <c r="E636" i="2"/>
  <c r="D636" i="2"/>
  <c r="C636" i="2"/>
  <c r="B636" i="2"/>
  <c r="E635" i="2"/>
  <c r="D635" i="2"/>
  <c r="C635" i="2"/>
  <c r="B635" i="2"/>
  <c r="E634" i="2"/>
  <c r="D634" i="2"/>
  <c r="C634" i="2"/>
  <c r="B634" i="2"/>
  <c r="E633" i="2"/>
  <c r="D633" i="2"/>
  <c r="C633" i="2"/>
  <c r="B633" i="2"/>
  <c r="E632" i="2"/>
  <c r="D632" i="2"/>
  <c r="C632" i="2"/>
  <c r="B632" i="2"/>
  <c r="E631" i="2"/>
  <c r="D631" i="2"/>
  <c r="C631" i="2"/>
  <c r="B631" i="2"/>
  <c r="E630" i="2"/>
  <c r="D630" i="2"/>
  <c r="C630" i="2"/>
  <c r="B630" i="2"/>
  <c r="E629" i="2"/>
  <c r="D629" i="2"/>
  <c r="C629" i="2"/>
  <c r="B629" i="2"/>
  <c r="E628" i="2"/>
  <c r="D628" i="2"/>
  <c r="C628" i="2"/>
  <c r="B628" i="2"/>
  <c r="E627" i="2"/>
  <c r="D627" i="2"/>
  <c r="C627" i="2"/>
  <c r="B627" i="2"/>
  <c r="E626" i="2"/>
  <c r="D626" i="2"/>
  <c r="C626" i="2"/>
  <c r="B626" i="2"/>
  <c r="E625" i="2"/>
  <c r="D625" i="2"/>
  <c r="C625" i="2"/>
  <c r="B625" i="2"/>
  <c r="E624" i="2"/>
  <c r="D624" i="2"/>
  <c r="C624" i="2"/>
  <c r="B624" i="2"/>
  <c r="E623" i="2"/>
  <c r="D623" i="2"/>
  <c r="C623" i="2"/>
  <c r="B623" i="2"/>
  <c r="E622" i="2"/>
  <c r="D622" i="2"/>
  <c r="C622" i="2"/>
  <c r="B622" i="2"/>
  <c r="E621" i="2"/>
  <c r="D621" i="2"/>
  <c r="C621" i="2"/>
  <c r="B621" i="2"/>
  <c r="E620" i="2"/>
  <c r="D620" i="2"/>
  <c r="C620" i="2"/>
  <c r="B620" i="2"/>
  <c r="E619" i="2"/>
  <c r="D619" i="2"/>
  <c r="C619" i="2"/>
  <c r="B619" i="2"/>
  <c r="E618" i="2"/>
  <c r="D618" i="2"/>
  <c r="C618" i="2"/>
  <c r="B618" i="2"/>
  <c r="E617" i="2"/>
  <c r="D617" i="2"/>
  <c r="C617" i="2"/>
  <c r="B617" i="2"/>
  <c r="E616" i="2"/>
  <c r="D616" i="2"/>
  <c r="C616" i="2"/>
  <c r="B616" i="2"/>
  <c r="E615" i="2"/>
  <c r="D615" i="2"/>
  <c r="C615" i="2"/>
  <c r="B615" i="2"/>
  <c r="E614" i="2"/>
  <c r="D614" i="2"/>
  <c r="C614" i="2"/>
  <c r="B614" i="2"/>
  <c r="E613" i="2"/>
  <c r="D613" i="2"/>
  <c r="C613" i="2"/>
  <c r="B613" i="2"/>
  <c r="E612" i="2"/>
  <c r="D612" i="2"/>
  <c r="C612" i="2"/>
  <c r="B612" i="2"/>
  <c r="E611" i="2"/>
  <c r="D611" i="2"/>
  <c r="C611" i="2"/>
  <c r="B611" i="2"/>
  <c r="E610" i="2"/>
  <c r="D610" i="2"/>
  <c r="C610" i="2"/>
  <c r="B610" i="2"/>
  <c r="E609" i="2"/>
  <c r="D609" i="2"/>
  <c r="C609" i="2"/>
  <c r="B609" i="2"/>
  <c r="E608" i="2"/>
  <c r="D608" i="2"/>
  <c r="C608" i="2"/>
  <c r="B608" i="2"/>
  <c r="E607" i="2"/>
  <c r="D607" i="2"/>
  <c r="C607" i="2"/>
  <c r="B607" i="2"/>
  <c r="E606" i="2"/>
  <c r="D606" i="2"/>
  <c r="C606" i="2"/>
  <c r="B606" i="2"/>
  <c r="E605" i="2"/>
  <c r="D605" i="2"/>
  <c r="C605" i="2"/>
  <c r="B605" i="2"/>
  <c r="E604" i="2"/>
  <c r="D604" i="2"/>
  <c r="C604" i="2"/>
  <c r="B604" i="2"/>
  <c r="E603" i="2"/>
  <c r="D603" i="2"/>
  <c r="C603" i="2"/>
  <c r="B603" i="2"/>
  <c r="E602" i="2"/>
  <c r="D602" i="2"/>
  <c r="C602" i="2"/>
  <c r="B602" i="2"/>
  <c r="E601" i="2"/>
  <c r="D601" i="2"/>
  <c r="C601" i="2"/>
  <c r="B601" i="2"/>
  <c r="E600" i="2"/>
  <c r="D600" i="2"/>
  <c r="C600" i="2"/>
  <c r="B600" i="2"/>
  <c r="E599" i="2"/>
  <c r="D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D581" i="2"/>
  <c r="C581" i="2"/>
  <c r="B581" i="2"/>
  <c r="E580" i="2"/>
  <c r="D580" i="2"/>
  <c r="C580" i="2"/>
  <c r="B580" i="2"/>
  <c r="E579" i="2"/>
  <c r="D579" i="2"/>
  <c r="C579" i="2"/>
  <c r="B579" i="2"/>
  <c r="E578" i="2"/>
  <c r="D578" i="2"/>
  <c r="C578" i="2"/>
  <c r="B578" i="2"/>
  <c r="E577" i="2"/>
  <c r="D577" i="2"/>
  <c r="C577" i="2"/>
  <c r="B577" i="2"/>
  <c r="E576" i="2"/>
  <c r="D576" i="2"/>
  <c r="C576" i="2"/>
  <c r="B576" i="2"/>
  <c r="E575" i="2"/>
  <c r="D575" i="2"/>
  <c r="C575" i="2"/>
  <c r="B575" i="2"/>
  <c r="E574" i="2"/>
  <c r="D574" i="2"/>
  <c r="C574" i="2"/>
  <c r="B574" i="2"/>
  <c r="E573" i="2"/>
  <c r="D573" i="2"/>
  <c r="C573" i="2"/>
  <c r="B573" i="2"/>
  <c r="E572" i="2"/>
  <c r="D572" i="2"/>
  <c r="C572" i="2"/>
  <c r="B572" i="2"/>
  <c r="E571" i="2"/>
  <c r="D571" i="2"/>
  <c r="C571" i="2"/>
  <c r="B571" i="2"/>
  <c r="E570" i="2"/>
  <c r="D570" i="2"/>
  <c r="C570" i="2"/>
  <c r="B570" i="2"/>
  <c r="E569" i="2"/>
  <c r="D569" i="2"/>
  <c r="C569" i="2"/>
  <c r="B569" i="2"/>
  <c r="E568" i="2"/>
  <c r="D568" i="2"/>
  <c r="C568" i="2"/>
  <c r="B568" i="2"/>
  <c r="E567" i="2"/>
  <c r="D567" i="2"/>
  <c r="C567" i="2"/>
  <c r="B567" i="2"/>
  <c r="E566" i="2"/>
  <c r="D566" i="2"/>
  <c r="C566" i="2"/>
  <c r="B566" i="2"/>
  <c r="E565" i="2"/>
  <c r="D565" i="2"/>
  <c r="C565" i="2"/>
  <c r="B565" i="2"/>
  <c r="E564" i="2"/>
  <c r="D564" i="2"/>
  <c r="C564" i="2"/>
  <c r="B564" i="2"/>
  <c r="E563" i="2"/>
  <c r="D563" i="2"/>
  <c r="C563" i="2"/>
  <c r="B563" i="2"/>
  <c r="E562" i="2"/>
  <c r="D562" i="2"/>
  <c r="C562" i="2"/>
  <c r="B562" i="2"/>
  <c r="E561" i="2"/>
  <c r="D561" i="2"/>
  <c r="C561" i="2"/>
  <c r="B561" i="2"/>
  <c r="E560" i="2"/>
  <c r="D560" i="2"/>
  <c r="C560" i="2"/>
  <c r="B560" i="2"/>
  <c r="E559" i="2"/>
  <c r="D559" i="2"/>
  <c r="C559" i="2"/>
  <c r="B559" i="2"/>
  <c r="E558" i="2"/>
  <c r="D558" i="2"/>
  <c r="C558" i="2"/>
  <c r="B558" i="2"/>
  <c r="E557" i="2"/>
  <c r="D557" i="2"/>
  <c r="C557" i="2"/>
  <c r="B557" i="2"/>
  <c r="E556" i="2"/>
  <c r="D556" i="2"/>
  <c r="C556" i="2"/>
  <c r="B556" i="2"/>
  <c r="E555" i="2"/>
  <c r="D555" i="2"/>
  <c r="C555" i="2"/>
  <c r="B555" i="2"/>
  <c r="E554" i="2"/>
  <c r="D554" i="2"/>
  <c r="C554" i="2"/>
  <c r="B554" i="2"/>
  <c r="E553" i="2"/>
  <c r="D553" i="2"/>
  <c r="C553" i="2"/>
  <c r="B553" i="2"/>
  <c r="E552" i="2"/>
  <c r="D552" i="2"/>
  <c r="C552" i="2"/>
  <c r="B552" i="2"/>
  <c r="E551" i="2"/>
  <c r="D551" i="2"/>
  <c r="C551" i="2"/>
  <c r="B551" i="2"/>
  <c r="E550" i="2"/>
  <c r="D550" i="2"/>
  <c r="C550" i="2"/>
  <c r="B550" i="2"/>
  <c r="E549" i="2"/>
  <c r="D549" i="2"/>
  <c r="C549" i="2"/>
  <c r="B549" i="2"/>
  <c r="E548" i="2"/>
  <c r="D548" i="2"/>
  <c r="C548" i="2"/>
  <c r="B548" i="2"/>
  <c r="E547" i="2"/>
  <c r="D547" i="2"/>
  <c r="C547" i="2"/>
  <c r="B547" i="2"/>
  <c r="E546" i="2"/>
  <c r="D546" i="2"/>
  <c r="C546" i="2"/>
  <c r="B546" i="2"/>
  <c r="E545" i="2"/>
  <c r="D545" i="2"/>
  <c r="C545" i="2"/>
  <c r="B545" i="2"/>
  <c r="E544" i="2"/>
  <c r="D544" i="2"/>
  <c r="C544" i="2"/>
  <c r="B544" i="2"/>
  <c r="E543" i="2"/>
  <c r="D543" i="2"/>
  <c r="C543" i="2"/>
  <c r="B543" i="2"/>
  <c r="E542" i="2"/>
  <c r="D542" i="2"/>
  <c r="C542" i="2"/>
  <c r="B542" i="2"/>
  <c r="E541" i="2"/>
  <c r="D541" i="2"/>
  <c r="C541" i="2"/>
  <c r="B541" i="2"/>
  <c r="E540" i="2"/>
  <c r="D540" i="2"/>
  <c r="C540" i="2"/>
  <c r="B540" i="2"/>
  <c r="E539" i="2"/>
  <c r="D539" i="2"/>
  <c r="C539" i="2"/>
  <c r="B539" i="2"/>
  <c r="E538" i="2"/>
  <c r="D538" i="2"/>
  <c r="C538" i="2"/>
  <c r="B538" i="2"/>
  <c r="E537" i="2"/>
  <c r="D537" i="2"/>
  <c r="C537" i="2"/>
  <c r="B537" i="2"/>
  <c r="E536" i="2"/>
  <c r="D536" i="2"/>
  <c r="C536" i="2"/>
  <c r="B536" i="2"/>
  <c r="E535" i="2"/>
  <c r="D535" i="2"/>
  <c r="C535" i="2"/>
  <c r="B535" i="2"/>
  <c r="E534" i="2"/>
  <c r="D534" i="2"/>
  <c r="C534" i="2"/>
  <c r="B534" i="2"/>
  <c r="E533" i="2"/>
  <c r="D533" i="2"/>
  <c r="C533" i="2"/>
  <c r="B533" i="2"/>
  <c r="E532" i="2"/>
  <c r="D532" i="2"/>
  <c r="C532" i="2"/>
  <c r="B532" i="2"/>
  <c r="E531" i="2"/>
  <c r="D531" i="2"/>
  <c r="C531" i="2"/>
  <c r="B531" i="2"/>
  <c r="E530" i="2"/>
  <c r="D530" i="2"/>
  <c r="C530" i="2"/>
  <c r="B530" i="2"/>
  <c r="E529" i="2"/>
  <c r="D529" i="2"/>
  <c r="C529" i="2"/>
  <c r="B529" i="2"/>
  <c r="E528" i="2"/>
  <c r="D528" i="2"/>
  <c r="C528" i="2"/>
  <c r="B528" i="2"/>
  <c r="E527" i="2"/>
  <c r="D527" i="2"/>
  <c r="C527" i="2"/>
  <c r="B527" i="2"/>
  <c r="E526" i="2"/>
  <c r="D526" i="2"/>
  <c r="C526" i="2"/>
  <c r="B526" i="2"/>
  <c r="E525" i="2"/>
  <c r="D525" i="2"/>
  <c r="C525" i="2"/>
  <c r="B525" i="2"/>
  <c r="E524" i="2"/>
  <c r="D524" i="2"/>
  <c r="C524" i="2"/>
  <c r="B524" i="2"/>
  <c r="E523" i="2"/>
  <c r="D523" i="2"/>
  <c r="C523" i="2"/>
  <c r="B523" i="2"/>
  <c r="E522" i="2"/>
  <c r="D522" i="2"/>
  <c r="C522" i="2"/>
  <c r="B522" i="2"/>
  <c r="E521" i="2"/>
  <c r="D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D503" i="2"/>
  <c r="C503" i="2"/>
  <c r="B503" i="2"/>
  <c r="E502" i="2"/>
  <c r="D502" i="2"/>
  <c r="C502" i="2"/>
  <c r="B502" i="2"/>
  <c r="E501" i="2"/>
  <c r="D501" i="2"/>
  <c r="C501" i="2"/>
  <c r="B501" i="2"/>
  <c r="E500" i="2"/>
  <c r="D500" i="2"/>
  <c r="C500" i="2"/>
  <c r="B500" i="2"/>
  <c r="E499" i="2"/>
  <c r="D499" i="2"/>
  <c r="C499" i="2"/>
  <c r="B499" i="2"/>
  <c r="E498" i="2"/>
  <c r="D498" i="2"/>
  <c r="C498" i="2"/>
  <c r="B498" i="2"/>
  <c r="E497" i="2"/>
  <c r="D497" i="2"/>
  <c r="C497" i="2"/>
  <c r="B497" i="2"/>
  <c r="E496" i="2"/>
  <c r="D496" i="2"/>
  <c r="C496" i="2"/>
  <c r="B496" i="2"/>
  <c r="E495" i="2"/>
  <c r="D495" i="2"/>
  <c r="C495" i="2"/>
  <c r="B495" i="2"/>
  <c r="E494" i="2"/>
  <c r="D494" i="2"/>
  <c r="C494" i="2"/>
  <c r="B494" i="2"/>
  <c r="E493" i="2"/>
  <c r="D493" i="2"/>
  <c r="C493" i="2"/>
  <c r="B493" i="2"/>
  <c r="E492" i="2"/>
  <c r="D492" i="2"/>
  <c r="C492" i="2"/>
  <c r="B492" i="2"/>
  <c r="E491" i="2"/>
  <c r="D491" i="2"/>
  <c r="C491" i="2"/>
  <c r="B491" i="2"/>
  <c r="E490" i="2"/>
  <c r="D490" i="2"/>
  <c r="C490" i="2"/>
  <c r="B490" i="2"/>
  <c r="E489" i="2"/>
  <c r="D489" i="2"/>
  <c r="C489" i="2"/>
  <c r="B489" i="2"/>
  <c r="E488" i="2"/>
  <c r="D488" i="2"/>
  <c r="C488" i="2"/>
  <c r="B488" i="2"/>
  <c r="E487" i="2"/>
  <c r="D487" i="2"/>
  <c r="C487" i="2"/>
  <c r="B487" i="2"/>
  <c r="E486" i="2"/>
  <c r="D486" i="2"/>
  <c r="C486" i="2"/>
  <c r="B486" i="2"/>
  <c r="E485" i="2"/>
  <c r="D485" i="2"/>
  <c r="C485" i="2"/>
  <c r="B485" i="2"/>
  <c r="E484" i="2"/>
  <c r="D484" i="2"/>
  <c r="C484" i="2"/>
  <c r="B484" i="2"/>
  <c r="E483" i="2"/>
  <c r="D483" i="2"/>
  <c r="C483" i="2"/>
  <c r="B483" i="2"/>
  <c r="E482" i="2"/>
  <c r="D482" i="2"/>
  <c r="C482" i="2"/>
  <c r="B482" i="2"/>
  <c r="E481" i="2"/>
  <c r="D481" i="2"/>
  <c r="C481" i="2"/>
  <c r="B481" i="2"/>
  <c r="E480" i="2"/>
  <c r="D480" i="2"/>
  <c r="C480" i="2"/>
  <c r="B480" i="2"/>
  <c r="E479" i="2"/>
  <c r="D479" i="2"/>
  <c r="C479" i="2"/>
  <c r="B479" i="2"/>
  <c r="E478" i="2"/>
  <c r="D478" i="2"/>
  <c r="C478" i="2"/>
  <c r="B478" i="2"/>
  <c r="E477" i="2"/>
  <c r="D477" i="2"/>
  <c r="C477" i="2"/>
  <c r="B477" i="2"/>
  <c r="E476" i="2"/>
  <c r="D476" i="2"/>
  <c r="C476" i="2"/>
  <c r="B476" i="2"/>
  <c r="E475" i="2"/>
  <c r="D475" i="2"/>
  <c r="C475" i="2"/>
  <c r="B475" i="2"/>
  <c r="E474" i="2"/>
  <c r="D474" i="2"/>
  <c r="C474" i="2"/>
  <c r="B474" i="2"/>
  <c r="E473" i="2"/>
  <c r="D473" i="2"/>
  <c r="C473" i="2"/>
  <c r="B473" i="2"/>
  <c r="E472" i="2"/>
  <c r="D472" i="2"/>
  <c r="C472" i="2"/>
  <c r="B472" i="2"/>
  <c r="E471" i="2"/>
  <c r="D471" i="2"/>
  <c r="C471" i="2"/>
  <c r="B471" i="2"/>
  <c r="E470" i="2"/>
  <c r="D470" i="2"/>
  <c r="C470" i="2"/>
  <c r="B470" i="2"/>
  <c r="E469" i="2"/>
  <c r="D469" i="2"/>
  <c r="C469" i="2"/>
  <c r="B469" i="2"/>
  <c r="E468" i="2"/>
  <c r="D468" i="2"/>
  <c r="C468" i="2"/>
  <c r="B468" i="2"/>
  <c r="E467" i="2"/>
  <c r="D467" i="2"/>
  <c r="C467" i="2"/>
  <c r="B467" i="2"/>
  <c r="E466" i="2"/>
  <c r="D466" i="2"/>
  <c r="C466" i="2"/>
  <c r="B466" i="2"/>
  <c r="E465" i="2"/>
  <c r="D465" i="2"/>
  <c r="C465" i="2"/>
  <c r="B465" i="2"/>
  <c r="E464" i="2"/>
  <c r="D464" i="2"/>
  <c r="C464" i="2"/>
  <c r="B464" i="2"/>
  <c r="E463" i="2"/>
  <c r="D463" i="2"/>
  <c r="C463" i="2"/>
  <c r="B463" i="2"/>
  <c r="E462" i="2"/>
  <c r="D462" i="2"/>
  <c r="C462" i="2"/>
  <c r="B462" i="2"/>
  <c r="E461" i="2"/>
  <c r="D461" i="2"/>
  <c r="C461" i="2"/>
  <c r="B461" i="2"/>
  <c r="E460" i="2"/>
  <c r="D460" i="2"/>
  <c r="C460" i="2"/>
  <c r="B460" i="2"/>
  <c r="E459" i="2"/>
  <c r="D459" i="2"/>
  <c r="C459" i="2"/>
  <c r="B459" i="2"/>
  <c r="E458" i="2"/>
  <c r="D458" i="2"/>
  <c r="C458" i="2"/>
  <c r="B458" i="2"/>
  <c r="E457" i="2"/>
  <c r="D457" i="2"/>
  <c r="C457" i="2"/>
  <c r="B457" i="2"/>
  <c r="E456" i="2"/>
  <c r="D456" i="2"/>
  <c r="C456" i="2"/>
  <c r="B456" i="2"/>
  <c r="E455" i="2"/>
  <c r="D455" i="2"/>
  <c r="C455" i="2"/>
  <c r="B455" i="2"/>
  <c r="E454" i="2"/>
  <c r="D454" i="2"/>
  <c r="C454" i="2"/>
  <c r="B454" i="2"/>
  <c r="E453" i="2"/>
  <c r="D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D435" i="2"/>
  <c r="C435" i="2"/>
  <c r="B435" i="2"/>
  <c r="E434" i="2"/>
  <c r="D434" i="2"/>
  <c r="C434" i="2"/>
  <c r="B434" i="2"/>
  <c r="E433" i="2"/>
  <c r="D433" i="2"/>
  <c r="C433" i="2"/>
  <c r="B433" i="2"/>
  <c r="E432" i="2"/>
  <c r="D432" i="2"/>
  <c r="C432" i="2"/>
  <c r="B432" i="2"/>
  <c r="E431" i="2"/>
  <c r="D431" i="2"/>
  <c r="C431" i="2"/>
  <c r="B431" i="2"/>
  <c r="E430" i="2"/>
  <c r="D430" i="2"/>
  <c r="C430" i="2"/>
  <c r="B430" i="2"/>
  <c r="E429" i="2"/>
  <c r="D429" i="2"/>
  <c r="C429" i="2"/>
  <c r="B429" i="2"/>
  <c r="E428" i="2"/>
  <c r="D428" i="2"/>
  <c r="C428" i="2"/>
  <c r="B428" i="2"/>
  <c r="E427" i="2"/>
  <c r="D427" i="2"/>
  <c r="C427" i="2"/>
  <c r="B427" i="2"/>
  <c r="E426" i="2"/>
  <c r="D426" i="2"/>
  <c r="C426" i="2"/>
  <c r="B426" i="2"/>
  <c r="E425" i="2"/>
  <c r="D425" i="2"/>
  <c r="C425" i="2"/>
  <c r="B425" i="2"/>
  <c r="E424" i="2"/>
  <c r="D424" i="2"/>
  <c r="C424" i="2"/>
  <c r="B424" i="2"/>
  <c r="E423" i="2"/>
  <c r="D423" i="2"/>
  <c r="C423" i="2"/>
  <c r="B423" i="2"/>
  <c r="E422" i="2"/>
  <c r="D422" i="2"/>
  <c r="C422" i="2"/>
  <c r="B422" i="2"/>
  <c r="E421" i="2"/>
  <c r="D421" i="2"/>
  <c r="C421" i="2"/>
  <c r="B421" i="2"/>
  <c r="E420" i="2"/>
  <c r="D420" i="2"/>
  <c r="C420" i="2"/>
  <c r="B420" i="2"/>
  <c r="E419" i="2"/>
  <c r="D419" i="2"/>
  <c r="C419" i="2"/>
  <c r="B419" i="2"/>
  <c r="E418" i="2"/>
  <c r="D418" i="2"/>
  <c r="C418" i="2"/>
  <c r="B418" i="2"/>
  <c r="E417" i="2"/>
  <c r="D417" i="2"/>
  <c r="C417" i="2"/>
  <c r="B417" i="2"/>
  <c r="E416" i="2"/>
  <c r="D416" i="2"/>
  <c r="C416" i="2"/>
  <c r="B416" i="2"/>
  <c r="E415" i="2"/>
  <c r="D415" i="2"/>
  <c r="C415" i="2"/>
  <c r="B415" i="2"/>
  <c r="E414" i="2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<sst xmlns="http://schemas.openxmlformats.org/spreadsheetml/2006/main" count="5" uniqueCount="5">
  <si>
    <t>Date</t>
  </si>
  <si>
    <t>VIX</t>
  </si>
  <si>
    <t>V2X</t>
  </si>
  <si>
    <t>IVIUK</t>
  </si>
  <si>
    <t>SAVIT40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</si>
</sst>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72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16" bestFit="1" customWidth="1"/>
    <col min="2" max="5" width="9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45183</v>
      </c>
      <c r="B2">
        <f>13.37</f>
        <v>13.37</v>
      </c>
      <c r="C2">
        <f>16.2224</f>
        <v>16.2224</v>
      </c>
      <c r="D2" t="e">
        <f>NA()</f>
        <v>#N/A</v>
      </c>
      <c r="E2" t="e">
        <f>NA()</f>
        <v>#N/A</v>
      </c>
    </row>
    <row r="3" spans="1:5" x14ac:dyDescent="0.2">
      <c r="A3" s="1">
        <v>45182</v>
      </c>
      <c r="B3">
        <f>13.48</f>
        <v>13.48</v>
      </c>
      <c r="C3">
        <f>16.5042</f>
        <v>16.504200000000001</v>
      </c>
      <c r="D3">
        <f>13.15</f>
        <v>13.15</v>
      </c>
      <c r="E3">
        <f>20.68</f>
        <v>20.68</v>
      </c>
    </row>
    <row r="4" spans="1:5" x14ac:dyDescent="0.2">
      <c r="A4" s="1">
        <v>45181</v>
      </c>
      <c r="B4">
        <f>14.23</f>
        <v>14.23</v>
      </c>
      <c r="C4">
        <f>16.5155</f>
        <v>16.515499999999999</v>
      </c>
      <c r="D4">
        <f>13.11</f>
        <v>13.11</v>
      </c>
      <c r="E4">
        <f>20.23</f>
        <v>20.23</v>
      </c>
    </row>
    <row r="5" spans="1:5" x14ac:dyDescent="0.2">
      <c r="A5" s="1">
        <v>45180</v>
      </c>
      <c r="B5">
        <f>13.8</f>
        <v>13.8</v>
      </c>
      <c r="C5">
        <f>16.2321</f>
        <v>16.232099999999999</v>
      </c>
      <c r="D5">
        <f>12.74</f>
        <v>12.74</v>
      </c>
      <c r="E5">
        <f>19.83</f>
        <v>19.829999999999998</v>
      </c>
    </row>
    <row r="6" spans="1:5" x14ac:dyDescent="0.2">
      <c r="A6" s="1">
        <v>45177</v>
      </c>
      <c r="B6">
        <f>13.84</f>
        <v>13.84</v>
      </c>
      <c r="C6">
        <f>16.1885</f>
        <v>16.188500000000001</v>
      </c>
      <c r="D6">
        <f>13.77</f>
        <v>13.77</v>
      </c>
      <c r="E6">
        <f>19.74</f>
        <v>19.739999999999998</v>
      </c>
    </row>
    <row r="7" spans="1:5" x14ac:dyDescent="0.2">
      <c r="A7" s="1">
        <v>45176</v>
      </c>
      <c r="B7">
        <f>14.4</f>
        <v>14.4</v>
      </c>
      <c r="C7">
        <f>16.9887</f>
        <v>16.988700000000001</v>
      </c>
      <c r="D7">
        <f>14.17</f>
        <v>14.17</v>
      </c>
      <c r="E7">
        <f>19.82</f>
        <v>19.82</v>
      </c>
    </row>
    <row r="8" spans="1:5" x14ac:dyDescent="0.2">
      <c r="A8" s="1">
        <v>45175</v>
      </c>
      <c r="B8">
        <f>14.45</f>
        <v>14.45</v>
      </c>
      <c r="C8">
        <f>16.8029</f>
        <v>16.802900000000001</v>
      </c>
      <c r="D8">
        <f>14.63</f>
        <v>14.63</v>
      </c>
      <c r="E8">
        <f>19.32</f>
        <v>19.32</v>
      </c>
    </row>
    <row r="9" spans="1:5" x14ac:dyDescent="0.2">
      <c r="A9" s="1">
        <v>45174</v>
      </c>
      <c r="B9">
        <f>14.01</f>
        <v>14.01</v>
      </c>
      <c r="C9">
        <f>16.3544</f>
        <v>16.354399999999998</v>
      </c>
      <c r="D9">
        <f>14.21</f>
        <v>14.21</v>
      </c>
      <c r="E9">
        <f>18.82</f>
        <v>18.82</v>
      </c>
    </row>
    <row r="10" spans="1:5" x14ac:dyDescent="0.2">
      <c r="A10" s="1">
        <v>45173</v>
      </c>
      <c r="B10">
        <f>13.82</f>
        <v>13.82</v>
      </c>
      <c r="C10">
        <f>16.6633</f>
        <v>16.6633</v>
      </c>
      <c r="D10">
        <f>14.29</f>
        <v>14.29</v>
      </c>
      <c r="E10">
        <f>18.81</f>
        <v>18.809999999999999</v>
      </c>
    </row>
    <row r="11" spans="1:5" x14ac:dyDescent="0.2">
      <c r="A11" s="1">
        <v>45170</v>
      </c>
      <c r="B11">
        <f>13.09</f>
        <v>13.09</v>
      </c>
      <c r="C11">
        <f>15.9449</f>
        <v>15.944900000000001</v>
      </c>
      <c r="D11">
        <f>13.43</f>
        <v>13.43</v>
      </c>
      <c r="E11">
        <f>19.34</f>
        <v>19.34</v>
      </c>
    </row>
    <row r="12" spans="1:5" x14ac:dyDescent="0.2">
      <c r="A12" s="1">
        <v>45169</v>
      </c>
      <c r="B12">
        <f>13.57</f>
        <v>13.57</v>
      </c>
      <c r="C12">
        <f>16.0638</f>
        <v>16.063800000000001</v>
      </c>
      <c r="D12">
        <f>13.56</f>
        <v>13.56</v>
      </c>
      <c r="E12">
        <f>19.98</f>
        <v>19.98</v>
      </c>
    </row>
    <row r="13" spans="1:5" x14ac:dyDescent="0.2">
      <c r="A13" s="1">
        <v>45168</v>
      </c>
      <c r="B13">
        <f>13.88</f>
        <v>13.88</v>
      </c>
      <c r="C13">
        <f>16.5618</f>
        <v>16.561800000000002</v>
      </c>
      <c r="D13">
        <f>14.1</f>
        <v>14.1</v>
      </c>
      <c r="E13">
        <f>18.88</f>
        <v>18.88</v>
      </c>
    </row>
    <row r="14" spans="1:5" x14ac:dyDescent="0.2">
      <c r="A14" s="1">
        <v>45167</v>
      </c>
      <c r="B14">
        <f>14.45</f>
        <v>14.45</v>
      </c>
      <c r="C14">
        <f>16.7835</f>
        <v>16.7835</v>
      </c>
      <c r="D14">
        <f>13.94</f>
        <v>13.94</v>
      </c>
      <c r="E14">
        <f>19.6</f>
        <v>19.600000000000001</v>
      </c>
    </row>
    <row r="15" spans="1:5" x14ac:dyDescent="0.2">
      <c r="A15" s="1">
        <v>45166</v>
      </c>
      <c r="B15">
        <f>15.08</f>
        <v>15.08</v>
      </c>
      <c r="C15">
        <f>17.8175</f>
        <v>17.817499999999999</v>
      </c>
      <c r="D15" t="e">
        <f>NA()</f>
        <v>#N/A</v>
      </c>
      <c r="E15">
        <f>16.82</f>
        <v>16.82</v>
      </c>
    </row>
    <row r="16" spans="1:5" x14ac:dyDescent="0.2">
      <c r="A16" s="1">
        <v>45163</v>
      </c>
      <c r="B16">
        <f>15.68</f>
        <v>15.68</v>
      </c>
      <c r="C16">
        <f>18.4734</f>
        <v>18.473400000000002</v>
      </c>
      <c r="D16">
        <f>14.41</f>
        <v>14.41</v>
      </c>
      <c r="E16">
        <f>19.86</f>
        <v>19.86</v>
      </c>
    </row>
    <row r="17" spans="1:5" x14ac:dyDescent="0.2">
      <c r="A17" s="1">
        <v>45162</v>
      </c>
      <c r="B17">
        <f>17.2</f>
        <v>17.2</v>
      </c>
      <c r="C17">
        <f>18.9039</f>
        <v>18.9039</v>
      </c>
      <c r="D17">
        <f>14.6</f>
        <v>14.6</v>
      </c>
      <c r="E17">
        <f>20.49</f>
        <v>20.49</v>
      </c>
    </row>
    <row r="18" spans="1:5" x14ac:dyDescent="0.2">
      <c r="A18" s="1">
        <v>45161</v>
      </c>
      <c r="B18">
        <f>15.98</f>
        <v>15.98</v>
      </c>
      <c r="C18">
        <f>18.4996</f>
        <v>18.499600000000001</v>
      </c>
      <c r="D18">
        <f>14.91</f>
        <v>14.91</v>
      </c>
      <c r="E18">
        <f>20.17</f>
        <v>20.170000000000002</v>
      </c>
    </row>
    <row r="19" spans="1:5" x14ac:dyDescent="0.2">
      <c r="A19" s="1">
        <v>45160</v>
      </c>
      <c r="B19">
        <f>16.97</f>
        <v>16.97</v>
      </c>
      <c r="C19">
        <f>19.1293</f>
        <v>19.129300000000001</v>
      </c>
      <c r="D19">
        <f>15.39</f>
        <v>15.39</v>
      </c>
      <c r="E19">
        <f>20.8</f>
        <v>20.8</v>
      </c>
    </row>
    <row r="20" spans="1:5" x14ac:dyDescent="0.2">
      <c r="A20" s="1">
        <v>45159</v>
      </c>
      <c r="B20">
        <f>17.13</f>
        <v>17.13</v>
      </c>
      <c r="C20">
        <f>19.8367</f>
        <v>19.8367</v>
      </c>
      <c r="D20">
        <f>16.27</f>
        <v>16.27</v>
      </c>
      <c r="E20">
        <f>20.8</f>
        <v>20.8</v>
      </c>
    </row>
    <row r="21" spans="1:5" x14ac:dyDescent="0.2">
      <c r="A21" s="1">
        <v>45156</v>
      </c>
      <c r="B21">
        <f>17.3</f>
        <v>17.3</v>
      </c>
      <c r="C21">
        <f>20.2456</f>
        <v>20.2456</v>
      </c>
      <c r="D21">
        <f>16.4</f>
        <v>16.399999999999999</v>
      </c>
      <c r="E21">
        <f>21.11</f>
        <v>21.11</v>
      </c>
    </row>
    <row r="22" spans="1:5" x14ac:dyDescent="0.2">
      <c r="A22" s="1">
        <v>45155</v>
      </c>
      <c r="B22">
        <f>17.89</f>
        <v>17.89</v>
      </c>
      <c r="C22">
        <f>20.3539</f>
        <v>20.353899999999999</v>
      </c>
      <c r="D22">
        <f>16.29</f>
        <v>16.29</v>
      </c>
      <c r="E22">
        <f>20.69</f>
        <v>20.69</v>
      </c>
    </row>
    <row r="23" spans="1:5" x14ac:dyDescent="0.2">
      <c r="A23" s="1">
        <v>45154</v>
      </c>
      <c r="B23">
        <f>16.78</f>
        <v>16.78</v>
      </c>
      <c r="C23">
        <f>18.551</f>
        <v>18.550999999999998</v>
      </c>
      <c r="D23">
        <f>15.21</f>
        <v>15.21</v>
      </c>
      <c r="E23">
        <f>19.73</f>
        <v>19.73</v>
      </c>
    </row>
    <row r="24" spans="1:5" x14ac:dyDescent="0.2">
      <c r="A24" s="1">
        <v>45153</v>
      </c>
      <c r="B24">
        <f>16.46</f>
        <v>16.46</v>
      </c>
      <c r="C24">
        <f>18.8579</f>
        <v>18.857900000000001</v>
      </c>
      <c r="D24">
        <f>16</f>
        <v>16</v>
      </c>
      <c r="E24">
        <f>19.22</f>
        <v>19.22</v>
      </c>
    </row>
    <row r="25" spans="1:5" x14ac:dyDescent="0.2">
      <c r="A25" s="1">
        <v>45152</v>
      </c>
      <c r="B25">
        <f>14.82</f>
        <v>14.82</v>
      </c>
      <c r="C25">
        <f>18.0529</f>
        <v>18.052900000000001</v>
      </c>
      <c r="D25">
        <f>14.67</f>
        <v>14.67</v>
      </c>
      <c r="E25">
        <f>19.09</f>
        <v>19.09</v>
      </c>
    </row>
    <row r="26" spans="1:5" x14ac:dyDescent="0.2">
      <c r="A26" s="1">
        <v>45149</v>
      </c>
      <c r="B26">
        <f>14.84</f>
        <v>14.84</v>
      </c>
      <c r="C26">
        <f>18.3746</f>
        <v>18.374600000000001</v>
      </c>
      <c r="D26">
        <f>15.2</f>
        <v>15.2</v>
      </c>
      <c r="E26">
        <f>18.33</f>
        <v>18.329999999999998</v>
      </c>
    </row>
    <row r="27" spans="1:5" x14ac:dyDescent="0.2">
      <c r="A27" s="1">
        <v>45148</v>
      </c>
      <c r="B27">
        <f>15.85</f>
        <v>15.85</v>
      </c>
      <c r="C27">
        <f>18.0764</f>
        <v>18.0764</v>
      </c>
      <c r="D27">
        <f>14.38</f>
        <v>14.38</v>
      </c>
      <c r="E27">
        <f>18.64</f>
        <v>18.64</v>
      </c>
    </row>
    <row r="28" spans="1:5" x14ac:dyDescent="0.2">
      <c r="A28" s="1">
        <v>45147</v>
      </c>
      <c r="B28">
        <f>15.96</f>
        <v>15.96</v>
      </c>
      <c r="C28">
        <f>18.9796</f>
        <v>18.979600000000001</v>
      </c>
      <c r="D28">
        <f>14.92</f>
        <v>14.92</v>
      </c>
      <c r="E28" t="e">
        <f>NA()</f>
        <v>#N/A</v>
      </c>
    </row>
    <row r="29" spans="1:5" x14ac:dyDescent="0.2">
      <c r="A29" s="1">
        <v>45146</v>
      </c>
      <c r="B29">
        <f>15.99</f>
        <v>15.99</v>
      </c>
      <c r="C29">
        <f>19.5393</f>
        <v>19.539300000000001</v>
      </c>
      <c r="D29">
        <f>15.12</f>
        <v>15.12</v>
      </c>
      <c r="E29">
        <f>18.63</f>
        <v>18.63</v>
      </c>
    </row>
    <row r="30" spans="1:5" x14ac:dyDescent="0.2">
      <c r="A30" s="1">
        <v>45145</v>
      </c>
      <c r="B30">
        <f>15.77</f>
        <v>15.77</v>
      </c>
      <c r="C30">
        <f>18.6231</f>
        <v>18.623100000000001</v>
      </c>
      <c r="D30">
        <f>14.69</f>
        <v>14.69</v>
      </c>
      <c r="E30">
        <f>19.1</f>
        <v>19.100000000000001</v>
      </c>
    </row>
    <row r="31" spans="1:5" x14ac:dyDescent="0.2">
      <c r="A31" s="1">
        <v>45142</v>
      </c>
      <c r="B31">
        <f>17.1</f>
        <v>17.100000000000001</v>
      </c>
      <c r="C31">
        <f>18.3516</f>
        <v>18.351600000000001</v>
      </c>
      <c r="D31">
        <f>14.79</f>
        <v>14.79</v>
      </c>
      <c r="E31">
        <f>19.07</f>
        <v>19.07</v>
      </c>
    </row>
    <row r="32" spans="1:5" x14ac:dyDescent="0.2">
      <c r="A32" s="1">
        <v>45141</v>
      </c>
      <c r="B32">
        <f>15.92</f>
        <v>15.92</v>
      </c>
      <c r="C32">
        <f>19.6507</f>
        <v>19.650700000000001</v>
      </c>
      <c r="D32">
        <f>16.43</f>
        <v>16.43</v>
      </c>
      <c r="E32">
        <f>19.07</f>
        <v>19.07</v>
      </c>
    </row>
    <row r="33" spans="1:5" x14ac:dyDescent="0.2">
      <c r="A33" s="1">
        <v>45140</v>
      </c>
      <c r="B33">
        <f>16.09</f>
        <v>16.09</v>
      </c>
      <c r="C33">
        <f>19.7059</f>
        <v>19.7059</v>
      </c>
      <c r="D33">
        <f>16.74</f>
        <v>16.739999999999998</v>
      </c>
      <c r="E33">
        <f>17.73</f>
        <v>17.73</v>
      </c>
    </row>
    <row r="34" spans="1:5" x14ac:dyDescent="0.2">
      <c r="A34" s="1">
        <v>45139</v>
      </c>
      <c r="B34">
        <f>13.93</f>
        <v>13.93</v>
      </c>
      <c r="C34">
        <f>17.1897</f>
        <v>17.189699999999998</v>
      </c>
      <c r="D34">
        <f>14.62</f>
        <v>14.62</v>
      </c>
      <c r="E34">
        <f>17.66</f>
        <v>17.66</v>
      </c>
    </row>
    <row r="35" spans="1:5" x14ac:dyDescent="0.2">
      <c r="A35" s="1">
        <v>45138</v>
      </c>
      <c r="B35">
        <f>13.63</f>
        <v>13.63</v>
      </c>
      <c r="C35">
        <f>16.2264</f>
        <v>16.226400000000002</v>
      </c>
      <c r="D35">
        <f>14.03</f>
        <v>14.03</v>
      </c>
      <c r="E35">
        <f>17.93</f>
        <v>17.93</v>
      </c>
    </row>
    <row r="36" spans="1:5" x14ac:dyDescent="0.2">
      <c r="A36" s="1">
        <v>45135</v>
      </c>
      <c r="B36">
        <f>13.33</f>
        <v>13.33</v>
      </c>
      <c r="C36">
        <f>15.2189</f>
        <v>15.2189</v>
      </c>
      <c r="D36">
        <f>13.07</f>
        <v>13.07</v>
      </c>
      <c r="E36">
        <f>18.32</f>
        <v>18.32</v>
      </c>
    </row>
    <row r="37" spans="1:5" x14ac:dyDescent="0.2">
      <c r="A37" s="1">
        <v>45134</v>
      </c>
      <c r="B37">
        <f>14.41</f>
        <v>14.41</v>
      </c>
      <c r="C37">
        <f>14.9653</f>
        <v>14.965299999999999</v>
      </c>
      <c r="D37">
        <f>13.27</f>
        <v>13.27</v>
      </c>
      <c r="E37">
        <f>18.32</f>
        <v>18.32</v>
      </c>
    </row>
    <row r="38" spans="1:5" x14ac:dyDescent="0.2">
      <c r="A38" s="1">
        <v>45133</v>
      </c>
      <c r="B38">
        <f>13.19</f>
        <v>13.19</v>
      </c>
      <c r="C38">
        <f>16.0997</f>
        <v>16.099699999999999</v>
      </c>
      <c r="D38">
        <f>13.86</f>
        <v>13.86</v>
      </c>
      <c r="E38">
        <f>18.39</f>
        <v>18.39</v>
      </c>
    </row>
    <row r="39" spans="1:5" x14ac:dyDescent="0.2">
      <c r="A39" s="1">
        <v>45132</v>
      </c>
      <c r="B39">
        <f>13.86</f>
        <v>13.86</v>
      </c>
      <c r="C39">
        <f>15.4793</f>
        <v>15.4793</v>
      </c>
      <c r="D39">
        <f>13.24</f>
        <v>13.24</v>
      </c>
      <c r="E39">
        <f>18.68</f>
        <v>18.68</v>
      </c>
    </row>
    <row r="40" spans="1:5" x14ac:dyDescent="0.2">
      <c r="A40" s="1">
        <v>45131</v>
      </c>
      <c r="B40">
        <f>13.91</f>
        <v>13.91</v>
      </c>
      <c r="C40">
        <f>15.534</f>
        <v>15.534000000000001</v>
      </c>
      <c r="D40">
        <f>13.14</f>
        <v>13.14</v>
      </c>
      <c r="E40">
        <f>18.7</f>
        <v>18.7</v>
      </c>
    </row>
    <row r="41" spans="1:5" x14ac:dyDescent="0.2">
      <c r="A41" s="1">
        <v>45128</v>
      </c>
      <c r="B41">
        <f>13.6</f>
        <v>13.6</v>
      </c>
      <c r="C41">
        <f>14.9422</f>
        <v>14.9422</v>
      </c>
      <c r="D41">
        <f>13.08</f>
        <v>13.08</v>
      </c>
      <c r="E41">
        <f>18.94</f>
        <v>18.940000000000001</v>
      </c>
    </row>
    <row r="42" spans="1:5" x14ac:dyDescent="0.2">
      <c r="A42" s="1">
        <v>45127</v>
      </c>
      <c r="B42">
        <f>13.99</f>
        <v>13.99</v>
      </c>
      <c r="C42">
        <f>15.6917</f>
        <v>15.691700000000001</v>
      </c>
      <c r="D42">
        <f>13.43</f>
        <v>13.43</v>
      </c>
      <c r="E42">
        <f>18.94</f>
        <v>18.940000000000001</v>
      </c>
    </row>
    <row r="43" spans="1:5" x14ac:dyDescent="0.2">
      <c r="A43" s="1">
        <v>45126</v>
      </c>
      <c r="B43">
        <f>13.76</f>
        <v>13.76</v>
      </c>
      <c r="C43">
        <f>15.9653</f>
        <v>15.965299999999999</v>
      </c>
      <c r="D43">
        <f>13.48</f>
        <v>13.48</v>
      </c>
      <c r="E43">
        <f>18.81</f>
        <v>18.809999999999999</v>
      </c>
    </row>
    <row r="44" spans="1:5" x14ac:dyDescent="0.2">
      <c r="A44" s="1">
        <v>45125</v>
      </c>
      <c r="B44">
        <f>13.3</f>
        <v>13.3</v>
      </c>
      <c r="C44">
        <f>15.506</f>
        <v>15.506</v>
      </c>
      <c r="D44">
        <f>12.92</f>
        <v>12.92</v>
      </c>
      <c r="E44">
        <f>18.52</f>
        <v>18.52</v>
      </c>
    </row>
    <row r="45" spans="1:5" x14ac:dyDescent="0.2">
      <c r="A45" s="1">
        <v>45124</v>
      </c>
      <c r="B45">
        <f>13.48</f>
        <v>13.48</v>
      </c>
      <c r="C45">
        <f>15.8316</f>
        <v>15.8316</v>
      </c>
      <c r="D45">
        <f>13.66</f>
        <v>13.66</v>
      </c>
      <c r="E45">
        <f>18.1</f>
        <v>18.100000000000001</v>
      </c>
    </row>
    <row r="46" spans="1:5" x14ac:dyDescent="0.2">
      <c r="A46" s="1">
        <v>45121</v>
      </c>
      <c r="B46">
        <f>13.34</f>
        <v>13.34</v>
      </c>
      <c r="C46">
        <f>14.7973</f>
        <v>14.7973</v>
      </c>
      <c r="D46">
        <f>12.64</f>
        <v>12.64</v>
      </c>
      <c r="E46">
        <f>18.38</f>
        <v>18.38</v>
      </c>
    </row>
    <row r="47" spans="1:5" x14ac:dyDescent="0.2">
      <c r="A47" s="1">
        <v>45120</v>
      </c>
      <c r="B47">
        <f>13.61</f>
        <v>13.61</v>
      </c>
      <c r="C47">
        <f>15.0485</f>
        <v>15.048500000000001</v>
      </c>
      <c r="D47">
        <f>12.3</f>
        <v>12.3</v>
      </c>
      <c r="E47">
        <f>18.86</f>
        <v>18.86</v>
      </c>
    </row>
    <row r="48" spans="1:5" x14ac:dyDescent="0.2">
      <c r="A48" s="1">
        <v>45119</v>
      </c>
      <c r="B48">
        <f>13.54</f>
        <v>13.54</v>
      </c>
      <c r="C48">
        <f>15.1849</f>
        <v>15.184900000000001</v>
      </c>
      <c r="D48">
        <f>12.67</f>
        <v>12.67</v>
      </c>
      <c r="E48">
        <f>20.08</f>
        <v>20.079999999999998</v>
      </c>
    </row>
    <row r="49" spans="1:5" x14ac:dyDescent="0.2">
      <c r="A49" s="1">
        <v>45118</v>
      </c>
      <c r="B49">
        <f>14.84</f>
        <v>14.84</v>
      </c>
      <c r="C49">
        <f>16.5671</f>
        <v>16.5671</v>
      </c>
      <c r="D49">
        <f>14.18</f>
        <v>14.18</v>
      </c>
      <c r="E49">
        <f>20.34</f>
        <v>20.34</v>
      </c>
    </row>
    <row r="50" spans="1:5" x14ac:dyDescent="0.2">
      <c r="A50" s="1">
        <v>45117</v>
      </c>
      <c r="B50">
        <f>15.07</f>
        <v>15.07</v>
      </c>
      <c r="C50">
        <f>17.5041</f>
        <v>17.504100000000001</v>
      </c>
      <c r="D50">
        <f>14.72</f>
        <v>14.72</v>
      </c>
      <c r="E50">
        <f>19.7</f>
        <v>19.7</v>
      </c>
    </row>
    <row r="51" spans="1:5" x14ac:dyDescent="0.2">
      <c r="A51" s="1">
        <v>45114</v>
      </c>
      <c r="B51">
        <f>14.83</f>
        <v>14.83</v>
      </c>
      <c r="C51">
        <f>17.5374</f>
        <v>17.537400000000002</v>
      </c>
      <c r="D51">
        <f>14.89</f>
        <v>14.89</v>
      </c>
      <c r="E51">
        <f>19.4</f>
        <v>19.399999999999999</v>
      </c>
    </row>
    <row r="52" spans="1:5" x14ac:dyDescent="0.2">
      <c r="A52" s="1">
        <v>45113</v>
      </c>
      <c r="B52">
        <f>15.44</f>
        <v>15.44</v>
      </c>
      <c r="C52">
        <f>19.2277</f>
        <v>19.227699999999999</v>
      </c>
      <c r="D52">
        <f>15.65</f>
        <v>15.65</v>
      </c>
      <c r="E52">
        <f>18.34</f>
        <v>18.34</v>
      </c>
    </row>
    <row r="53" spans="1:5" x14ac:dyDescent="0.2">
      <c r="A53" s="1">
        <v>45112</v>
      </c>
      <c r="B53">
        <f>14.18</f>
        <v>14.18</v>
      </c>
      <c r="C53">
        <f>15.2945</f>
        <v>15.294499999999999</v>
      </c>
      <c r="D53">
        <f>12.65</f>
        <v>12.65</v>
      </c>
      <c r="E53">
        <f>18.31</f>
        <v>18.309999999999999</v>
      </c>
    </row>
    <row r="54" spans="1:5" x14ac:dyDescent="0.2">
      <c r="A54" s="1">
        <v>45111</v>
      </c>
      <c r="B54">
        <f>13.7</f>
        <v>13.7</v>
      </c>
      <c r="C54">
        <f>14.1015</f>
        <v>14.1015</v>
      </c>
      <c r="D54">
        <f>11.65</f>
        <v>11.65</v>
      </c>
      <c r="E54" t="e">
        <f>NA()</f>
        <v>#N/A</v>
      </c>
    </row>
    <row r="55" spans="1:5" x14ac:dyDescent="0.2">
      <c r="A55" s="1">
        <v>45110</v>
      </c>
      <c r="B55">
        <f>13.57</f>
        <v>13.57</v>
      </c>
      <c r="C55">
        <f>13.6529</f>
        <v>13.652900000000001</v>
      </c>
      <c r="D55">
        <f>11.44</f>
        <v>11.44</v>
      </c>
      <c r="E55" t="e">
        <f>NA()</f>
        <v>#N/A</v>
      </c>
    </row>
    <row r="56" spans="1:5" x14ac:dyDescent="0.2">
      <c r="A56" s="1">
        <v>45107</v>
      </c>
      <c r="B56">
        <f>13.59</f>
        <v>13.59</v>
      </c>
      <c r="C56">
        <f>13.6139</f>
        <v>13.613899999999999</v>
      </c>
      <c r="D56">
        <f>11.28</f>
        <v>11.28</v>
      </c>
      <c r="E56">
        <f>20.58</f>
        <v>20.58</v>
      </c>
    </row>
    <row r="57" spans="1:5" x14ac:dyDescent="0.2">
      <c r="A57" s="1">
        <v>45106</v>
      </c>
      <c r="B57">
        <f>13.54</f>
        <v>13.54</v>
      </c>
      <c r="C57">
        <f>14.252</f>
        <v>14.252000000000001</v>
      </c>
      <c r="D57">
        <f>12.34</f>
        <v>12.34</v>
      </c>
      <c r="E57">
        <f>20.62</f>
        <v>20.62</v>
      </c>
    </row>
    <row r="58" spans="1:5" x14ac:dyDescent="0.2">
      <c r="A58" s="1">
        <v>45105</v>
      </c>
      <c r="B58">
        <f>13.43</f>
        <v>13.43</v>
      </c>
      <c r="C58">
        <f>14.213</f>
        <v>14.212999999999999</v>
      </c>
      <c r="D58">
        <f>12.12</f>
        <v>12.12</v>
      </c>
      <c r="E58">
        <f>20.64</f>
        <v>20.64</v>
      </c>
    </row>
    <row r="59" spans="1:5" x14ac:dyDescent="0.2">
      <c r="A59" s="1">
        <v>45104</v>
      </c>
      <c r="B59">
        <f>13.74</f>
        <v>13.74</v>
      </c>
      <c r="C59">
        <f>15.2039</f>
        <v>15.203900000000001</v>
      </c>
      <c r="D59">
        <f>12.77</f>
        <v>12.77</v>
      </c>
      <c r="E59">
        <f>22.05</f>
        <v>22.05</v>
      </c>
    </row>
    <row r="60" spans="1:5" x14ac:dyDescent="0.2">
      <c r="A60" s="1">
        <v>45103</v>
      </c>
      <c r="B60">
        <f>14.25</f>
        <v>14.25</v>
      </c>
      <c r="C60">
        <f>15.8789</f>
        <v>15.8789</v>
      </c>
      <c r="D60">
        <f>13.28</f>
        <v>13.28</v>
      </c>
      <c r="E60">
        <f>20.44</f>
        <v>20.440000000000001</v>
      </c>
    </row>
    <row r="61" spans="1:5" x14ac:dyDescent="0.2">
      <c r="A61" s="1">
        <v>45100</v>
      </c>
      <c r="B61">
        <f>13.44</f>
        <v>13.44</v>
      </c>
      <c r="C61">
        <f>15.3519</f>
        <v>15.351900000000001</v>
      </c>
      <c r="D61">
        <f>12.6</f>
        <v>12.6</v>
      </c>
      <c r="E61">
        <f>20.95</f>
        <v>20.95</v>
      </c>
    </row>
    <row r="62" spans="1:5" x14ac:dyDescent="0.2">
      <c r="A62" s="1">
        <v>45099</v>
      </c>
      <c r="B62">
        <f>12.91</f>
        <v>12.91</v>
      </c>
      <c r="C62">
        <f>14.8578</f>
        <v>14.857799999999999</v>
      </c>
      <c r="D62">
        <f>12.58</f>
        <v>12.58</v>
      </c>
      <c r="E62">
        <f>20.55</f>
        <v>20.55</v>
      </c>
    </row>
    <row r="63" spans="1:5" x14ac:dyDescent="0.2">
      <c r="A63" s="1">
        <v>45098</v>
      </c>
      <c r="B63">
        <f>13.2</f>
        <v>13.2</v>
      </c>
      <c r="C63">
        <f>14.3982</f>
        <v>14.398199999999999</v>
      </c>
      <c r="D63">
        <f>11.86</f>
        <v>11.86</v>
      </c>
      <c r="E63">
        <f>20.56</f>
        <v>20.56</v>
      </c>
    </row>
    <row r="64" spans="1:5" x14ac:dyDescent="0.2">
      <c r="A64" s="1">
        <v>45097</v>
      </c>
      <c r="B64">
        <f>13.88</f>
        <v>13.88</v>
      </c>
      <c r="C64">
        <f>14.6542</f>
        <v>14.654199999999999</v>
      </c>
      <c r="D64">
        <f>12.23</f>
        <v>12.23</v>
      </c>
      <c r="E64">
        <f>19.49</f>
        <v>19.489999999999998</v>
      </c>
    </row>
    <row r="65" spans="1:5" x14ac:dyDescent="0.2">
      <c r="A65" s="1">
        <v>45096</v>
      </c>
      <c r="B65">
        <f>14.19</f>
        <v>14.19</v>
      </c>
      <c r="C65">
        <f>14.2158</f>
        <v>14.2158</v>
      </c>
      <c r="D65">
        <f>11.61</f>
        <v>11.61</v>
      </c>
      <c r="E65">
        <f>20.59</f>
        <v>20.59</v>
      </c>
    </row>
    <row r="66" spans="1:5" x14ac:dyDescent="0.2">
      <c r="A66" s="1">
        <v>45093</v>
      </c>
      <c r="B66">
        <f>13.54</f>
        <v>13.54</v>
      </c>
      <c r="C66">
        <f>13.0737</f>
        <v>13.073700000000001</v>
      </c>
      <c r="D66">
        <f>11.02</f>
        <v>11.02</v>
      </c>
      <c r="E66" t="e">
        <f>NA()</f>
        <v>#N/A</v>
      </c>
    </row>
    <row r="67" spans="1:5" x14ac:dyDescent="0.2">
      <c r="A67" s="1">
        <v>45092</v>
      </c>
      <c r="B67">
        <f>14.5</f>
        <v>14.5</v>
      </c>
      <c r="C67">
        <f>13.7205</f>
        <v>13.720499999999999</v>
      </c>
      <c r="D67">
        <f>12.26</f>
        <v>12.26</v>
      </c>
      <c r="E67">
        <f>20.65</f>
        <v>20.65</v>
      </c>
    </row>
    <row r="68" spans="1:5" x14ac:dyDescent="0.2">
      <c r="A68" s="1">
        <v>45091</v>
      </c>
      <c r="B68">
        <f>13.88</f>
        <v>13.88</v>
      </c>
      <c r="C68">
        <f>14.2258</f>
        <v>14.2258</v>
      </c>
      <c r="D68">
        <f>12.72</f>
        <v>12.72</v>
      </c>
      <c r="E68">
        <f>19.24</f>
        <v>19.239999999999998</v>
      </c>
    </row>
    <row r="69" spans="1:5" x14ac:dyDescent="0.2">
      <c r="A69" s="1">
        <v>45090</v>
      </c>
      <c r="B69">
        <f>14.61</f>
        <v>14.61</v>
      </c>
      <c r="C69">
        <f>14.7763</f>
        <v>14.776300000000001</v>
      </c>
      <c r="D69">
        <f>13.05</f>
        <v>13.05</v>
      </c>
      <c r="E69">
        <f>20.03</f>
        <v>20.03</v>
      </c>
    </row>
    <row r="70" spans="1:5" x14ac:dyDescent="0.2">
      <c r="A70" s="1">
        <v>45089</v>
      </c>
      <c r="B70">
        <f>15.01</f>
        <v>15.01</v>
      </c>
      <c r="C70">
        <f>15.1847</f>
        <v>15.184699999999999</v>
      </c>
      <c r="D70">
        <f>13.63</f>
        <v>13.63</v>
      </c>
      <c r="E70">
        <f>20.04</f>
        <v>20.04</v>
      </c>
    </row>
    <row r="71" spans="1:5" x14ac:dyDescent="0.2">
      <c r="A71" s="1">
        <v>45086</v>
      </c>
      <c r="B71">
        <f>13.83</f>
        <v>13.83</v>
      </c>
      <c r="C71">
        <f>14.9894</f>
        <v>14.9894</v>
      </c>
      <c r="D71">
        <f>13.15</f>
        <v>13.15</v>
      </c>
      <c r="E71">
        <f>19.56</f>
        <v>19.559999999999999</v>
      </c>
    </row>
    <row r="72" spans="1:5" x14ac:dyDescent="0.2">
      <c r="A72" s="1">
        <v>45085</v>
      </c>
      <c r="B72">
        <f>13.65</f>
        <v>13.65</v>
      </c>
      <c r="C72">
        <f>15.0986</f>
        <v>15.098599999999999</v>
      </c>
      <c r="D72">
        <f>12.94</f>
        <v>12.94</v>
      </c>
      <c r="E72">
        <f>19.88</f>
        <v>19.88</v>
      </c>
    </row>
    <row r="73" spans="1:5" x14ac:dyDescent="0.2">
      <c r="A73" s="1">
        <v>45084</v>
      </c>
      <c r="B73">
        <f>13.94</f>
        <v>13.94</v>
      </c>
      <c r="C73">
        <f>15.3277</f>
        <v>15.3277</v>
      </c>
      <c r="D73">
        <f>13.23</f>
        <v>13.23</v>
      </c>
      <c r="E73">
        <f>19.82</f>
        <v>19.82</v>
      </c>
    </row>
    <row r="74" spans="1:5" x14ac:dyDescent="0.2">
      <c r="A74" s="1">
        <v>45083</v>
      </c>
      <c r="B74">
        <f>13.96</f>
        <v>13.96</v>
      </c>
      <c r="C74">
        <f>15.3988</f>
        <v>15.3988</v>
      </c>
      <c r="D74">
        <f>13.17</f>
        <v>13.17</v>
      </c>
      <c r="E74">
        <f>20.07</f>
        <v>20.07</v>
      </c>
    </row>
    <row r="75" spans="1:5" x14ac:dyDescent="0.2">
      <c r="A75" s="1">
        <v>45082</v>
      </c>
      <c r="B75">
        <f>14.73</f>
        <v>14.73</v>
      </c>
      <c r="C75">
        <f>16.1174</f>
        <v>16.1174</v>
      </c>
      <c r="D75">
        <f>13.54</f>
        <v>13.54</v>
      </c>
      <c r="E75">
        <f>19.81</f>
        <v>19.809999999999999</v>
      </c>
    </row>
    <row r="76" spans="1:5" x14ac:dyDescent="0.2">
      <c r="A76" s="1">
        <v>45079</v>
      </c>
      <c r="B76">
        <f>14.6</f>
        <v>14.6</v>
      </c>
      <c r="C76">
        <f>16.0329</f>
        <v>16.032900000000001</v>
      </c>
      <c r="D76">
        <f>12.88</f>
        <v>12.88</v>
      </c>
      <c r="E76">
        <f>20.65</f>
        <v>20.65</v>
      </c>
    </row>
    <row r="77" spans="1:5" x14ac:dyDescent="0.2">
      <c r="A77" s="1">
        <v>45078</v>
      </c>
      <c r="B77">
        <f>15.65</f>
        <v>15.65</v>
      </c>
      <c r="C77">
        <f>17.5469</f>
        <v>17.546900000000001</v>
      </c>
      <c r="D77">
        <f>15.27</f>
        <v>15.27</v>
      </c>
      <c r="E77">
        <f>20.55</f>
        <v>20.55</v>
      </c>
    </row>
    <row r="78" spans="1:5" x14ac:dyDescent="0.2">
      <c r="A78" s="1">
        <v>45077</v>
      </c>
      <c r="B78">
        <f>17.94</f>
        <v>17.940000000000001</v>
      </c>
      <c r="C78">
        <f>19.9817</f>
        <v>19.9817</v>
      </c>
      <c r="D78">
        <f>17.35</f>
        <v>17.350000000000001</v>
      </c>
      <c r="E78">
        <f>19.98</f>
        <v>19.98</v>
      </c>
    </row>
    <row r="79" spans="1:5" x14ac:dyDescent="0.2">
      <c r="A79" s="1">
        <v>45076</v>
      </c>
      <c r="B79">
        <f>17.46</f>
        <v>17.46</v>
      </c>
      <c r="C79">
        <f>17.9576</f>
        <v>17.957599999999999</v>
      </c>
      <c r="D79">
        <f>15.89</f>
        <v>15.89</v>
      </c>
      <c r="E79">
        <f>19.98</f>
        <v>19.98</v>
      </c>
    </row>
    <row r="80" spans="1:5" x14ac:dyDescent="0.2">
      <c r="A80" s="1">
        <v>45075</v>
      </c>
      <c r="B80">
        <f>17.46</f>
        <v>17.46</v>
      </c>
      <c r="C80">
        <f>17.868</f>
        <v>17.867999999999999</v>
      </c>
      <c r="D80" t="e">
        <f>NA()</f>
        <v>#N/A</v>
      </c>
      <c r="E80">
        <f>19.72</f>
        <v>19.72</v>
      </c>
    </row>
    <row r="81" spans="1:5" x14ac:dyDescent="0.2">
      <c r="A81" s="1">
        <v>45072</v>
      </c>
      <c r="B81">
        <f>17.95</f>
        <v>17.95</v>
      </c>
      <c r="C81">
        <f>17.5971</f>
        <v>17.597100000000001</v>
      </c>
      <c r="D81">
        <f>14.68</f>
        <v>14.68</v>
      </c>
      <c r="E81">
        <f>20.49</f>
        <v>20.49</v>
      </c>
    </row>
    <row r="82" spans="1:5" x14ac:dyDescent="0.2">
      <c r="A82" s="1">
        <v>45071</v>
      </c>
      <c r="B82">
        <f>19.14</f>
        <v>19.14</v>
      </c>
      <c r="C82">
        <f>19.8595</f>
        <v>19.859500000000001</v>
      </c>
      <c r="D82">
        <f>17.18</f>
        <v>17.18</v>
      </c>
      <c r="E82">
        <f>20.72</f>
        <v>20.72</v>
      </c>
    </row>
    <row r="83" spans="1:5" x14ac:dyDescent="0.2">
      <c r="A83" s="1">
        <v>45070</v>
      </c>
      <c r="B83">
        <f>20.03</f>
        <v>20.03</v>
      </c>
      <c r="C83">
        <f>20.93</f>
        <v>20.93</v>
      </c>
      <c r="D83">
        <f>17.32</f>
        <v>17.32</v>
      </c>
      <c r="E83">
        <f>20.49</f>
        <v>20.49</v>
      </c>
    </row>
    <row r="84" spans="1:5" x14ac:dyDescent="0.2">
      <c r="A84" s="1">
        <v>45069</v>
      </c>
      <c r="B84">
        <f>18.53</f>
        <v>18.53</v>
      </c>
      <c r="C84">
        <f>17.6691</f>
        <v>17.6691</v>
      </c>
      <c r="D84">
        <f>13.85</f>
        <v>13.85</v>
      </c>
      <c r="E84">
        <f>20.15</f>
        <v>20.149999999999999</v>
      </c>
    </row>
    <row r="85" spans="1:5" x14ac:dyDescent="0.2">
      <c r="A85" s="1">
        <v>45068</v>
      </c>
      <c r="B85">
        <f>17.21</f>
        <v>17.21</v>
      </c>
      <c r="C85">
        <f>16.3133</f>
        <v>16.313300000000002</v>
      </c>
      <c r="D85">
        <f>12.83</f>
        <v>12.83</v>
      </c>
      <c r="E85">
        <f>20.14</f>
        <v>20.14</v>
      </c>
    </row>
    <row r="86" spans="1:5" x14ac:dyDescent="0.2">
      <c r="A86" s="1">
        <v>45065</v>
      </c>
      <c r="B86">
        <f>16.81</f>
        <v>16.809999999999999</v>
      </c>
      <c r="C86">
        <f>15.715</f>
        <v>15.715</v>
      </c>
      <c r="D86">
        <f>12.19</f>
        <v>12.19</v>
      </c>
      <c r="E86">
        <f>20.14</f>
        <v>20.14</v>
      </c>
    </row>
    <row r="87" spans="1:5" x14ac:dyDescent="0.2">
      <c r="A87" s="1">
        <v>45064</v>
      </c>
      <c r="B87">
        <f>16.05</f>
        <v>16.05</v>
      </c>
      <c r="C87">
        <f>15.6599</f>
        <v>15.6599</v>
      </c>
      <c r="D87">
        <f>13.37</f>
        <v>13.37</v>
      </c>
      <c r="E87">
        <f>20.23</f>
        <v>20.23</v>
      </c>
    </row>
    <row r="88" spans="1:5" x14ac:dyDescent="0.2">
      <c r="A88" s="1">
        <v>45063</v>
      </c>
      <c r="B88">
        <f>16.87</f>
        <v>16.87</v>
      </c>
      <c r="C88">
        <f>16.9505</f>
        <v>16.950500000000002</v>
      </c>
      <c r="D88">
        <f>14.54</f>
        <v>14.54</v>
      </c>
      <c r="E88">
        <f>20.49</f>
        <v>20.49</v>
      </c>
    </row>
    <row r="89" spans="1:5" x14ac:dyDescent="0.2">
      <c r="A89" s="1">
        <v>45062</v>
      </c>
      <c r="B89">
        <f>17.99</f>
        <v>17.989999999999998</v>
      </c>
      <c r="C89">
        <f>16.8808</f>
        <v>16.880800000000001</v>
      </c>
      <c r="D89">
        <f>13.64</f>
        <v>13.64</v>
      </c>
      <c r="E89">
        <f>20.49</f>
        <v>20.49</v>
      </c>
    </row>
    <row r="90" spans="1:5" x14ac:dyDescent="0.2">
      <c r="A90" s="1">
        <v>45061</v>
      </c>
      <c r="B90">
        <f>17.12</f>
        <v>17.12</v>
      </c>
      <c r="C90">
        <f>17.1689</f>
        <v>17.168900000000001</v>
      </c>
      <c r="D90">
        <f>13.51</f>
        <v>13.51</v>
      </c>
      <c r="E90">
        <f>20.83</f>
        <v>20.83</v>
      </c>
    </row>
    <row r="91" spans="1:5" x14ac:dyDescent="0.2">
      <c r="A91" s="1">
        <v>45058</v>
      </c>
      <c r="B91">
        <f>17.03</f>
        <v>17.03</v>
      </c>
      <c r="C91">
        <f>17.0094</f>
        <v>17.009399999999999</v>
      </c>
      <c r="D91">
        <f>13.66</f>
        <v>13.66</v>
      </c>
      <c r="E91">
        <f>19.57</f>
        <v>19.57</v>
      </c>
    </row>
    <row r="92" spans="1:5" x14ac:dyDescent="0.2">
      <c r="A92" s="1">
        <v>45057</v>
      </c>
      <c r="B92">
        <f>16.93</f>
        <v>16.93</v>
      </c>
      <c r="C92">
        <f>18.5578</f>
        <v>18.5578</v>
      </c>
      <c r="D92">
        <f>14.36</f>
        <v>14.36</v>
      </c>
      <c r="E92">
        <f>19.37</f>
        <v>19.37</v>
      </c>
    </row>
    <row r="93" spans="1:5" x14ac:dyDescent="0.2">
      <c r="A93" s="1">
        <v>45056</v>
      </c>
      <c r="B93">
        <f>16.94</f>
        <v>16.940000000000001</v>
      </c>
      <c r="C93">
        <f>18.6652</f>
        <v>18.665199999999999</v>
      </c>
      <c r="D93">
        <f>14.88</f>
        <v>14.88</v>
      </c>
      <c r="E93">
        <f>18.89</f>
        <v>18.89</v>
      </c>
    </row>
    <row r="94" spans="1:5" x14ac:dyDescent="0.2">
      <c r="A94" s="1">
        <v>45055</v>
      </c>
      <c r="B94">
        <f>17.71</f>
        <v>17.71</v>
      </c>
      <c r="C94">
        <f>18.9217</f>
        <v>18.921700000000001</v>
      </c>
      <c r="D94">
        <f>14.67</f>
        <v>14.67</v>
      </c>
      <c r="E94">
        <f>18.64</f>
        <v>18.64</v>
      </c>
    </row>
    <row r="95" spans="1:5" x14ac:dyDescent="0.2">
      <c r="A95" s="1">
        <v>45054</v>
      </c>
      <c r="B95">
        <f>16.98</f>
        <v>16.98</v>
      </c>
      <c r="C95">
        <f>18.0706</f>
        <v>18.070599999999999</v>
      </c>
      <c r="D95" t="e">
        <f>NA()</f>
        <v>#N/A</v>
      </c>
      <c r="E95">
        <f>19.32</f>
        <v>19.32</v>
      </c>
    </row>
    <row r="96" spans="1:5" x14ac:dyDescent="0.2">
      <c r="A96" s="1">
        <v>45051</v>
      </c>
      <c r="B96">
        <f>17.19</f>
        <v>17.190000000000001</v>
      </c>
      <c r="C96">
        <f>18.2847</f>
        <v>18.284700000000001</v>
      </c>
      <c r="D96">
        <f>14.58</f>
        <v>14.58</v>
      </c>
      <c r="E96">
        <f>20.06</f>
        <v>20.059999999999999</v>
      </c>
    </row>
    <row r="97" spans="1:5" x14ac:dyDescent="0.2">
      <c r="A97" s="1">
        <v>45050</v>
      </c>
      <c r="B97">
        <f>20.09</f>
        <v>20.09</v>
      </c>
      <c r="C97">
        <f>20.8326</f>
        <v>20.832599999999999</v>
      </c>
      <c r="D97">
        <f>16.56</f>
        <v>16.559999999999999</v>
      </c>
      <c r="E97">
        <f>20.05</f>
        <v>20.05</v>
      </c>
    </row>
    <row r="98" spans="1:5" x14ac:dyDescent="0.2">
      <c r="A98" s="1">
        <v>45049</v>
      </c>
      <c r="B98">
        <f>18.34</f>
        <v>18.34</v>
      </c>
      <c r="C98">
        <f>19.9433</f>
        <v>19.943300000000001</v>
      </c>
      <c r="D98">
        <f>15.33</f>
        <v>15.33</v>
      </c>
      <c r="E98">
        <f>20.31</f>
        <v>20.309999999999999</v>
      </c>
    </row>
    <row r="99" spans="1:5" x14ac:dyDescent="0.2">
      <c r="A99" s="1">
        <v>45048</v>
      </c>
      <c r="B99">
        <f>17.78</f>
        <v>17.78</v>
      </c>
      <c r="C99">
        <f>20.5692</f>
        <v>20.569199999999999</v>
      </c>
      <c r="D99">
        <f>16.12</f>
        <v>16.12</v>
      </c>
      <c r="E99">
        <f>20.06</f>
        <v>20.059999999999999</v>
      </c>
    </row>
    <row r="100" spans="1:5" x14ac:dyDescent="0.2">
      <c r="A100" s="1">
        <v>45047</v>
      </c>
      <c r="B100">
        <f>16.08</f>
        <v>16.079999999999998</v>
      </c>
      <c r="C100" t="e">
        <f>NA()</f>
        <v>#N/A</v>
      </c>
      <c r="D100" t="e">
        <f>NA()</f>
        <v>#N/A</v>
      </c>
      <c r="E100" t="e">
        <f>NA()</f>
        <v>#N/A</v>
      </c>
    </row>
    <row r="101" spans="1:5" x14ac:dyDescent="0.2">
      <c r="A101" s="1">
        <v>45044</v>
      </c>
      <c r="B101">
        <f>15.78</f>
        <v>15.78</v>
      </c>
      <c r="C101">
        <f>17.4304</f>
        <v>17.430399999999999</v>
      </c>
      <c r="D101">
        <f>13.84</f>
        <v>13.84</v>
      </c>
      <c r="E101">
        <f>20.06</f>
        <v>20.059999999999999</v>
      </c>
    </row>
    <row r="102" spans="1:5" x14ac:dyDescent="0.2">
      <c r="A102" s="1">
        <v>45043</v>
      </c>
      <c r="B102">
        <f>17.03</f>
        <v>17.03</v>
      </c>
      <c r="C102">
        <f>18.1786</f>
        <v>18.178599999999999</v>
      </c>
      <c r="D102">
        <f>14.53</f>
        <v>14.53</v>
      </c>
      <c r="E102" t="e">
        <f>NA()</f>
        <v>#N/A</v>
      </c>
    </row>
    <row r="103" spans="1:5" x14ac:dyDescent="0.2">
      <c r="A103" s="1">
        <v>45042</v>
      </c>
      <c r="B103">
        <f>18.84</f>
        <v>18.84</v>
      </c>
      <c r="C103">
        <f>18.7788</f>
        <v>18.7788</v>
      </c>
      <c r="D103">
        <f>14.86</f>
        <v>14.86</v>
      </c>
      <c r="E103">
        <f>20.06</f>
        <v>20.059999999999999</v>
      </c>
    </row>
    <row r="104" spans="1:5" x14ac:dyDescent="0.2">
      <c r="A104" s="1">
        <v>45041</v>
      </c>
      <c r="B104">
        <f>18.76</f>
        <v>18.760000000000002</v>
      </c>
      <c r="C104">
        <f>17.9256</f>
        <v>17.925599999999999</v>
      </c>
      <c r="D104">
        <f>13.88</f>
        <v>13.88</v>
      </c>
      <c r="E104">
        <f>20.07</f>
        <v>20.07</v>
      </c>
    </row>
    <row r="105" spans="1:5" x14ac:dyDescent="0.2">
      <c r="A105" s="1">
        <v>45040</v>
      </c>
      <c r="B105">
        <f>16.89</f>
        <v>16.89</v>
      </c>
      <c r="C105">
        <f>17.1568</f>
        <v>17.1568</v>
      </c>
      <c r="D105">
        <f>12.93</f>
        <v>12.93</v>
      </c>
      <c r="E105">
        <f>20.06</f>
        <v>20.059999999999999</v>
      </c>
    </row>
    <row r="106" spans="1:5" x14ac:dyDescent="0.2">
      <c r="A106" s="1">
        <v>45037</v>
      </c>
      <c r="B106">
        <f>16.77</f>
        <v>16.77</v>
      </c>
      <c r="C106">
        <f>17.0847</f>
        <v>17.084700000000002</v>
      </c>
      <c r="D106">
        <f>13.35</f>
        <v>13.35</v>
      </c>
      <c r="E106">
        <f>19.62</f>
        <v>19.62</v>
      </c>
    </row>
    <row r="107" spans="1:5" x14ac:dyDescent="0.2">
      <c r="A107" s="1">
        <v>45036</v>
      </c>
      <c r="B107">
        <f>17.17</f>
        <v>17.170000000000002</v>
      </c>
      <c r="C107">
        <f>17.727</f>
        <v>17.727</v>
      </c>
      <c r="D107">
        <f>13.59</f>
        <v>13.59</v>
      </c>
      <c r="E107">
        <f>19.42</f>
        <v>19.420000000000002</v>
      </c>
    </row>
    <row r="108" spans="1:5" x14ac:dyDescent="0.2">
      <c r="A108" s="1">
        <v>45035</v>
      </c>
      <c r="B108">
        <f>16.46</f>
        <v>16.46</v>
      </c>
      <c r="C108">
        <f>16.9332</f>
        <v>16.933199999999999</v>
      </c>
      <c r="D108">
        <f>13.36</f>
        <v>13.36</v>
      </c>
      <c r="E108">
        <f>19.25</f>
        <v>19.25</v>
      </c>
    </row>
    <row r="109" spans="1:5" x14ac:dyDescent="0.2">
      <c r="A109" s="1">
        <v>45034</v>
      </c>
      <c r="B109">
        <f>16.83</f>
        <v>16.829999999999998</v>
      </c>
      <c r="C109">
        <f>16.8952</f>
        <v>16.895199999999999</v>
      </c>
      <c r="D109">
        <f>13.74</f>
        <v>13.74</v>
      </c>
      <c r="E109">
        <f>20.23</f>
        <v>20.23</v>
      </c>
    </row>
    <row r="110" spans="1:5" x14ac:dyDescent="0.2">
      <c r="A110" s="1">
        <v>45033</v>
      </c>
      <c r="B110">
        <f>16.95</f>
        <v>16.95</v>
      </c>
      <c r="C110">
        <f>17.4568</f>
        <v>17.456800000000001</v>
      </c>
      <c r="D110">
        <f>14.25</f>
        <v>14.25</v>
      </c>
      <c r="E110">
        <f>20.27</f>
        <v>20.27</v>
      </c>
    </row>
    <row r="111" spans="1:5" x14ac:dyDescent="0.2">
      <c r="A111" s="1">
        <v>45030</v>
      </c>
      <c r="B111">
        <f>17.07</f>
        <v>17.07</v>
      </c>
      <c r="C111">
        <f>16.4374</f>
        <v>16.4374</v>
      </c>
      <c r="D111">
        <f>13.76</f>
        <v>13.76</v>
      </c>
      <c r="E111">
        <f>20.55</f>
        <v>20.55</v>
      </c>
    </row>
    <row r="112" spans="1:5" x14ac:dyDescent="0.2">
      <c r="A112" s="1">
        <v>45029</v>
      </c>
      <c r="B112">
        <f>17.8</f>
        <v>17.8</v>
      </c>
      <c r="C112">
        <f>17.6441</f>
        <v>17.644100000000002</v>
      </c>
      <c r="D112">
        <f>13.56</f>
        <v>13.56</v>
      </c>
      <c r="E112">
        <f>20.3</f>
        <v>20.3</v>
      </c>
    </row>
    <row r="113" spans="1:5" x14ac:dyDescent="0.2">
      <c r="A113" s="1">
        <v>45028</v>
      </c>
      <c r="B113">
        <f>19.09</f>
        <v>19.09</v>
      </c>
      <c r="C113">
        <f>18.6254</f>
        <v>18.625399999999999</v>
      </c>
      <c r="D113">
        <f>14.38</f>
        <v>14.38</v>
      </c>
      <c r="E113">
        <f>20.7</f>
        <v>20.7</v>
      </c>
    </row>
    <row r="114" spans="1:5" x14ac:dyDescent="0.2">
      <c r="A114" s="1">
        <v>45027</v>
      </c>
      <c r="B114">
        <f>19.1</f>
        <v>19.100000000000001</v>
      </c>
      <c r="C114">
        <f>18.8152</f>
        <v>18.815200000000001</v>
      </c>
      <c r="D114">
        <f>14.42</f>
        <v>14.42</v>
      </c>
      <c r="E114">
        <f>20.3</f>
        <v>20.3</v>
      </c>
    </row>
    <row r="115" spans="1:5" x14ac:dyDescent="0.2">
      <c r="A115" s="1">
        <v>45026</v>
      </c>
      <c r="B115">
        <f>18.97</f>
        <v>18.97</v>
      </c>
      <c r="C115" t="e">
        <f>NA()</f>
        <v>#N/A</v>
      </c>
      <c r="D115" t="e">
        <f>NA()</f>
        <v>#N/A</v>
      </c>
      <c r="E115" t="e">
        <f>NA()</f>
        <v>#N/A</v>
      </c>
    </row>
    <row r="116" spans="1:5" x14ac:dyDescent="0.2">
      <c r="A116" s="1">
        <v>45022</v>
      </c>
      <c r="B116">
        <f>18.4</f>
        <v>18.399999999999999</v>
      </c>
      <c r="C116">
        <f>19.123</f>
        <v>19.123000000000001</v>
      </c>
      <c r="D116">
        <f>14.61</f>
        <v>14.61</v>
      </c>
      <c r="E116">
        <f>21.26</f>
        <v>21.26</v>
      </c>
    </row>
    <row r="117" spans="1:5" x14ac:dyDescent="0.2">
      <c r="A117" s="1">
        <v>45021</v>
      </c>
      <c r="B117">
        <f>19.08</f>
        <v>19.079999999999998</v>
      </c>
      <c r="C117">
        <f>19.935</f>
        <v>19.934999999999999</v>
      </c>
      <c r="D117">
        <f>14.96</f>
        <v>14.96</v>
      </c>
      <c r="E117">
        <f>20.83</f>
        <v>20.83</v>
      </c>
    </row>
    <row r="118" spans="1:5" x14ac:dyDescent="0.2">
      <c r="A118" s="1">
        <v>45020</v>
      </c>
      <c r="B118">
        <f>19</f>
        <v>19</v>
      </c>
      <c r="C118">
        <f>19.0203</f>
        <v>19.020299999999999</v>
      </c>
      <c r="D118">
        <f>14.56</f>
        <v>14.56</v>
      </c>
      <c r="E118">
        <f>20.13</f>
        <v>20.13</v>
      </c>
    </row>
    <row r="119" spans="1:5" x14ac:dyDescent="0.2">
      <c r="A119" s="1">
        <v>45019</v>
      </c>
      <c r="B119">
        <f>18.55</f>
        <v>18.55</v>
      </c>
      <c r="C119">
        <f>19.0905</f>
        <v>19.090499999999999</v>
      </c>
      <c r="D119">
        <f>14.92</f>
        <v>14.92</v>
      </c>
      <c r="E119">
        <f>20.95</f>
        <v>20.95</v>
      </c>
    </row>
    <row r="120" spans="1:5" x14ac:dyDescent="0.2">
      <c r="A120" s="1">
        <v>45016</v>
      </c>
      <c r="B120">
        <f>18.7</f>
        <v>18.7</v>
      </c>
      <c r="C120">
        <f>19.4246</f>
        <v>19.424600000000002</v>
      </c>
      <c r="D120">
        <f>15.07</f>
        <v>15.07</v>
      </c>
      <c r="E120">
        <f>20.74</f>
        <v>20.74</v>
      </c>
    </row>
    <row r="121" spans="1:5" x14ac:dyDescent="0.2">
      <c r="A121" s="1">
        <v>45015</v>
      </c>
      <c r="B121">
        <f>19.02</f>
        <v>19.02</v>
      </c>
      <c r="C121">
        <f>19.7826</f>
        <v>19.782599999999999</v>
      </c>
      <c r="D121">
        <f>15.47</f>
        <v>15.47</v>
      </c>
      <c r="E121">
        <f>20.76</f>
        <v>20.76</v>
      </c>
    </row>
    <row r="122" spans="1:5" x14ac:dyDescent="0.2">
      <c r="A122" s="1">
        <v>45014</v>
      </c>
      <c r="B122">
        <f>19.12</f>
        <v>19.12</v>
      </c>
      <c r="C122">
        <f>20.4</f>
        <v>20.399999999999999</v>
      </c>
      <c r="D122">
        <f>16.22</f>
        <v>16.22</v>
      </c>
      <c r="E122">
        <f>22.23</f>
        <v>22.23</v>
      </c>
    </row>
    <row r="123" spans="1:5" x14ac:dyDescent="0.2">
      <c r="A123" s="1">
        <v>45013</v>
      </c>
      <c r="B123">
        <f>19.97</f>
        <v>19.97</v>
      </c>
      <c r="C123">
        <f>22.0865</f>
        <v>22.086500000000001</v>
      </c>
      <c r="D123">
        <f>17.8</f>
        <v>17.8</v>
      </c>
      <c r="E123">
        <f>22.54</f>
        <v>22.54</v>
      </c>
    </row>
    <row r="124" spans="1:5" x14ac:dyDescent="0.2">
      <c r="A124" s="1">
        <v>45012</v>
      </c>
      <c r="B124">
        <f>20.6</f>
        <v>20.6</v>
      </c>
      <c r="C124">
        <f>23.0631</f>
        <v>23.063099999999999</v>
      </c>
      <c r="D124">
        <f>19.1</f>
        <v>19.100000000000001</v>
      </c>
      <c r="E124">
        <f>22.24</f>
        <v>22.24</v>
      </c>
    </row>
    <row r="125" spans="1:5" x14ac:dyDescent="0.2">
      <c r="A125" s="1">
        <v>45009</v>
      </c>
      <c r="B125">
        <f>21.74</f>
        <v>21.74</v>
      </c>
      <c r="C125">
        <f>24.8849</f>
        <v>24.884899999999998</v>
      </c>
      <c r="D125">
        <f>21.46</f>
        <v>21.46</v>
      </c>
      <c r="E125">
        <f>25.16</f>
        <v>25.16</v>
      </c>
    </row>
    <row r="126" spans="1:5" x14ac:dyDescent="0.2">
      <c r="A126" s="1">
        <v>45008</v>
      </c>
      <c r="B126">
        <f>22.61</f>
        <v>22.61</v>
      </c>
      <c r="C126">
        <f>21.5715</f>
        <v>21.5715</v>
      </c>
      <c r="D126">
        <f>18.55</f>
        <v>18.55</v>
      </c>
      <c r="E126">
        <f>22.49</f>
        <v>22.49</v>
      </c>
    </row>
    <row r="127" spans="1:5" x14ac:dyDescent="0.2">
      <c r="A127" s="1">
        <v>45007</v>
      </c>
      <c r="B127">
        <f>22.26</f>
        <v>22.26</v>
      </c>
      <c r="C127">
        <f>22.246</f>
        <v>22.245999999999999</v>
      </c>
      <c r="D127">
        <f>18.96</f>
        <v>18.96</v>
      </c>
      <c r="E127">
        <f>22.22</f>
        <v>22.22</v>
      </c>
    </row>
    <row r="128" spans="1:5" x14ac:dyDescent="0.2">
      <c r="A128" s="1">
        <v>45006</v>
      </c>
      <c r="B128">
        <f>21.38</f>
        <v>21.38</v>
      </c>
      <c r="C128">
        <f>24.1126</f>
        <v>24.1126</v>
      </c>
      <c r="D128">
        <f>20.95</f>
        <v>20.95</v>
      </c>
      <c r="E128" t="e">
        <f>NA()</f>
        <v>#N/A</v>
      </c>
    </row>
    <row r="129" spans="1:5" x14ac:dyDescent="0.2">
      <c r="A129" s="1">
        <v>45005</v>
      </c>
      <c r="B129">
        <f>24.15</f>
        <v>24.15</v>
      </c>
      <c r="C129">
        <f>28.432</f>
        <v>28.431999999999999</v>
      </c>
      <c r="D129">
        <f>25.98</f>
        <v>25.98</v>
      </c>
      <c r="E129">
        <f>23.88</f>
        <v>23.88</v>
      </c>
    </row>
    <row r="130" spans="1:5" x14ac:dyDescent="0.2">
      <c r="A130" s="1">
        <v>45002</v>
      </c>
      <c r="B130">
        <f>25.51</f>
        <v>25.51</v>
      </c>
      <c r="C130">
        <f>30.0367</f>
        <v>30.0367</v>
      </c>
      <c r="D130">
        <f>28.11</f>
        <v>28.11</v>
      </c>
      <c r="E130">
        <f>23.62</f>
        <v>23.62</v>
      </c>
    </row>
    <row r="131" spans="1:5" x14ac:dyDescent="0.2">
      <c r="A131" s="1">
        <v>45001</v>
      </c>
      <c r="B131">
        <f>22.99</f>
        <v>22.99</v>
      </c>
      <c r="C131">
        <f>26.6513</f>
        <v>26.651299999999999</v>
      </c>
      <c r="D131">
        <f>24.61</f>
        <v>24.61</v>
      </c>
      <c r="E131">
        <f>21.69</f>
        <v>21.69</v>
      </c>
    </row>
    <row r="132" spans="1:5" x14ac:dyDescent="0.2">
      <c r="A132" s="1">
        <v>45000</v>
      </c>
      <c r="B132">
        <f>26.14</f>
        <v>26.14</v>
      </c>
      <c r="C132">
        <f>32.0183</f>
        <v>32.018300000000004</v>
      </c>
      <c r="D132">
        <f>28.36</f>
        <v>28.36</v>
      </c>
      <c r="E132">
        <f>22.46</f>
        <v>22.46</v>
      </c>
    </row>
    <row r="133" spans="1:5" x14ac:dyDescent="0.2">
      <c r="A133" s="1">
        <v>44999</v>
      </c>
      <c r="B133">
        <f>23.73</f>
        <v>23.73</v>
      </c>
      <c r="C133">
        <f>22.7609</f>
        <v>22.760899999999999</v>
      </c>
      <c r="D133">
        <f>19.9</f>
        <v>19.899999999999999</v>
      </c>
      <c r="E133">
        <f>23.83</f>
        <v>23.83</v>
      </c>
    </row>
    <row r="134" spans="1:5" x14ac:dyDescent="0.2">
      <c r="A134" s="1">
        <v>44998</v>
      </c>
      <c r="B134">
        <f>26.52</f>
        <v>26.52</v>
      </c>
      <c r="C134">
        <f>25.8606</f>
        <v>25.860600000000002</v>
      </c>
      <c r="D134">
        <f>22.8</f>
        <v>22.8</v>
      </c>
      <c r="E134">
        <f>24.37</f>
        <v>24.37</v>
      </c>
    </row>
    <row r="135" spans="1:5" x14ac:dyDescent="0.2">
      <c r="A135" s="1">
        <v>44995</v>
      </c>
      <c r="B135">
        <f>24.8</f>
        <v>24.8</v>
      </c>
      <c r="C135">
        <f>21.1745</f>
        <v>21.174499999999998</v>
      </c>
      <c r="D135">
        <f>17.14</f>
        <v>17.14</v>
      </c>
      <c r="E135">
        <f>23.6</f>
        <v>23.6</v>
      </c>
    </row>
    <row r="136" spans="1:5" x14ac:dyDescent="0.2">
      <c r="A136" s="1">
        <v>44994</v>
      </c>
      <c r="B136">
        <f>22.61</f>
        <v>22.61</v>
      </c>
      <c r="C136">
        <f>18.0178</f>
        <v>18.017800000000001</v>
      </c>
      <c r="D136">
        <f>13.33</f>
        <v>13.33</v>
      </c>
      <c r="E136">
        <f>23.58</f>
        <v>23.58</v>
      </c>
    </row>
    <row r="137" spans="1:5" x14ac:dyDescent="0.2">
      <c r="A137" s="1">
        <v>44993</v>
      </c>
      <c r="B137">
        <f>19.11</f>
        <v>19.11</v>
      </c>
      <c r="C137">
        <f>18.0586</f>
        <v>18.058599999999998</v>
      </c>
      <c r="D137">
        <f>14.09</f>
        <v>14.09</v>
      </c>
      <c r="E137">
        <f>23.43</f>
        <v>23.43</v>
      </c>
    </row>
    <row r="138" spans="1:5" x14ac:dyDescent="0.2">
      <c r="A138" s="1">
        <v>44992</v>
      </c>
      <c r="B138">
        <f>19.59</f>
        <v>19.59</v>
      </c>
      <c r="C138">
        <f>18.4278</f>
        <v>18.427800000000001</v>
      </c>
      <c r="D138">
        <f>14.79</f>
        <v>14.79</v>
      </c>
      <c r="E138">
        <f>23.16</f>
        <v>23.16</v>
      </c>
    </row>
    <row r="139" spans="1:5" x14ac:dyDescent="0.2">
      <c r="A139" s="1">
        <v>44991</v>
      </c>
      <c r="B139">
        <f>18.61</f>
        <v>18.61</v>
      </c>
      <c r="C139">
        <f>17.8713</f>
        <v>17.871300000000002</v>
      </c>
      <c r="D139">
        <f>14.55</f>
        <v>14.55</v>
      </c>
      <c r="E139">
        <f>23.43</f>
        <v>23.43</v>
      </c>
    </row>
    <row r="140" spans="1:5" x14ac:dyDescent="0.2">
      <c r="A140" s="1">
        <v>44988</v>
      </c>
      <c r="B140">
        <f>18.49</f>
        <v>18.489999999999998</v>
      </c>
      <c r="C140">
        <f>18.1167</f>
        <v>18.116700000000002</v>
      </c>
      <c r="D140">
        <f>14.65</f>
        <v>14.65</v>
      </c>
      <c r="E140">
        <f>24</f>
        <v>24</v>
      </c>
    </row>
    <row r="141" spans="1:5" x14ac:dyDescent="0.2">
      <c r="A141" s="1">
        <v>44987</v>
      </c>
      <c r="B141">
        <f>19.59</f>
        <v>19.59</v>
      </c>
      <c r="C141">
        <f>19.6692</f>
        <v>19.6692</v>
      </c>
      <c r="D141">
        <f>15.67</f>
        <v>15.67</v>
      </c>
      <c r="E141">
        <f>20.53</f>
        <v>20.53</v>
      </c>
    </row>
    <row r="142" spans="1:5" x14ac:dyDescent="0.2">
      <c r="A142" s="1">
        <v>44986</v>
      </c>
      <c r="B142">
        <f>20.58</f>
        <v>20.58</v>
      </c>
      <c r="C142">
        <f>20.108</f>
        <v>20.108000000000001</v>
      </c>
      <c r="D142">
        <f>16.18</f>
        <v>16.18</v>
      </c>
      <c r="E142">
        <f>21.08</f>
        <v>21.08</v>
      </c>
    </row>
    <row r="143" spans="1:5" x14ac:dyDescent="0.2">
      <c r="A143" s="1">
        <v>44985</v>
      </c>
      <c r="B143">
        <f>20.7</f>
        <v>20.7</v>
      </c>
      <c r="C143">
        <f>19.5007</f>
        <v>19.500699999999998</v>
      </c>
      <c r="D143">
        <f>16.15</f>
        <v>16.149999999999999</v>
      </c>
      <c r="E143">
        <f>21.08</f>
        <v>21.08</v>
      </c>
    </row>
    <row r="144" spans="1:5" x14ac:dyDescent="0.2">
      <c r="A144" s="1">
        <v>44984</v>
      </c>
      <c r="B144">
        <f>20.95</f>
        <v>20.95</v>
      </c>
      <c r="C144">
        <f>19.9638</f>
        <v>19.963799999999999</v>
      </c>
      <c r="D144">
        <f>15.91</f>
        <v>15.91</v>
      </c>
      <c r="E144">
        <f>21.07</f>
        <v>21.07</v>
      </c>
    </row>
    <row r="145" spans="1:5" x14ac:dyDescent="0.2">
      <c r="A145" s="1">
        <v>44981</v>
      </c>
      <c r="B145">
        <f>21.67</f>
        <v>21.67</v>
      </c>
      <c r="C145">
        <f>21.6716</f>
        <v>21.671600000000002</v>
      </c>
      <c r="D145">
        <f>16.93</f>
        <v>16.93</v>
      </c>
      <c r="E145">
        <f>21.1</f>
        <v>21.1</v>
      </c>
    </row>
    <row r="146" spans="1:5" x14ac:dyDescent="0.2">
      <c r="A146" s="1">
        <v>44980</v>
      </c>
      <c r="B146">
        <f>21.14</f>
        <v>21.14</v>
      </c>
      <c r="C146">
        <f>20.2369</f>
        <v>20.236899999999999</v>
      </c>
      <c r="D146">
        <f>16.21</f>
        <v>16.21</v>
      </c>
      <c r="E146">
        <f>21.01</f>
        <v>21.01</v>
      </c>
    </row>
    <row r="147" spans="1:5" x14ac:dyDescent="0.2">
      <c r="A147" s="1">
        <v>44979</v>
      </c>
      <c r="B147">
        <f>22.29</f>
        <v>22.29</v>
      </c>
      <c r="C147">
        <f>21.1761</f>
        <v>21.176100000000002</v>
      </c>
      <c r="D147">
        <f>16.89</f>
        <v>16.89</v>
      </c>
      <c r="E147">
        <f>20.11</f>
        <v>20.11</v>
      </c>
    </row>
    <row r="148" spans="1:5" x14ac:dyDescent="0.2">
      <c r="A148" s="1">
        <v>44978</v>
      </c>
      <c r="B148">
        <f>22.87</f>
        <v>22.87</v>
      </c>
      <c r="C148">
        <f>20.8943</f>
        <v>20.894300000000001</v>
      </c>
      <c r="D148">
        <f>16.03</f>
        <v>16.03</v>
      </c>
      <c r="E148">
        <f>17.97</f>
        <v>17.97</v>
      </c>
    </row>
    <row r="149" spans="1:5" x14ac:dyDescent="0.2">
      <c r="A149" s="1">
        <v>44977</v>
      </c>
      <c r="B149">
        <f>21.23</f>
        <v>21.23</v>
      </c>
      <c r="C149">
        <f>19.5282</f>
        <v>19.528199999999998</v>
      </c>
      <c r="D149">
        <f>15.05</f>
        <v>15.05</v>
      </c>
      <c r="E149">
        <f>18.53</f>
        <v>18.53</v>
      </c>
    </row>
    <row r="150" spans="1:5" x14ac:dyDescent="0.2">
      <c r="A150" s="1">
        <v>44974</v>
      </c>
      <c r="B150">
        <f>20.02</f>
        <v>20.02</v>
      </c>
      <c r="C150">
        <f>19.2298</f>
        <v>19.229800000000001</v>
      </c>
      <c r="D150">
        <f>14.65</f>
        <v>14.65</v>
      </c>
      <c r="E150">
        <f>19.67</f>
        <v>19.670000000000002</v>
      </c>
    </row>
    <row r="151" spans="1:5" x14ac:dyDescent="0.2">
      <c r="A151" s="1">
        <v>44973</v>
      </c>
      <c r="B151">
        <f>20.17</f>
        <v>20.170000000000002</v>
      </c>
      <c r="C151">
        <f>18.0518</f>
        <v>18.0518</v>
      </c>
      <c r="D151">
        <f>14.33</f>
        <v>14.33</v>
      </c>
      <c r="E151">
        <f>20.95</f>
        <v>20.95</v>
      </c>
    </row>
    <row r="152" spans="1:5" x14ac:dyDescent="0.2">
      <c r="A152" s="1">
        <v>44972</v>
      </c>
      <c r="B152">
        <f>18.23</f>
        <v>18.23</v>
      </c>
      <c r="C152">
        <f>17.6154</f>
        <v>17.615400000000001</v>
      </c>
      <c r="D152">
        <f>13.76</f>
        <v>13.76</v>
      </c>
      <c r="E152">
        <f>20.7</f>
        <v>20.7</v>
      </c>
    </row>
    <row r="153" spans="1:5" x14ac:dyDescent="0.2">
      <c r="A153" s="1">
        <v>44971</v>
      </c>
      <c r="B153">
        <f>18.91</f>
        <v>18.91</v>
      </c>
      <c r="C153">
        <f>18.8976</f>
        <v>18.897600000000001</v>
      </c>
      <c r="D153">
        <f>14.7</f>
        <v>14.7</v>
      </c>
      <c r="E153">
        <f>19.45</f>
        <v>19.45</v>
      </c>
    </row>
    <row r="154" spans="1:5" x14ac:dyDescent="0.2">
      <c r="A154" s="1">
        <v>44970</v>
      </c>
      <c r="B154">
        <f>20.34</f>
        <v>20.34</v>
      </c>
      <c r="C154">
        <f>19.7867</f>
        <v>19.7867</v>
      </c>
      <c r="D154">
        <f>15.14</f>
        <v>15.14</v>
      </c>
      <c r="E154">
        <f>19.52</f>
        <v>19.52</v>
      </c>
    </row>
    <row r="155" spans="1:5" x14ac:dyDescent="0.2">
      <c r="A155" s="1">
        <v>44967</v>
      </c>
      <c r="B155">
        <f>20.53</f>
        <v>20.53</v>
      </c>
      <c r="C155">
        <f>20.4681</f>
        <v>20.4681</v>
      </c>
      <c r="D155">
        <f>15.82</f>
        <v>15.82</v>
      </c>
      <c r="E155">
        <f>19.56</f>
        <v>19.559999999999999</v>
      </c>
    </row>
    <row r="156" spans="1:5" x14ac:dyDescent="0.2">
      <c r="A156" s="1">
        <v>44966</v>
      </c>
      <c r="B156">
        <f>20.71</f>
        <v>20.71</v>
      </c>
      <c r="C156">
        <f>18.1667</f>
        <v>18.166699999999999</v>
      </c>
      <c r="D156">
        <f>14.39</f>
        <v>14.39</v>
      </c>
      <c r="E156">
        <f>19.81</f>
        <v>19.809999999999999</v>
      </c>
    </row>
    <row r="157" spans="1:5" x14ac:dyDescent="0.2">
      <c r="A157" s="1">
        <v>44965</v>
      </c>
      <c r="B157">
        <f>19.63</f>
        <v>19.63</v>
      </c>
      <c r="C157">
        <f>18.7222</f>
        <v>18.722200000000001</v>
      </c>
      <c r="D157">
        <f>14.91</f>
        <v>14.91</v>
      </c>
      <c r="E157">
        <f>20.24</f>
        <v>20.239999999999998</v>
      </c>
    </row>
    <row r="158" spans="1:5" x14ac:dyDescent="0.2">
      <c r="A158" s="1">
        <v>44964</v>
      </c>
      <c r="B158">
        <f>18.66</f>
        <v>18.66</v>
      </c>
      <c r="C158">
        <f>18.7636</f>
        <v>18.7636</v>
      </c>
      <c r="D158">
        <f>14.96</f>
        <v>14.96</v>
      </c>
      <c r="E158">
        <f>20.25</f>
        <v>20.25</v>
      </c>
    </row>
    <row r="159" spans="1:5" x14ac:dyDescent="0.2">
      <c r="A159" s="1">
        <v>44963</v>
      </c>
      <c r="B159">
        <f>19.43</f>
        <v>19.43</v>
      </c>
      <c r="C159">
        <f>18.6439</f>
        <v>18.643899999999999</v>
      </c>
      <c r="D159">
        <f>15.02</f>
        <v>15.02</v>
      </c>
      <c r="E159">
        <f>19.99</f>
        <v>19.989999999999998</v>
      </c>
    </row>
    <row r="160" spans="1:5" x14ac:dyDescent="0.2">
      <c r="A160" s="1">
        <v>44960</v>
      </c>
      <c r="B160">
        <f>18.33</f>
        <v>18.329999999999998</v>
      </c>
      <c r="C160">
        <f>16.7598</f>
        <v>16.759799999999998</v>
      </c>
      <c r="D160">
        <f>13.03</f>
        <v>13.03</v>
      </c>
      <c r="E160">
        <f>20.29</f>
        <v>20.29</v>
      </c>
    </row>
    <row r="161" spans="1:5" x14ac:dyDescent="0.2">
      <c r="A161" s="1">
        <v>44959</v>
      </c>
      <c r="B161">
        <f>18.73</f>
        <v>18.73</v>
      </c>
      <c r="C161">
        <f>16.6712</f>
        <v>16.671199999999999</v>
      </c>
      <c r="D161">
        <f>13.3</f>
        <v>13.3</v>
      </c>
      <c r="E161">
        <f>19.83</f>
        <v>19.829999999999998</v>
      </c>
    </row>
    <row r="162" spans="1:5" x14ac:dyDescent="0.2">
      <c r="A162" s="1">
        <v>44958</v>
      </c>
      <c r="B162">
        <f>17.87</f>
        <v>17.87</v>
      </c>
      <c r="C162">
        <f>18.6992</f>
        <v>18.699200000000001</v>
      </c>
      <c r="D162">
        <f>14.91</f>
        <v>14.91</v>
      </c>
      <c r="E162">
        <f>20.67</f>
        <v>20.67</v>
      </c>
    </row>
    <row r="163" spans="1:5" x14ac:dyDescent="0.2">
      <c r="A163" s="1">
        <v>44957</v>
      </c>
      <c r="B163">
        <f>19.4</f>
        <v>19.399999999999999</v>
      </c>
      <c r="C163">
        <f>18.5683</f>
        <v>18.568300000000001</v>
      </c>
      <c r="D163">
        <f>14.49</f>
        <v>14.49</v>
      </c>
      <c r="E163">
        <f>19.62</f>
        <v>19.62</v>
      </c>
    </row>
    <row r="164" spans="1:5" x14ac:dyDescent="0.2">
      <c r="A164" s="1">
        <v>44956</v>
      </c>
      <c r="B164">
        <f>19.94</f>
        <v>19.940000000000001</v>
      </c>
      <c r="C164">
        <f>18.7467</f>
        <v>18.746700000000001</v>
      </c>
      <c r="D164">
        <f>14.29</f>
        <v>14.29</v>
      </c>
      <c r="E164">
        <f>19.37</f>
        <v>19.37</v>
      </c>
    </row>
    <row r="165" spans="1:5" x14ac:dyDescent="0.2">
      <c r="A165" s="1">
        <v>44953</v>
      </c>
      <c r="B165">
        <f>18.51</f>
        <v>18.510000000000002</v>
      </c>
      <c r="C165">
        <f>17.2871</f>
        <v>17.287099999999999</v>
      </c>
      <c r="D165">
        <f>13.3</f>
        <v>13.3</v>
      </c>
      <c r="E165">
        <f>19.37</f>
        <v>19.37</v>
      </c>
    </row>
    <row r="166" spans="1:5" x14ac:dyDescent="0.2">
      <c r="A166" s="1">
        <v>44952</v>
      </c>
      <c r="B166">
        <f>18.73</f>
        <v>18.73</v>
      </c>
      <c r="C166">
        <f>18.1732</f>
        <v>18.173200000000001</v>
      </c>
      <c r="D166">
        <f>13.8</f>
        <v>13.8</v>
      </c>
      <c r="E166">
        <f>19.6</f>
        <v>19.600000000000001</v>
      </c>
    </row>
    <row r="167" spans="1:5" x14ac:dyDescent="0.2">
      <c r="A167" s="1">
        <v>44951</v>
      </c>
      <c r="B167">
        <f>19.08</f>
        <v>19.079999999999998</v>
      </c>
      <c r="C167">
        <f>18.4243</f>
        <v>18.424299999999999</v>
      </c>
      <c r="D167">
        <f>14.32</f>
        <v>14.32</v>
      </c>
      <c r="E167">
        <f>19.73</f>
        <v>19.73</v>
      </c>
    </row>
    <row r="168" spans="1:5" x14ac:dyDescent="0.2">
      <c r="A168" s="1">
        <v>44950</v>
      </c>
      <c r="B168">
        <f>19.2</f>
        <v>19.2</v>
      </c>
      <c r="C168">
        <f>18.0648</f>
        <v>18.064800000000002</v>
      </c>
      <c r="D168">
        <f>14.15</f>
        <v>14.15</v>
      </c>
      <c r="E168">
        <f>18.98</f>
        <v>18.98</v>
      </c>
    </row>
    <row r="169" spans="1:5" x14ac:dyDescent="0.2">
      <c r="A169" s="1">
        <v>44949</v>
      </c>
      <c r="B169">
        <f>19.81</f>
        <v>19.809999999999999</v>
      </c>
      <c r="C169">
        <f>18.1635</f>
        <v>18.163499999999999</v>
      </c>
      <c r="D169">
        <f>14.02</f>
        <v>14.02</v>
      </c>
      <c r="E169">
        <f>19.75</f>
        <v>19.75</v>
      </c>
    </row>
    <row r="170" spans="1:5" x14ac:dyDescent="0.2">
      <c r="A170" s="1">
        <v>44946</v>
      </c>
      <c r="B170">
        <f>19.85</f>
        <v>19.850000000000001</v>
      </c>
      <c r="C170">
        <f>18.6836</f>
        <v>18.683599999999998</v>
      </c>
      <c r="D170">
        <f>14.2</f>
        <v>14.2</v>
      </c>
      <c r="E170">
        <f>19.63</f>
        <v>19.63</v>
      </c>
    </row>
    <row r="171" spans="1:5" x14ac:dyDescent="0.2">
      <c r="A171" s="1">
        <v>44945</v>
      </c>
      <c r="B171">
        <f>20.52</f>
        <v>20.52</v>
      </c>
      <c r="C171">
        <f>20.2982</f>
        <v>20.298200000000001</v>
      </c>
      <c r="D171">
        <f>15.16</f>
        <v>15.16</v>
      </c>
      <c r="E171">
        <f>19.62</f>
        <v>19.62</v>
      </c>
    </row>
    <row r="172" spans="1:5" x14ac:dyDescent="0.2">
      <c r="A172" s="1">
        <v>44944</v>
      </c>
      <c r="B172">
        <f>20.34</f>
        <v>20.34</v>
      </c>
      <c r="C172">
        <f>18.1208</f>
        <v>18.120799999999999</v>
      </c>
      <c r="D172">
        <f>14.17</f>
        <v>14.17</v>
      </c>
      <c r="E172">
        <f>19.51</f>
        <v>19.510000000000002</v>
      </c>
    </row>
    <row r="173" spans="1:5" x14ac:dyDescent="0.2">
      <c r="A173" s="1">
        <v>44943</v>
      </c>
      <c r="B173">
        <f>19.36</f>
        <v>19.36</v>
      </c>
      <c r="C173">
        <f>18.6197</f>
        <v>18.619700000000002</v>
      </c>
      <c r="D173">
        <f>14.74</f>
        <v>14.74</v>
      </c>
      <c r="E173">
        <f>18.73</f>
        <v>18.73</v>
      </c>
    </row>
    <row r="174" spans="1:5" x14ac:dyDescent="0.2">
      <c r="A174" s="1">
        <v>44942</v>
      </c>
      <c r="B174">
        <f>19.49</f>
        <v>19.489999999999998</v>
      </c>
      <c r="C174">
        <f>18.3479</f>
        <v>18.347899999999999</v>
      </c>
      <c r="D174">
        <f>14.44</f>
        <v>14.44</v>
      </c>
      <c r="E174">
        <f>19.18</f>
        <v>19.18</v>
      </c>
    </row>
    <row r="175" spans="1:5" x14ac:dyDescent="0.2">
      <c r="A175" s="1">
        <v>44939</v>
      </c>
      <c r="B175">
        <f>18.35</f>
        <v>18.350000000000001</v>
      </c>
      <c r="C175">
        <f>17.3437</f>
        <v>17.343699999999998</v>
      </c>
      <c r="D175">
        <f>13.17</f>
        <v>13.17</v>
      </c>
      <c r="E175">
        <f>19.54</f>
        <v>19.54</v>
      </c>
    </row>
    <row r="176" spans="1:5" x14ac:dyDescent="0.2">
      <c r="A176" s="1">
        <v>44938</v>
      </c>
      <c r="B176">
        <f>18.83</f>
        <v>18.829999999999998</v>
      </c>
      <c r="C176">
        <f>17.9438</f>
        <v>17.9438</v>
      </c>
      <c r="D176">
        <f>13.82</f>
        <v>13.82</v>
      </c>
      <c r="E176">
        <f>19.55</f>
        <v>19.55</v>
      </c>
    </row>
    <row r="177" spans="1:5" x14ac:dyDescent="0.2">
      <c r="A177" s="1">
        <v>44937</v>
      </c>
      <c r="B177">
        <f>21.09</f>
        <v>21.09</v>
      </c>
      <c r="C177">
        <f>19.34</f>
        <v>19.34</v>
      </c>
      <c r="D177">
        <f>14.94</f>
        <v>14.94</v>
      </c>
      <c r="E177">
        <f>19.82</f>
        <v>19.82</v>
      </c>
    </row>
    <row r="178" spans="1:5" x14ac:dyDescent="0.2">
      <c r="A178" s="1">
        <v>44936</v>
      </c>
      <c r="B178">
        <f>20.58</f>
        <v>20.58</v>
      </c>
      <c r="C178">
        <f>19.2537</f>
        <v>19.253699999999998</v>
      </c>
      <c r="D178">
        <f>14.54</f>
        <v>14.54</v>
      </c>
      <c r="E178">
        <f>19.7</f>
        <v>19.7</v>
      </c>
    </row>
    <row r="179" spans="1:5" x14ac:dyDescent="0.2">
      <c r="A179" s="1">
        <v>44935</v>
      </c>
      <c r="B179">
        <f>21.97</f>
        <v>21.97</v>
      </c>
      <c r="C179">
        <f>18.9985</f>
        <v>18.9985</v>
      </c>
      <c r="D179">
        <f>13.89</f>
        <v>13.89</v>
      </c>
      <c r="E179">
        <f>19.96</f>
        <v>19.96</v>
      </c>
    </row>
    <row r="180" spans="1:5" x14ac:dyDescent="0.2">
      <c r="A180" s="1">
        <v>44932</v>
      </c>
      <c r="B180">
        <f>21.13</f>
        <v>21.13</v>
      </c>
      <c r="C180">
        <f>18.4877</f>
        <v>18.4877</v>
      </c>
      <c r="D180">
        <f>13.67</f>
        <v>13.67</v>
      </c>
      <c r="E180">
        <f>20.67</f>
        <v>20.67</v>
      </c>
    </row>
    <row r="181" spans="1:5" x14ac:dyDescent="0.2">
      <c r="A181" s="1">
        <v>44931</v>
      </c>
      <c r="B181">
        <f>22.46</f>
        <v>22.46</v>
      </c>
      <c r="C181">
        <f>19.5317</f>
        <v>19.531700000000001</v>
      </c>
      <c r="D181">
        <f>14.24</f>
        <v>14.24</v>
      </c>
      <c r="E181">
        <f>20.74</f>
        <v>20.74</v>
      </c>
    </row>
    <row r="182" spans="1:5" x14ac:dyDescent="0.2">
      <c r="A182" s="1">
        <v>44930</v>
      </c>
      <c r="B182">
        <f>22.01</f>
        <v>22.01</v>
      </c>
      <c r="C182">
        <f>19.4454</f>
        <v>19.445399999999999</v>
      </c>
      <c r="D182">
        <f>14.69</f>
        <v>14.69</v>
      </c>
      <c r="E182">
        <f>20.92</f>
        <v>20.92</v>
      </c>
    </row>
    <row r="183" spans="1:5" x14ac:dyDescent="0.2">
      <c r="A183" s="1">
        <v>44929</v>
      </c>
      <c r="B183">
        <f>22.9</f>
        <v>22.9</v>
      </c>
      <c r="C183">
        <f>20.2765</f>
        <v>20.276499999999999</v>
      </c>
      <c r="D183">
        <f>15.04</f>
        <v>15.04</v>
      </c>
      <c r="E183">
        <f>21.81</f>
        <v>21.81</v>
      </c>
    </row>
    <row r="184" spans="1:5" x14ac:dyDescent="0.2">
      <c r="A184" s="1">
        <v>44928</v>
      </c>
      <c r="B184" t="e">
        <f>NA()</f>
        <v>#N/A</v>
      </c>
      <c r="C184">
        <f>20.7701</f>
        <v>20.770099999999999</v>
      </c>
      <c r="D184" t="e">
        <f>NA()</f>
        <v>#N/A</v>
      </c>
      <c r="E184" t="e">
        <f>NA()</f>
        <v>#N/A</v>
      </c>
    </row>
    <row r="185" spans="1:5" x14ac:dyDescent="0.2">
      <c r="A185" s="1">
        <v>44925</v>
      </c>
      <c r="B185">
        <f>21.67</f>
        <v>21.67</v>
      </c>
      <c r="C185">
        <f>20.8862</f>
        <v>20.886199999999999</v>
      </c>
      <c r="D185">
        <f>15</f>
        <v>15</v>
      </c>
      <c r="E185">
        <f>21.68</f>
        <v>21.68</v>
      </c>
    </row>
    <row r="186" spans="1:5" x14ac:dyDescent="0.2">
      <c r="A186" s="1">
        <v>44924</v>
      </c>
      <c r="B186">
        <f>21.44</f>
        <v>21.44</v>
      </c>
      <c r="C186">
        <f>19.9315</f>
        <v>19.9315</v>
      </c>
      <c r="D186">
        <f>14.58</f>
        <v>14.58</v>
      </c>
      <c r="E186">
        <f>21.19</f>
        <v>21.19</v>
      </c>
    </row>
    <row r="187" spans="1:5" x14ac:dyDescent="0.2">
      <c r="A187" s="1">
        <v>44923</v>
      </c>
      <c r="B187">
        <f>22.14</f>
        <v>22.14</v>
      </c>
      <c r="C187">
        <f>20.5078</f>
        <v>20.5078</v>
      </c>
      <c r="D187">
        <f>14.89</f>
        <v>14.89</v>
      </c>
      <c r="E187">
        <f>21.74</f>
        <v>21.74</v>
      </c>
    </row>
    <row r="188" spans="1:5" x14ac:dyDescent="0.2">
      <c r="A188" s="1">
        <v>44922</v>
      </c>
      <c r="B188">
        <f>21.65</f>
        <v>21.65</v>
      </c>
      <c r="C188">
        <f>20.6586</f>
        <v>20.6586</v>
      </c>
      <c r="D188" t="e">
        <f>NA()</f>
        <v>#N/A</v>
      </c>
      <c r="E188" t="e">
        <f>NA()</f>
        <v>#N/A</v>
      </c>
    </row>
    <row r="189" spans="1:5" x14ac:dyDescent="0.2">
      <c r="A189" s="1">
        <v>44918</v>
      </c>
      <c r="B189">
        <f>20.87</f>
        <v>20.87</v>
      </c>
      <c r="C189">
        <f>20.0403</f>
        <v>20.040299999999998</v>
      </c>
      <c r="D189">
        <f>14.91</f>
        <v>14.91</v>
      </c>
      <c r="E189">
        <f>22.11</f>
        <v>22.11</v>
      </c>
    </row>
    <row r="190" spans="1:5" x14ac:dyDescent="0.2">
      <c r="A190" s="1">
        <v>44917</v>
      </c>
      <c r="B190">
        <f>21.97</f>
        <v>21.97</v>
      </c>
      <c r="C190">
        <f>19.962</f>
        <v>19.962</v>
      </c>
      <c r="D190">
        <f>14.87</f>
        <v>14.87</v>
      </c>
      <c r="E190">
        <f>21.64</f>
        <v>21.64</v>
      </c>
    </row>
    <row r="191" spans="1:5" x14ac:dyDescent="0.2">
      <c r="A191" s="1">
        <v>44916</v>
      </c>
      <c r="B191">
        <f>20.07</f>
        <v>20.07</v>
      </c>
      <c r="C191">
        <f>19.0621</f>
        <v>19.062100000000001</v>
      </c>
      <c r="D191">
        <f>14.32</f>
        <v>14.32</v>
      </c>
      <c r="E191">
        <f>21.92</f>
        <v>21.92</v>
      </c>
    </row>
    <row r="192" spans="1:5" x14ac:dyDescent="0.2">
      <c r="A192" s="1">
        <v>44915</v>
      </c>
      <c r="B192">
        <f>21.48</f>
        <v>21.48</v>
      </c>
      <c r="C192">
        <f>20.6949</f>
        <v>20.694900000000001</v>
      </c>
      <c r="D192">
        <f>15.71</f>
        <v>15.71</v>
      </c>
      <c r="E192">
        <f>23.23</f>
        <v>23.23</v>
      </c>
    </row>
    <row r="193" spans="1:5" x14ac:dyDescent="0.2">
      <c r="A193" s="1">
        <v>44914</v>
      </c>
      <c r="B193">
        <f>22.42</f>
        <v>22.42</v>
      </c>
      <c r="C193">
        <f>20.6049</f>
        <v>20.604900000000001</v>
      </c>
      <c r="D193">
        <f>15.46</f>
        <v>15.46</v>
      </c>
      <c r="E193">
        <f>21.87</f>
        <v>21.87</v>
      </c>
    </row>
    <row r="194" spans="1:5" x14ac:dyDescent="0.2">
      <c r="A194" s="1">
        <v>44911</v>
      </c>
      <c r="B194">
        <f>22.62</f>
        <v>22.62</v>
      </c>
      <c r="C194">
        <f>21.3153</f>
        <v>21.315300000000001</v>
      </c>
      <c r="D194">
        <f>15.72</f>
        <v>15.72</v>
      </c>
      <c r="E194" t="e">
        <f>NA()</f>
        <v>#N/A</v>
      </c>
    </row>
    <row r="195" spans="1:5" x14ac:dyDescent="0.2">
      <c r="A195" s="1">
        <v>44910</v>
      </c>
      <c r="B195">
        <f>22.83</f>
        <v>22.83</v>
      </c>
      <c r="C195">
        <f>20.8424</f>
        <v>20.842400000000001</v>
      </c>
      <c r="D195">
        <f>14.61</f>
        <v>14.61</v>
      </c>
      <c r="E195">
        <f>20.77</f>
        <v>20.77</v>
      </c>
    </row>
    <row r="196" spans="1:5" x14ac:dyDescent="0.2">
      <c r="A196" s="1">
        <v>44909</v>
      </c>
      <c r="B196">
        <f>21.14</f>
        <v>21.14</v>
      </c>
      <c r="C196">
        <f>20.34</f>
        <v>20.34</v>
      </c>
      <c r="D196">
        <f>14.13</f>
        <v>14.13</v>
      </c>
      <c r="E196">
        <f>20.24</f>
        <v>20.239999999999998</v>
      </c>
    </row>
    <row r="197" spans="1:5" x14ac:dyDescent="0.2">
      <c r="A197" s="1">
        <v>44908</v>
      </c>
      <c r="B197">
        <f>22.55</f>
        <v>22.55</v>
      </c>
      <c r="C197">
        <f>20.3898</f>
        <v>20.389800000000001</v>
      </c>
      <c r="D197">
        <f>14.34</f>
        <v>14.34</v>
      </c>
      <c r="E197">
        <f>20.78</f>
        <v>20.78</v>
      </c>
    </row>
    <row r="198" spans="1:5" x14ac:dyDescent="0.2">
      <c r="A198" s="1">
        <v>44907</v>
      </c>
      <c r="B198">
        <f>25</f>
        <v>25</v>
      </c>
      <c r="C198">
        <f>22.538</f>
        <v>22.538</v>
      </c>
      <c r="D198">
        <f>16.13</f>
        <v>16.13</v>
      </c>
      <c r="E198">
        <f>21.32</f>
        <v>21.32</v>
      </c>
    </row>
    <row r="199" spans="1:5" x14ac:dyDescent="0.2">
      <c r="A199" s="1">
        <v>44904</v>
      </c>
      <c r="B199">
        <f>22.83</f>
        <v>22.83</v>
      </c>
      <c r="C199">
        <f>21.3964</f>
        <v>21.3964</v>
      </c>
      <c r="D199">
        <f>15.26</f>
        <v>15.26</v>
      </c>
      <c r="E199">
        <f>21.32</f>
        <v>21.32</v>
      </c>
    </row>
    <row r="200" spans="1:5" x14ac:dyDescent="0.2">
      <c r="A200" s="1">
        <v>44903</v>
      </c>
      <c r="B200">
        <f>22.29</f>
        <v>22.29</v>
      </c>
      <c r="C200">
        <f>21.7925</f>
        <v>21.7925</v>
      </c>
      <c r="D200">
        <f>15.12</f>
        <v>15.12</v>
      </c>
      <c r="E200">
        <f>21.59</f>
        <v>21.59</v>
      </c>
    </row>
    <row r="201" spans="1:5" x14ac:dyDescent="0.2">
      <c r="A201" s="1">
        <v>44902</v>
      </c>
      <c r="B201">
        <f>22.68</f>
        <v>22.68</v>
      </c>
      <c r="C201">
        <f>22.0266</f>
        <v>22.026599999999998</v>
      </c>
      <c r="D201">
        <f>16.3</f>
        <v>16.3</v>
      </c>
      <c r="E201">
        <f>21.32</f>
        <v>21.32</v>
      </c>
    </row>
    <row r="202" spans="1:5" x14ac:dyDescent="0.2">
      <c r="A202" s="1">
        <v>44901</v>
      </c>
      <c r="B202">
        <f>22.17</f>
        <v>22.17</v>
      </c>
      <c r="C202">
        <f>20.81</f>
        <v>20.81</v>
      </c>
      <c r="D202">
        <f>15.55</f>
        <v>15.55</v>
      </c>
      <c r="E202">
        <f>21.1</f>
        <v>21.1</v>
      </c>
    </row>
    <row r="203" spans="1:5" x14ac:dyDescent="0.2">
      <c r="A203" s="1">
        <v>44900</v>
      </c>
      <c r="B203">
        <f>20.75</f>
        <v>20.75</v>
      </c>
      <c r="C203">
        <f>19.8221</f>
        <v>19.822099999999999</v>
      </c>
      <c r="D203">
        <f>14.69</f>
        <v>14.69</v>
      </c>
      <c r="E203">
        <f>21.38</f>
        <v>21.38</v>
      </c>
    </row>
    <row r="204" spans="1:5" x14ac:dyDescent="0.2">
      <c r="A204" s="1">
        <v>44897</v>
      </c>
      <c r="B204">
        <f>19.06</f>
        <v>19.059999999999999</v>
      </c>
      <c r="C204">
        <f>19.3283</f>
        <v>19.328299999999999</v>
      </c>
      <c r="D204">
        <f>14.67</f>
        <v>14.67</v>
      </c>
      <c r="E204">
        <f>21.13</f>
        <v>21.13</v>
      </c>
    </row>
    <row r="205" spans="1:5" x14ac:dyDescent="0.2">
      <c r="A205" s="1">
        <v>44896</v>
      </c>
      <c r="B205">
        <f>19.84</f>
        <v>19.84</v>
      </c>
      <c r="C205">
        <f>20.3191</f>
        <v>20.319099999999999</v>
      </c>
      <c r="D205">
        <f>15.5</f>
        <v>15.5</v>
      </c>
      <c r="E205">
        <f>21.6</f>
        <v>21.6</v>
      </c>
    </row>
    <row r="206" spans="1:5" x14ac:dyDescent="0.2">
      <c r="A206" s="1">
        <v>44895</v>
      </c>
      <c r="B206">
        <f>20.58</f>
        <v>20.58</v>
      </c>
      <c r="C206">
        <f>21.2104</f>
        <v>21.2104</v>
      </c>
      <c r="D206">
        <f>15.76</f>
        <v>15.76</v>
      </c>
      <c r="E206">
        <f>22.37</f>
        <v>22.37</v>
      </c>
    </row>
    <row r="207" spans="1:5" x14ac:dyDescent="0.2">
      <c r="A207" s="1">
        <v>44894</v>
      </c>
      <c r="B207">
        <f>21.89</f>
        <v>21.89</v>
      </c>
      <c r="C207">
        <f>21.7003</f>
        <v>21.700299999999999</v>
      </c>
      <c r="D207">
        <f>16.05</f>
        <v>16.05</v>
      </c>
      <c r="E207">
        <f>22.05</f>
        <v>22.05</v>
      </c>
    </row>
    <row r="208" spans="1:5" x14ac:dyDescent="0.2">
      <c r="A208" s="1">
        <v>44893</v>
      </c>
      <c r="B208">
        <f>22.21</f>
        <v>22.21</v>
      </c>
      <c r="C208">
        <f>21.523</f>
        <v>21.523</v>
      </c>
      <c r="D208">
        <f>16</f>
        <v>16</v>
      </c>
      <c r="E208">
        <f>22.9</f>
        <v>22.9</v>
      </c>
    </row>
    <row r="209" spans="1:5" x14ac:dyDescent="0.2">
      <c r="A209" s="1">
        <v>44890</v>
      </c>
      <c r="B209">
        <f>20.5</f>
        <v>20.5</v>
      </c>
      <c r="C209">
        <f>19.9294</f>
        <v>19.929400000000001</v>
      </c>
      <c r="D209">
        <f>14.9</f>
        <v>14.9</v>
      </c>
      <c r="E209">
        <f>23.19</f>
        <v>23.19</v>
      </c>
    </row>
    <row r="210" spans="1:5" x14ac:dyDescent="0.2">
      <c r="A210" s="1">
        <v>44889</v>
      </c>
      <c r="B210">
        <f>20.42</f>
        <v>20.420000000000002</v>
      </c>
      <c r="C210">
        <f>19.563</f>
        <v>19.562999999999999</v>
      </c>
      <c r="D210">
        <f>14.95</f>
        <v>14.95</v>
      </c>
      <c r="E210">
        <f>23.65</f>
        <v>23.65</v>
      </c>
    </row>
    <row r="211" spans="1:5" x14ac:dyDescent="0.2">
      <c r="A211" s="1">
        <v>44888</v>
      </c>
      <c r="B211">
        <f>20.35</f>
        <v>20.350000000000001</v>
      </c>
      <c r="C211">
        <f>19.5057</f>
        <v>19.505700000000001</v>
      </c>
      <c r="D211">
        <f>15.25</f>
        <v>15.25</v>
      </c>
      <c r="E211">
        <f>23.65</f>
        <v>23.65</v>
      </c>
    </row>
    <row r="212" spans="1:5" x14ac:dyDescent="0.2">
      <c r="A212" s="1">
        <v>44887</v>
      </c>
      <c r="B212">
        <f>21.29</f>
        <v>21.29</v>
      </c>
      <c r="C212">
        <f>20.2196</f>
        <v>20.2196</v>
      </c>
      <c r="D212">
        <f>15.45</f>
        <v>15.45</v>
      </c>
      <c r="E212">
        <f>23.83</f>
        <v>23.83</v>
      </c>
    </row>
    <row r="213" spans="1:5" x14ac:dyDescent="0.2">
      <c r="A213" s="1">
        <v>44886</v>
      </c>
      <c r="B213">
        <f>22.36</f>
        <v>22.36</v>
      </c>
      <c r="C213">
        <f>21.1749</f>
        <v>21.174900000000001</v>
      </c>
      <c r="D213">
        <f>16.31</f>
        <v>16.309999999999999</v>
      </c>
      <c r="E213">
        <f>22.9</f>
        <v>22.9</v>
      </c>
    </row>
    <row r="214" spans="1:5" x14ac:dyDescent="0.2">
      <c r="A214" s="1">
        <v>44883</v>
      </c>
      <c r="B214">
        <f>23.12</f>
        <v>23.12</v>
      </c>
      <c r="C214">
        <f>20.8843</f>
        <v>20.8843</v>
      </c>
      <c r="D214">
        <f>15.97</f>
        <v>15.97</v>
      </c>
      <c r="E214">
        <f>23.21</f>
        <v>23.21</v>
      </c>
    </row>
    <row r="215" spans="1:5" x14ac:dyDescent="0.2">
      <c r="A215" s="1">
        <v>44882</v>
      </c>
      <c r="B215">
        <f>23.93</f>
        <v>23.93</v>
      </c>
      <c r="C215">
        <f>21.8159</f>
        <v>21.815899999999999</v>
      </c>
      <c r="D215">
        <f>16.76</f>
        <v>16.760000000000002</v>
      </c>
      <c r="E215">
        <f>22.96</f>
        <v>22.96</v>
      </c>
    </row>
    <row r="216" spans="1:5" x14ac:dyDescent="0.2">
      <c r="A216" s="1">
        <v>44881</v>
      </c>
      <c r="B216">
        <f>24.11</f>
        <v>24.11</v>
      </c>
      <c r="C216">
        <f>21.1699</f>
        <v>21.169899999999998</v>
      </c>
      <c r="D216">
        <f>16.26</f>
        <v>16.260000000000002</v>
      </c>
      <c r="E216">
        <f>22.49</f>
        <v>22.49</v>
      </c>
    </row>
    <row r="217" spans="1:5" x14ac:dyDescent="0.2">
      <c r="A217" s="1">
        <v>44880</v>
      </c>
      <c r="B217">
        <f>24.54</f>
        <v>24.54</v>
      </c>
      <c r="C217">
        <f>20.8552</f>
        <v>20.8552</v>
      </c>
      <c r="D217">
        <f>15.7</f>
        <v>15.7</v>
      </c>
      <c r="E217">
        <f>23</f>
        <v>23</v>
      </c>
    </row>
    <row r="218" spans="1:5" x14ac:dyDescent="0.2">
      <c r="A218" s="1">
        <v>44879</v>
      </c>
      <c r="B218">
        <f>23.73</f>
        <v>23.73</v>
      </c>
      <c r="C218">
        <f>20.9416</f>
        <v>20.941600000000001</v>
      </c>
      <c r="D218">
        <f>16.08</f>
        <v>16.079999999999998</v>
      </c>
      <c r="E218">
        <f>22.95</f>
        <v>22.95</v>
      </c>
    </row>
    <row r="219" spans="1:5" x14ac:dyDescent="0.2">
      <c r="A219" s="1">
        <v>44876</v>
      </c>
      <c r="B219">
        <f>22.52</f>
        <v>22.52</v>
      </c>
      <c r="C219">
        <f>20.7775</f>
        <v>20.7775</v>
      </c>
      <c r="D219">
        <f>16.17</f>
        <v>16.170000000000002</v>
      </c>
      <c r="E219">
        <f>24.45</f>
        <v>24.45</v>
      </c>
    </row>
    <row r="220" spans="1:5" x14ac:dyDescent="0.2">
      <c r="A220" s="1">
        <v>44875</v>
      </c>
      <c r="B220">
        <f>23.53</f>
        <v>23.53</v>
      </c>
      <c r="C220">
        <f>21.3193</f>
        <v>21.319299999999998</v>
      </c>
      <c r="D220">
        <f>16.73</f>
        <v>16.73</v>
      </c>
      <c r="E220">
        <f>24.65</f>
        <v>24.65</v>
      </c>
    </row>
    <row r="221" spans="1:5" x14ac:dyDescent="0.2">
      <c r="A221" s="1">
        <v>44874</v>
      </c>
      <c r="B221">
        <f>26.09</f>
        <v>26.09</v>
      </c>
      <c r="C221">
        <f>23.2437</f>
        <v>23.2437</v>
      </c>
      <c r="D221">
        <f>17.45</f>
        <v>17.45</v>
      </c>
      <c r="E221">
        <f>24.73</f>
        <v>24.73</v>
      </c>
    </row>
    <row r="222" spans="1:5" x14ac:dyDescent="0.2">
      <c r="A222" s="1">
        <v>44873</v>
      </c>
      <c r="B222">
        <f>25.54</f>
        <v>25.54</v>
      </c>
      <c r="C222">
        <f>22.6103</f>
        <v>22.610299999999999</v>
      </c>
      <c r="D222">
        <f>17.1</f>
        <v>17.100000000000001</v>
      </c>
      <c r="E222">
        <f>25.12</f>
        <v>25.12</v>
      </c>
    </row>
    <row r="223" spans="1:5" x14ac:dyDescent="0.2">
      <c r="A223" s="1">
        <v>44872</v>
      </c>
      <c r="B223">
        <f>24.35</f>
        <v>24.35</v>
      </c>
      <c r="C223">
        <f>22.6633</f>
        <v>22.6633</v>
      </c>
      <c r="D223">
        <f>17.17</f>
        <v>17.170000000000002</v>
      </c>
      <c r="E223">
        <f>25.14</f>
        <v>25.14</v>
      </c>
    </row>
    <row r="224" spans="1:5" x14ac:dyDescent="0.2">
      <c r="A224" s="1">
        <v>44869</v>
      </c>
      <c r="B224">
        <f>24.55</f>
        <v>24.55</v>
      </c>
      <c r="C224">
        <f>22.9051</f>
        <v>22.905100000000001</v>
      </c>
      <c r="D224">
        <f>17.07</f>
        <v>17.07</v>
      </c>
      <c r="E224">
        <f>27.01</f>
        <v>27.01</v>
      </c>
    </row>
    <row r="225" spans="1:5" x14ac:dyDescent="0.2">
      <c r="A225" s="1">
        <v>44868</v>
      </c>
      <c r="B225">
        <f>25.3</f>
        <v>25.3</v>
      </c>
      <c r="C225">
        <f>23.7706</f>
        <v>23.770600000000002</v>
      </c>
      <c r="D225">
        <f>18.14</f>
        <v>18.14</v>
      </c>
      <c r="E225">
        <f>26.86</f>
        <v>26.86</v>
      </c>
    </row>
    <row r="226" spans="1:5" x14ac:dyDescent="0.2">
      <c r="A226" s="1">
        <v>44867</v>
      </c>
      <c r="B226">
        <f>25.86</f>
        <v>25.86</v>
      </c>
      <c r="C226">
        <f>24.7005</f>
        <v>24.700500000000002</v>
      </c>
      <c r="D226">
        <f>18.94</f>
        <v>18.940000000000001</v>
      </c>
      <c r="E226">
        <f>26.66</f>
        <v>26.66</v>
      </c>
    </row>
    <row r="227" spans="1:5" x14ac:dyDescent="0.2">
      <c r="A227" s="1">
        <v>44866</v>
      </c>
      <c r="B227">
        <f>25.81</f>
        <v>25.81</v>
      </c>
      <c r="C227">
        <f>24.4661</f>
        <v>24.466100000000001</v>
      </c>
      <c r="D227">
        <f>18.46</f>
        <v>18.46</v>
      </c>
      <c r="E227">
        <f>27.17</f>
        <v>27.17</v>
      </c>
    </row>
    <row r="228" spans="1:5" x14ac:dyDescent="0.2">
      <c r="A228" s="1">
        <v>44865</v>
      </c>
      <c r="B228">
        <f>25.88</f>
        <v>25.88</v>
      </c>
      <c r="C228">
        <f>24.8305</f>
        <v>24.830500000000001</v>
      </c>
      <c r="D228">
        <f>18.25</f>
        <v>18.25</v>
      </c>
      <c r="E228">
        <f>26.99</f>
        <v>26.99</v>
      </c>
    </row>
    <row r="229" spans="1:5" x14ac:dyDescent="0.2">
      <c r="A229" s="1">
        <v>44862</v>
      </c>
      <c r="B229">
        <f>25.75</f>
        <v>25.75</v>
      </c>
      <c r="C229">
        <f>24.8904</f>
        <v>24.8904</v>
      </c>
      <c r="D229">
        <f>18.55</f>
        <v>18.55</v>
      </c>
      <c r="E229">
        <f>26.79</f>
        <v>26.79</v>
      </c>
    </row>
    <row r="230" spans="1:5" x14ac:dyDescent="0.2">
      <c r="A230" s="1">
        <v>44861</v>
      </c>
      <c r="B230">
        <f>27.39</f>
        <v>27.39</v>
      </c>
      <c r="C230">
        <f>25.8725</f>
        <v>25.872499999999999</v>
      </c>
      <c r="D230">
        <f>19.24</f>
        <v>19.239999999999998</v>
      </c>
      <c r="E230">
        <f>26.34</f>
        <v>26.34</v>
      </c>
    </row>
    <row r="231" spans="1:5" x14ac:dyDescent="0.2">
      <c r="A231" s="1">
        <v>44860</v>
      </c>
      <c r="B231">
        <f>27.28</f>
        <v>27.28</v>
      </c>
      <c r="C231">
        <f>26.9479</f>
        <v>26.947900000000001</v>
      </c>
      <c r="D231">
        <f>20.22</f>
        <v>20.22</v>
      </c>
      <c r="E231">
        <f>25.99</f>
        <v>25.99</v>
      </c>
    </row>
    <row r="232" spans="1:5" x14ac:dyDescent="0.2">
      <c r="A232" s="1">
        <v>44859</v>
      </c>
      <c r="B232">
        <f>28.46</f>
        <v>28.46</v>
      </c>
      <c r="C232">
        <f>27.6175</f>
        <v>27.6175</v>
      </c>
      <c r="D232">
        <f>21.6</f>
        <v>21.6</v>
      </c>
      <c r="E232">
        <f>26.97</f>
        <v>26.97</v>
      </c>
    </row>
    <row r="233" spans="1:5" x14ac:dyDescent="0.2">
      <c r="A233" s="1">
        <v>44858</v>
      </c>
      <c r="B233">
        <f>29.85</f>
        <v>29.85</v>
      </c>
      <c r="C233">
        <f>28.6794</f>
        <v>28.679400000000001</v>
      </c>
      <c r="D233">
        <f>22.13</f>
        <v>22.13</v>
      </c>
      <c r="E233">
        <f>27.65</f>
        <v>27.65</v>
      </c>
    </row>
    <row r="234" spans="1:5" x14ac:dyDescent="0.2">
      <c r="A234" s="1">
        <v>44855</v>
      </c>
      <c r="B234">
        <f>29.69</f>
        <v>29.69</v>
      </c>
      <c r="C234">
        <f>27.8325</f>
        <v>27.8325</v>
      </c>
      <c r="D234">
        <f>21.94</f>
        <v>21.94</v>
      </c>
      <c r="E234">
        <f>27.08</f>
        <v>27.08</v>
      </c>
    </row>
    <row r="235" spans="1:5" x14ac:dyDescent="0.2">
      <c r="A235" s="1">
        <v>44854</v>
      </c>
      <c r="B235">
        <f>29.98</f>
        <v>29.98</v>
      </c>
      <c r="C235">
        <f>27.7451</f>
        <v>27.745100000000001</v>
      </c>
      <c r="D235">
        <f>22.36</f>
        <v>22.36</v>
      </c>
      <c r="E235">
        <f>27.12</f>
        <v>27.12</v>
      </c>
    </row>
    <row r="236" spans="1:5" x14ac:dyDescent="0.2">
      <c r="A236" s="1">
        <v>44853</v>
      </c>
      <c r="B236">
        <f>30.76</f>
        <v>30.76</v>
      </c>
      <c r="C236">
        <f>28.302</f>
        <v>28.302</v>
      </c>
      <c r="D236">
        <f>23.02</f>
        <v>23.02</v>
      </c>
      <c r="E236">
        <f>27.13</f>
        <v>27.13</v>
      </c>
    </row>
    <row r="237" spans="1:5" x14ac:dyDescent="0.2">
      <c r="A237" s="1">
        <v>44852</v>
      </c>
      <c r="B237">
        <f>30.5</f>
        <v>30.5</v>
      </c>
      <c r="C237">
        <f>28.9165</f>
        <v>28.916499999999999</v>
      </c>
      <c r="D237">
        <f>23.47</f>
        <v>23.47</v>
      </c>
      <c r="E237">
        <f>27.41</f>
        <v>27.41</v>
      </c>
    </row>
    <row r="238" spans="1:5" x14ac:dyDescent="0.2">
      <c r="A238" s="1">
        <v>44851</v>
      </c>
      <c r="B238">
        <f>31.37</f>
        <v>31.37</v>
      </c>
      <c r="C238">
        <f>29.2711</f>
        <v>29.271100000000001</v>
      </c>
      <c r="D238">
        <f>24.03</f>
        <v>24.03</v>
      </c>
      <c r="E238">
        <f>27.02</f>
        <v>27.02</v>
      </c>
    </row>
    <row r="239" spans="1:5" x14ac:dyDescent="0.2">
      <c r="A239" s="1">
        <v>44848</v>
      </c>
      <c r="B239">
        <f>32.02</f>
        <v>32.020000000000003</v>
      </c>
      <c r="C239">
        <f>29.766</f>
        <v>29.765999999999998</v>
      </c>
      <c r="D239">
        <f>24.87</f>
        <v>24.87</v>
      </c>
      <c r="E239">
        <f>28.68</f>
        <v>28.68</v>
      </c>
    </row>
    <row r="240" spans="1:5" x14ac:dyDescent="0.2">
      <c r="A240" s="1">
        <v>44847</v>
      </c>
      <c r="B240">
        <f>31.94</f>
        <v>31.94</v>
      </c>
      <c r="C240">
        <f>30.2048</f>
        <v>30.204799999999999</v>
      </c>
      <c r="D240">
        <f>25.46</f>
        <v>25.46</v>
      </c>
      <c r="E240">
        <f>28.47</f>
        <v>28.47</v>
      </c>
    </row>
    <row r="241" spans="1:5" x14ac:dyDescent="0.2">
      <c r="A241" s="1">
        <v>44846</v>
      </c>
      <c r="B241">
        <f>33.57</f>
        <v>33.57</v>
      </c>
      <c r="C241">
        <f>31.8224</f>
        <v>31.822399999999998</v>
      </c>
      <c r="D241">
        <f>26.82</f>
        <v>26.82</v>
      </c>
      <c r="E241">
        <f>28.58</f>
        <v>28.58</v>
      </c>
    </row>
    <row r="242" spans="1:5" x14ac:dyDescent="0.2">
      <c r="A242" s="1">
        <v>44845</v>
      </c>
      <c r="B242">
        <f>33.63</f>
        <v>33.630000000000003</v>
      </c>
      <c r="C242">
        <f>32.0131</f>
        <v>32.013100000000001</v>
      </c>
      <c r="D242">
        <f>26.48</f>
        <v>26.48</v>
      </c>
      <c r="E242">
        <f>28.12</f>
        <v>28.12</v>
      </c>
    </row>
    <row r="243" spans="1:5" x14ac:dyDescent="0.2">
      <c r="A243" s="1">
        <v>44844</v>
      </c>
      <c r="B243">
        <f>32.45</f>
        <v>32.450000000000003</v>
      </c>
      <c r="C243">
        <f>31.8717</f>
        <v>31.871700000000001</v>
      </c>
      <c r="D243">
        <f>25.59</f>
        <v>25.59</v>
      </c>
      <c r="E243">
        <f>27.89</f>
        <v>27.89</v>
      </c>
    </row>
    <row r="244" spans="1:5" x14ac:dyDescent="0.2">
      <c r="A244" s="1">
        <v>44841</v>
      </c>
      <c r="B244">
        <f>31.36</f>
        <v>31.36</v>
      </c>
      <c r="C244">
        <f>29.9234</f>
        <v>29.923400000000001</v>
      </c>
      <c r="D244">
        <f>24.21</f>
        <v>24.21</v>
      </c>
      <c r="E244">
        <f>27.41</f>
        <v>27.41</v>
      </c>
    </row>
    <row r="245" spans="1:5" x14ac:dyDescent="0.2">
      <c r="A245" s="1">
        <v>44840</v>
      </c>
      <c r="B245">
        <f>30.52</f>
        <v>30.52</v>
      </c>
      <c r="C245">
        <f>29.1714</f>
        <v>29.171399999999998</v>
      </c>
      <c r="D245">
        <f>24.38</f>
        <v>24.38</v>
      </c>
      <c r="E245">
        <f>27.81</f>
        <v>27.81</v>
      </c>
    </row>
    <row r="246" spans="1:5" x14ac:dyDescent="0.2">
      <c r="A246" s="1">
        <v>44839</v>
      </c>
      <c r="B246">
        <f>28.55</f>
        <v>28.55</v>
      </c>
      <c r="C246">
        <f>29.8599</f>
        <v>29.8599</v>
      </c>
      <c r="D246">
        <f>24.94</f>
        <v>24.94</v>
      </c>
      <c r="E246">
        <f>28.03</f>
        <v>28.03</v>
      </c>
    </row>
    <row r="247" spans="1:5" x14ac:dyDescent="0.2">
      <c r="A247" s="1">
        <v>44838</v>
      </c>
      <c r="B247">
        <f>29.07</f>
        <v>29.07</v>
      </c>
      <c r="C247">
        <f>29.2679</f>
        <v>29.267900000000001</v>
      </c>
      <c r="D247">
        <f>24.73</f>
        <v>24.73</v>
      </c>
      <c r="E247">
        <f>27.72</f>
        <v>27.72</v>
      </c>
    </row>
    <row r="248" spans="1:5" x14ac:dyDescent="0.2">
      <c r="A248" s="1">
        <v>44837</v>
      </c>
      <c r="B248">
        <f>30.1</f>
        <v>30.1</v>
      </c>
      <c r="C248">
        <f>30.7147</f>
        <v>30.714700000000001</v>
      </c>
      <c r="D248">
        <f>28.16</f>
        <v>28.16</v>
      </c>
      <c r="E248">
        <f>28.12</f>
        <v>28.12</v>
      </c>
    </row>
    <row r="249" spans="1:5" x14ac:dyDescent="0.2">
      <c r="A249" s="1">
        <v>44834</v>
      </c>
      <c r="B249">
        <f>31.62</f>
        <v>31.62</v>
      </c>
      <c r="C249">
        <f>30.7092</f>
        <v>30.709199999999999</v>
      </c>
      <c r="D249">
        <f>26.95</f>
        <v>26.95</v>
      </c>
      <c r="E249">
        <f>28.03</f>
        <v>28.03</v>
      </c>
    </row>
    <row r="250" spans="1:5" x14ac:dyDescent="0.2">
      <c r="A250" s="1">
        <v>44833</v>
      </c>
      <c r="B250">
        <f>31.84</f>
        <v>31.84</v>
      </c>
      <c r="C250">
        <f>33.0733</f>
        <v>33.073300000000003</v>
      </c>
      <c r="D250">
        <f>28.41</f>
        <v>28.41</v>
      </c>
      <c r="E250">
        <f>28.9</f>
        <v>28.9</v>
      </c>
    </row>
    <row r="251" spans="1:5" x14ac:dyDescent="0.2">
      <c r="A251" s="1">
        <v>44832</v>
      </c>
      <c r="B251">
        <f>30.18</f>
        <v>30.18</v>
      </c>
      <c r="C251">
        <f>31.3435</f>
        <v>31.343499999999999</v>
      </c>
      <c r="D251">
        <f>25.68</f>
        <v>25.68</v>
      </c>
      <c r="E251">
        <f>29.69</f>
        <v>29.69</v>
      </c>
    </row>
    <row r="252" spans="1:5" x14ac:dyDescent="0.2">
      <c r="A252" s="1">
        <v>44831</v>
      </c>
      <c r="B252">
        <f>32.6</f>
        <v>32.6</v>
      </c>
      <c r="C252">
        <f>31.3224</f>
        <v>31.322399999999998</v>
      </c>
      <c r="D252">
        <f>25.18</f>
        <v>25.18</v>
      </c>
      <c r="E252">
        <f>29.25</f>
        <v>29.25</v>
      </c>
    </row>
    <row r="253" spans="1:5" x14ac:dyDescent="0.2">
      <c r="A253" s="1">
        <v>44830</v>
      </c>
      <c r="B253">
        <f>32.26</f>
        <v>32.26</v>
      </c>
      <c r="C253">
        <f>30.7535</f>
        <v>30.753499999999999</v>
      </c>
      <c r="D253">
        <f>25.07</f>
        <v>25.07</v>
      </c>
      <c r="E253">
        <f>28.34</f>
        <v>28.34</v>
      </c>
    </row>
    <row r="254" spans="1:5" x14ac:dyDescent="0.2">
      <c r="A254" s="1">
        <v>44827</v>
      </c>
      <c r="B254">
        <f>29.92</f>
        <v>29.92</v>
      </c>
      <c r="C254">
        <f>29.9959</f>
        <v>29.995899999999999</v>
      </c>
      <c r="D254">
        <f>23.99</f>
        <v>23.99</v>
      </c>
      <c r="E254">
        <f>28.97</f>
        <v>28.97</v>
      </c>
    </row>
    <row r="255" spans="1:5" x14ac:dyDescent="0.2">
      <c r="A255" s="1">
        <v>44826</v>
      </c>
      <c r="B255">
        <f>27.35</f>
        <v>27.35</v>
      </c>
      <c r="C255">
        <f>27.9968</f>
        <v>27.9968</v>
      </c>
      <c r="D255">
        <f>21.38</f>
        <v>21.38</v>
      </c>
      <c r="E255">
        <f>27.85</f>
        <v>27.85</v>
      </c>
    </row>
    <row r="256" spans="1:5" x14ac:dyDescent="0.2">
      <c r="A256" s="1">
        <v>44825</v>
      </c>
      <c r="B256">
        <f>27.99</f>
        <v>27.99</v>
      </c>
      <c r="C256">
        <f>27.2697</f>
        <v>27.2697</v>
      </c>
      <c r="D256">
        <f>20.8</f>
        <v>20.8</v>
      </c>
      <c r="E256">
        <f>27.13</f>
        <v>27.13</v>
      </c>
    </row>
    <row r="257" spans="1:5" x14ac:dyDescent="0.2">
      <c r="A257" s="1">
        <v>44824</v>
      </c>
      <c r="B257">
        <f>27.16</f>
        <v>27.16</v>
      </c>
      <c r="C257">
        <f>27.1557</f>
        <v>27.1557</v>
      </c>
      <c r="D257">
        <f>21.22</f>
        <v>21.22</v>
      </c>
      <c r="E257">
        <f>26.92</f>
        <v>26.92</v>
      </c>
    </row>
    <row r="258" spans="1:5" x14ac:dyDescent="0.2">
      <c r="A258" s="1">
        <v>44823</v>
      </c>
      <c r="B258">
        <f>25.76</f>
        <v>25.76</v>
      </c>
      <c r="C258">
        <f>26.1867</f>
        <v>26.186699999999998</v>
      </c>
      <c r="D258" t="e">
        <f>NA()</f>
        <v>#N/A</v>
      </c>
      <c r="E258">
        <f>26.71</f>
        <v>26.71</v>
      </c>
    </row>
    <row r="259" spans="1:5" x14ac:dyDescent="0.2">
      <c r="A259" s="1">
        <v>44820</v>
      </c>
      <c r="B259">
        <f>26.3</f>
        <v>26.3</v>
      </c>
      <c r="C259">
        <f>26.4308</f>
        <v>26.430800000000001</v>
      </c>
      <c r="D259">
        <f>20.36</f>
        <v>20.36</v>
      </c>
      <c r="E259">
        <f>25.17</f>
        <v>25.17</v>
      </c>
    </row>
    <row r="260" spans="1:5" x14ac:dyDescent="0.2">
      <c r="A260" s="1">
        <v>44819</v>
      </c>
      <c r="B260">
        <f>26.27</f>
        <v>26.27</v>
      </c>
      <c r="C260">
        <f>25.3479</f>
        <v>25.347899999999999</v>
      </c>
      <c r="D260">
        <f>19.86</f>
        <v>19.86</v>
      </c>
      <c r="E260">
        <f>24.49</f>
        <v>24.49</v>
      </c>
    </row>
    <row r="261" spans="1:5" x14ac:dyDescent="0.2">
      <c r="A261" s="1">
        <v>44818</v>
      </c>
      <c r="B261">
        <f>26.16</f>
        <v>26.16</v>
      </c>
      <c r="C261">
        <f>26.2438</f>
        <v>26.2438</v>
      </c>
      <c r="D261">
        <f>20.11</f>
        <v>20.11</v>
      </c>
      <c r="E261">
        <f>25.22</f>
        <v>25.22</v>
      </c>
    </row>
    <row r="262" spans="1:5" x14ac:dyDescent="0.2">
      <c r="A262" s="1">
        <v>44817</v>
      </c>
      <c r="B262">
        <f>27.27</f>
        <v>27.27</v>
      </c>
      <c r="C262">
        <f>26.041</f>
        <v>26.041</v>
      </c>
      <c r="D262">
        <f>19.02</f>
        <v>19.02</v>
      </c>
      <c r="E262">
        <f>26.13</f>
        <v>26.13</v>
      </c>
    </row>
    <row r="263" spans="1:5" x14ac:dyDescent="0.2">
      <c r="A263" s="1">
        <v>44816</v>
      </c>
      <c r="B263">
        <f>23.87</f>
        <v>23.87</v>
      </c>
      <c r="C263">
        <f>24.6249</f>
        <v>24.6249</v>
      </c>
      <c r="D263">
        <f>17.68</f>
        <v>17.68</v>
      </c>
      <c r="E263">
        <f>25.02</f>
        <v>25.02</v>
      </c>
    </row>
    <row r="264" spans="1:5" x14ac:dyDescent="0.2">
      <c r="A264" s="1">
        <v>44813</v>
      </c>
      <c r="B264">
        <f>22.79</f>
        <v>22.79</v>
      </c>
      <c r="C264">
        <f>24.8838</f>
        <v>24.883800000000001</v>
      </c>
      <c r="D264">
        <f>18.17</f>
        <v>18.170000000000002</v>
      </c>
      <c r="E264">
        <f>26.29</f>
        <v>26.29</v>
      </c>
    </row>
    <row r="265" spans="1:5" x14ac:dyDescent="0.2">
      <c r="A265" s="1">
        <v>44812</v>
      </c>
      <c r="B265">
        <f>23.61</f>
        <v>23.61</v>
      </c>
      <c r="C265">
        <f>25.9173</f>
        <v>25.917300000000001</v>
      </c>
      <c r="D265">
        <f>18.9</f>
        <v>18.899999999999999</v>
      </c>
      <c r="E265">
        <f>27.08</f>
        <v>27.08</v>
      </c>
    </row>
    <row r="266" spans="1:5" x14ac:dyDescent="0.2">
      <c r="A266" s="1">
        <v>44811</v>
      </c>
      <c r="B266">
        <f>24.64</f>
        <v>24.64</v>
      </c>
      <c r="C266">
        <f>27.1301</f>
        <v>27.130099999999999</v>
      </c>
      <c r="D266">
        <f>20.55</f>
        <v>20.55</v>
      </c>
      <c r="E266">
        <f>26.27</f>
        <v>26.27</v>
      </c>
    </row>
    <row r="267" spans="1:5" x14ac:dyDescent="0.2">
      <c r="A267" s="1">
        <v>44810</v>
      </c>
      <c r="B267">
        <f>26.91</f>
        <v>26.91</v>
      </c>
      <c r="C267">
        <f>27.3521</f>
        <v>27.3521</v>
      </c>
      <c r="D267">
        <f>19.97</f>
        <v>19.97</v>
      </c>
      <c r="E267">
        <f>25.67</f>
        <v>25.67</v>
      </c>
    </row>
    <row r="268" spans="1:5" x14ac:dyDescent="0.2">
      <c r="A268" s="1">
        <v>44809</v>
      </c>
      <c r="B268">
        <f>25.99</f>
        <v>25.99</v>
      </c>
      <c r="C268">
        <f>27.7853</f>
        <v>27.785299999999999</v>
      </c>
      <c r="D268">
        <f>20.57</f>
        <v>20.57</v>
      </c>
      <c r="E268">
        <f>25.73</f>
        <v>25.73</v>
      </c>
    </row>
    <row r="269" spans="1:5" x14ac:dyDescent="0.2">
      <c r="A269" s="1">
        <v>44806</v>
      </c>
      <c r="B269">
        <f>25.47</f>
        <v>25.47</v>
      </c>
      <c r="C269">
        <f>25.5031</f>
        <v>25.5031</v>
      </c>
      <c r="D269">
        <f>19.37</f>
        <v>19.37</v>
      </c>
      <c r="E269" t="e">
        <f>NA()</f>
        <v>#N/A</v>
      </c>
    </row>
    <row r="270" spans="1:5" x14ac:dyDescent="0.2">
      <c r="A270" s="1">
        <v>44805</v>
      </c>
      <c r="B270">
        <f>25.56</f>
        <v>25.56</v>
      </c>
      <c r="C270">
        <f>29.1451</f>
        <v>29.145099999999999</v>
      </c>
      <c r="D270">
        <f>22.11</f>
        <v>22.11</v>
      </c>
      <c r="E270" t="e">
        <f>NA()</f>
        <v>#N/A</v>
      </c>
    </row>
    <row r="271" spans="1:5" x14ac:dyDescent="0.2">
      <c r="A271" s="1">
        <v>44804</v>
      </c>
      <c r="B271">
        <f>25.87</f>
        <v>25.87</v>
      </c>
      <c r="C271">
        <f>27.9451</f>
        <v>27.9451</v>
      </c>
      <c r="D271">
        <f>20.47</f>
        <v>20.47</v>
      </c>
      <c r="E271">
        <f>25.46</f>
        <v>25.46</v>
      </c>
    </row>
    <row r="272" spans="1:5" x14ac:dyDescent="0.2">
      <c r="A272" s="1">
        <v>44803</v>
      </c>
      <c r="B272">
        <f>26.21</f>
        <v>26.21</v>
      </c>
      <c r="C272">
        <f>28.3703</f>
        <v>28.3703</v>
      </c>
      <c r="D272">
        <f>20.29</f>
        <v>20.29</v>
      </c>
      <c r="E272" t="e">
        <f>NA()</f>
        <v>#N/A</v>
      </c>
    </row>
    <row r="273" spans="1:5" x14ac:dyDescent="0.2">
      <c r="A273" s="1">
        <v>44802</v>
      </c>
      <c r="B273">
        <f>26.21</f>
        <v>26.21</v>
      </c>
      <c r="C273">
        <f>28.4642</f>
        <v>28.464200000000002</v>
      </c>
      <c r="D273" t="e">
        <f>NA()</f>
        <v>#N/A</v>
      </c>
      <c r="E273">
        <f>25.03</f>
        <v>25.03</v>
      </c>
    </row>
    <row r="274" spans="1:5" x14ac:dyDescent="0.2">
      <c r="A274" s="1">
        <v>44799</v>
      </c>
      <c r="B274">
        <f>25.56</f>
        <v>25.56</v>
      </c>
      <c r="C274">
        <f>26.6601</f>
        <v>26.6601</v>
      </c>
      <c r="D274">
        <f>18.82</f>
        <v>18.82</v>
      </c>
      <c r="E274">
        <f>24.79</f>
        <v>24.79</v>
      </c>
    </row>
    <row r="275" spans="1:5" x14ac:dyDescent="0.2">
      <c r="A275" s="1">
        <v>44798</v>
      </c>
      <c r="B275">
        <f>21.78</f>
        <v>21.78</v>
      </c>
      <c r="C275">
        <f>24.719</f>
        <v>24.719000000000001</v>
      </c>
      <c r="D275">
        <f>17.69</f>
        <v>17.690000000000001</v>
      </c>
      <c r="E275">
        <f>25.28</f>
        <v>25.28</v>
      </c>
    </row>
    <row r="276" spans="1:5" x14ac:dyDescent="0.2">
      <c r="A276" s="1">
        <v>44797</v>
      </c>
      <c r="B276">
        <f>22.82</f>
        <v>22.82</v>
      </c>
      <c r="C276">
        <f>25.4513</f>
        <v>25.4513</v>
      </c>
      <c r="D276">
        <f>18.14</f>
        <v>18.14</v>
      </c>
      <c r="E276">
        <f>25.71</f>
        <v>25.71</v>
      </c>
    </row>
    <row r="277" spans="1:5" x14ac:dyDescent="0.2">
      <c r="A277" s="1">
        <v>44796</v>
      </c>
      <c r="B277">
        <f>24.11</f>
        <v>24.11</v>
      </c>
      <c r="C277">
        <f>26.9246</f>
        <v>26.924600000000002</v>
      </c>
      <c r="D277">
        <f>18.92</f>
        <v>18.920000000000002</v>
      </c>
      <c r="E277">
        <f>24.81</f>
        <v>24.81</v>
      </c>
    </row>
    <row r="278" spans="1:5" x14ac:dyDescent="0.2">
      <c r="A278" s="1">
        <v>44795</v>
      </c>
      <c r="B278">
        <f>23.8</f>
        <v>23.8</v>
      </c>
      <c r="C278">
        <f>27.3682</f>
        <v>27.368200000000002</v>
      </c>
      <c r="D278">
        <f>18.79</f>
        <v>18.79</v>
      </c>
      <c r="E278">
        <f>25.45</f>
        <v>25.45</v>
      </c>
    </row>
    <row r="279" spans="1:5" x14ac:dyDescent="0.2">
      <c r="A279" s="1">
        <v>44792</v>
      </c>
      <c r="B279">
        <f>20.6</f>
        <v>20.6</v>
      </c>
      <c r="C279">
        <f>24.5809</f>
        <v>24.5809</v>
      </c>
      <c r="D279">
        <f>17.16</f>
        <v>17.16</v>
      </c>
      <c r="E279">
        <f>25.11</f>
        <v>25.11</v>
      </c>
    </row>
    <row r="280" spans="1:5" x14ac:dyDescent="0.2">
      <c r="A280" s="1">
        <v>44791</v>
      </c>
      <c r="B280">
        <f>19.56</f>
        <v>19.559999999999999</v>
      </c>
      <c r="C280">
        <f>22.667</f>
        <v>22.667000000000002</v>
      </c>
      <c r="D280">
        <f>16.83</f>
        <v>16.829999999999998</v>
      </c>
      <c r="E280">
        <f>24.08</f>
        <v>24.08</v>
      </c>
    </row>
    <row r="281" spans="1:5" x14ac:dyDescent="0.2">
      <c r="A281" s="1">
        <v>44790</v>
      </c>
      <c r="B281">
        <f>19.9</f>
        <v>19.899999999999999</v>
      </c>
      <c r="C281">
        <f>22.7453</f>
        <v>22.7453</v>
      </c>
      <c r="D281">
        <f>17.39</f>
        <v>17.39</v>
      </c>
      <c r="E281">
        <f>24.77</f>
        <v>24.77</v>
      </c>
    </row>
    <row r="282" spans="1:5" x14ac:dyDescent="0.2">
      <c r="A282" s="1">
        <v>44789</v>
      </c>
      <c r="B282">
        <f>19.69</f>
        <v>19.690000000000001</v>
      </c>
      <c r="C282">
        <f>21.3365</f>
        <v>21.336500000000001</v>
      </c>
      <c r="D282">
        <f>16.41</f>
        <v>16.41</v>
      </c>
      <c r="E282">
        <f>24.15</f>
        <v>24.15</v>
      </c>
    </row>
    <row r="283" spans="1:5" x14ac:dyDescent="0.2">
      <c r="A283" s="1">
        <v>44788</v>
      </c>
      <c r="B283">
        <f>19.95</f>
        <v>19.95</v>
      </c>
      <c r="C283">
        <f>21.5858</f>
        <v>21.585799999999999</v>
      </c>
      <c r="D283">
        <f>16.63</f>
        <v>16.63</v>
      </c>
      <c r="E283">
        <f>24.75</f>
        <v>24.75</v>
      </c>
    </row>
    <row r="284" spans="1:5" x14ac:dyDescent="0.2">
      <c r="A284" s="1">
        <v>44785</v>
      </c>
      <c r="B284">
        <f>19.53</f>
        <v>19.53</v>
      </c>
      <c r="C284">
        <f>21.2132</f>
        <v>21.213200000000001</v>
      </c>
      <c r="D284">
        <f>15.73</f>
        <v>15.73</v>
      </c>
      <c r="E284">
        <f>24.78</f>
        <v>24.78</v>
      </c>
    </row>
    <row r="285" spans="1:5" x14ac:dyDescent="0.2">
      <c r="A285" s="1">
        <v>44784</v>
      </c>
      <c r="B285">
        <f>20.2</f>
        <v>20.2</v>
      </c>
      <c r="C285">
        <f>21.6517</f>
        <v>21.651700000000002</v>
      </c>
      <c r="D285">
        <f>16.46</f>
        <v>16.46</v>
      </c>
      <c r="E285">
        <f>22.46</f>
        <v>22.46</v>
      </c>
    </row>
    <row r="286" spans="1:5" x14ac:dyDescent="0.2">
      <c r="A286" s="1">
        <v>44783</v>
      </c>
      <c r="B286">
        <f>19.74</f>
        <v>19.739999999999998</v>
      </c>
      <c r="C286">
        <f>21.7894</f>
        <v>21.789400000000001</v>
      </c>
      <c r="D286">
        <f>16.97</f>
        <v>16.97</v>
      </c>
      <c r="E286">
        <f>23.71</f>
        <v>23.71</v>
      </c>
    </row>
    <row r="287" spans="1:5" x14ac:dyDescent="0.2">
      <c r="A287" s="1">
        <v>44782</v>
      </c>
      <c r="B287">
        <f>21.77</f>
        <v>21.77</v>
      </c>
      <c r="C287">
        <f>23.284</f>
        <v>23.283999999999999</v>
      </c>
      <c r="D287">
        <f>18.2</f>
        <v>18.2</v>
      </c>
      <c r="E287" t="e">
        <f>NA()</f>
        <v>#N/A</v>
      </c>
    </row>
    <row r="288" spans="1:5" x14ac:dyDescent="0.2">
      <c r="A288" s="1">
        <v>44781</v>
      </c>
      <c r="B288">
        <f>21.29</f>
        <v>21.29</v>
      </c>
      <c r="C288">
        <f>22.0847</f>
        <v>22.084700000000002</v>
      </c>
      <c r="D288">
        <f>17.5</f>
        <v>17.5</v>
      </c>
      <c r="E288">
        <f>24.02</f>
        <v>24.02</v>
      </c>
    </row>
    <row r="289" spans="1:5" x14ac:dyDescent="0.2">
      <c r="A289" s="1">
        <v>44778</v>
      </c>
      <c r="B289">
        <f>21.15</f>
        <v>21.15</v>
      </c>
      <c r="C289">
        <f>22.8536</f>
        <v>22.8536</v>
      </c>
      <c r="D289">
        <f>17.81</f>
        <v>17.809999999999999</v>
      </c>
      <c r="E289">
        <f>24.36</f>
        <v>24.36</v>
      </c>
    </row>
    <row r="290" spans="1:5" x14ac:dyDescent="0.2">
      <c r="A290" s="1">
        <v>44777</v>
      </c>
      <c r="B290">
        <f>21.44</f>
        <v>21.44</v>
      </c>
      <c r="C290">
        <f>22.4519</f>
        <v>22.451899999999998</v>
      </c>
      <c r="D290">
        <f>17.75</f>
        <v>17.75</v>
      </c>
      <c r="E290">
        <f>26.16</f>
        <v>26.16</v>
      </c>
    </row>
    <row r="291" spans="1:5" x14ac:dyDescent="0.2">
      <c r="A291" s="1">
        <v>44776</v>
      </c>
      <c r="B291">
        <f>21.95</f>
        <v>21.95</v>
      </c>
      <c r="C291">
        <f>22.3417</f>
        <v>22.341699999999999</v>
      </c>
      <c r="D291">
        <f>18.03</f>
        <v>18.03</v>
      </c>
      <c r="E291">
        <f>26.22</f>
        <v>26.22</v>
      </c>
    </row>
    <row r="292" spans="1:5" x14ac:dyDescent="0.2">
      <c r="A292" s="1">
        <v>44775</v>
      </c>
      <c r="B292">
        <f>23.93</f>
        <v>23.93</v>
      </c>
      <c r="C292">
        <f>23.7725</f>
        <v>23.772500000000001</v>
      </c>
      <c r="D292">
        <f>19.23</f>
        <v>19.23</v>
      </c>
      <c r="E292">
        <f>27.5</f>
        <v>27.5</v>
      </c>
    </row>
    <row r="293" spans="1:5" x14ac:dyDescent="0.2">
      <c r="A293" s="1">
        <v>44774</v>
      </c>
      <c r="B293">
        <f>22.84</f>
        <v>22.84</v>
      </c>
      <c r="C293">
        <f>22.9625</f>
        <v>22.962499999999999</v>
      </c>
      <c r="D293">
        <f>18.51</f>
        <v>18.510000000000002</v>
      </c>
      <c r="E293">
        <f>26.08</f>
        <v>26.08</v>
      </c>
    </row>
    <row r="294" spans="1:5" x14ac:dyDescent="0.2">
      <c r="A294" s="1">
        <v>44771</v>
      </c>
      <c r="B294">
        <f>21.33</f>
        <v>21.33</v>
      </c>
      <c r="C294">
        <f>22.3049</f>
        <v>22.3049</v>
      </c>
      <c r="D294">
        <f>17.73</f>
        <v>17.73</v>
      </c>
      <c r="E294">
        <f>25.74</f>
        <v>25.74</v>
      </c>
    </row>
    <row r="295" spans="1:5" x14ac:dyDescent="0.2">
      <c r="A295" s="1">
        <v>44770</v>
      </c>
      <c r="B295">
        <f>22.33</f>
        <v>22.33</v>
      </c>
      <c r="C295">
        <f>22.5542</f>
        <v>22.554200000000002</v>
      </c>
      <c r="D295">
        <f>18.04</f>
        <v>18.04</v>
      </c>
      <c r="E295">
        <f>26.24</f>
        <v>26.24</v>
      </c>
    </row>
    <row r="296" spans="1:5" x14ac:dyDescent="0.2">
      <c r="A296" s="1">
        <v>44769</v>
      </c>
      <c r="B296">
        <f>23.24</f>
        <v>23.24</v>
      </c>
      <c r="C296">
        <f>24.0433</f>
        <v>24.043299999999999</v>
      </c>
      <c r="D296">
        <f>18.48</f>
        <v>18.48</v>
      </c>
      <c r="E296">
        <f>26.6</f>
        <v>26.6</v>
      </c>
    </row>
    <row r="297" spans="1:5" x14ac:dyDescent="0.2">
      <c r="A297" s="1">
        <v>44768</v>
      </c>
      <c r="B297">
        <f>24.69</f>
        <v>24.69</v>
      </c>
      <c r="C297">
        <f>25.5671</f>
        <v>25.5671</v>
      </c>
      <c r="D297">
        <f>19.23</f>
        <v>19.23</v>
      </c>
      <c r="E297">
        <f>26.09</f>
        <v>26.09</v>
      </c>
    </row>
    <row r="298" spans="1:5" x14ac:dyDescent="0.2">
      <c r="A298" s="1">
        <v>44767</v>
      </c>
      <c r="B298">
        <f>23.36</f>
        <v>23.36</v>
      </c>
      <c r="C298">
        <f>24.5311</f>
        <v>24.531099999999999</v>
      </c>
      <c r="D298">
        <f>18.91</f>
        <v>18.91</v>
      </c>
      <c r="E298">
        <f>27.49</f>
        <v>27.49</v>
      </c>
    </row>
    <row r="299" spans="1:5" x14ac:dyDescent="0.2">
      <c r="A299" s="1">
        <v>44764</v>
      </c>
      <c r="B299">
        <f>23.03</f>
        <v>23.03</v>
      </c>
      <c r="C299">
        <f>24.0588</f>
        <v>24.058800000000002</v>
      </c>
      <c r="D299">
        <f>18.91</f>
        <v>18.91</v>
      </c>
      <c r="E299">
        <f>26.84</f>
        <v>26.84</v>
      </c>
    </row>
    <row r="300" spans="1:5" x14ac:dyDescent="0.2">
      <c r="A300" s="1">
        <v>44763</v>
      </c>
      <c r="B300">
        <f>23.11</f>
        <v>23.11</v>
      </c>
      <c r="C300">
        <f>25.5535</f>
        <v>25.5535</v>
      </c>
      <c r="D300">
        <f>20.05</f>
        <v>20.05</v>
      </c>
      <c r="E300">
        <f>27.76</f>
        <v>27.76</v>
      </c>
    </row>
    <row r="301" spans="1:5" x14ac:dyDescent="0.2">
      <c r="A301" s="1">
        <v>44762</v>
      </c>
      <c r="B301">
        <f>23.88</f>
        <v>23.88</v>
      </c>
      <c r="C301">
        <f>27.4017</f>
        <v>27.401700000000002</v>
      </c>
      <c r="D301">
        <f>20.85</f>
        <v>20.85</v>
      </c>
      <c r="E301">
        <f>28.6</f>
        <v>28.6</v>
      </c>
    </row>
    <row r="302" spans="1:5" x14ac:dyDescent="0.2">
      <c r="A302" s="1">
        <v>44761</v>
      </c>
      <c r="B302">
        <f>24.5</f>
        <v>24.5</v>
      </c>
      <c r="C302">
        <f>26.7194</f>
        <v>26.7194</v>
      </c>
      <c r="D302">
        <f>20.77</f>
        <v>20.77</v>
      </c>
      <c r="E302">
        <f>28.44</f>
        <v>28.44</v>
      </c>
    </row>
    <row r="303" spans="1:5" x14ac:dyDescent="0.2">
      <c r="A303" s="1">
        <v>44760</v>
      </c>
      <c r="B303">
        <f>25.3</f>
        <v>25.3</v>
      </c>
      <c r="C303">
        <f>29.0637</f>
        <v>29.063700000000001</v>
      </c>
      <c r="D303">
        <f>22.2</f>
        <v>22.2</v>
      </c>
      <c r="E303">
        <f>28.97</f>
        <v>28.97</v>
      </c>
    </row>
    <row r="304" spans="1:5" x14ac:dyDescent="0.2">
      <c r="A304" s="1">
        <v>44757</v>
      </c>
      <c r="B304">
        <f>24.23</f>
        <v>24.23</v>
      </c>
      <c r="C304">
        <f>28.8183</f>
        <v>28.818300000000001</v>
      </c>
      <c r="D304">
        <f>22.29</f>
        <v>22.29</v>
      </c>
      <c r="E304">
        <f>29.77</f>
        <v>29.77</v>
      </c>
    </row>
    <row r="305" spans="1:5" x14ac:dyDescent="0.2">
      <c r="A305" s="1">
        <v>44756</v>
      </c>
      <c r="B305">
        <f>26.4</f>
        <v>26.4</v>
      </c>
      <c r="C305">
        <f>31.8165</f>
        <v>31.816500000000001</v>
      </c>
      <c r="D305">
        <f>25.61</f>
        <v>25.61</v>
      </c>
      <c r="E305">
        <f>28.77</f>
        <v>28.77</v>
      </c>
    </row>
    <row r="306" spans="1:5" x14ac:dyDescent="0.2">
      <c r="A306" s="1">
        <v>44755</v>
      </c>
      <c r="B306">
        <f>26.82</f>
        <v>26.82</v>
      </c>
      <c r="C306">
        <f>29.8522</f>
        <v>29.8522</v>
      </c>
      <c r="D306">
        <f>24.47</f>
        <v>24.47</v>
      </c>
      <c r="E306">
        <f>28.65</f>
        <v>28.65</v>
      </c>
    </row>
    <row r="307" spans="1:5" x14ac:dyDescent="0.2">
      <c r="A307" s="1">
        <v>44754</v>
      </c>
      <c r="B307">
        <f>27.29</f>
        <v>27.29</v>
      </c>
      <c r="C307">
        <f>29.2615</f>
        <v>29.261500000000002</v>
      </c>
      <c r="D307">
        <f>24.4</f>
        <v>24.4</v>
      </c>
      <c r="E307">
        <f>27.15</f>
        <v>27.15</v>
      </c>
    </row>
    <row r="308" spans="1:5" x14ac:dyDescent="0.2">
      <c r="A308" s="1">
        <v>44753</v>
      </c>
      <c r="B308">
        <f>26.17</f>
        <v>26.17</v>
      </c>
      <c r="C308">
        <f>28.8668</f>
        <v>28.866800000000001</v>
      </c>
      <c r="D308">
        <f>24.57</f>
        <v>24.57</v>
      </c>
      <c r="E308">
        <f>27.91</f>
        <v>27.91</v>
      </c>
    </row>
    <row r="309" spans="1:5" x14ac:dyDescent="0.2">
      <c r="A309" s="1">
        <v>44750</v>
      </c>
      <c r="B309">
        <f>24.64</f>
        <v>24.64</v>
      </c>
      <c r="C309">
        <f>27.5514</f>
        <v>27.551400000000001</v>
      </c>
      <c r="D309">
        <f>23.88</f>
        <v>23.88</v>
      </c>
      <c r="E309">
        <f>27.17</f>
        <v>27.17</v>
      </c>
    </row>
    <row r="310" spans="1:5" x14ac:dyDescent="0.2">
      <c r="A310" s="1">
        <v>44749</v>
      </c>
      <c r="B310">
        <f>26.08</f>
        <v>26.08</v>
      </c>
      <c r="C310">
        <f>28.317</f>
        <v>28.317</v>
      </c>
      <c r="D310">
        <f>24.39</f>
        <v>24.39</v>
      </c>
      <c r="E310">
        <f>26.29</f>
        <v>26.29</v>
      </c>
    </row>
    <row r="311" spans="1:5" x14ac:dyDescent="0.2">
      <c r="A311" s="1">
        <v>44748</v>
      </c>
      <c r="B311">
        <f>26.73</f>
        <v>26.73</v>
      </c>
      <c r="C311">
        <f>30.108</f>
        <v>30.108000000000001</v>
      </c>
      <c r="D311">
        <f>26.05</f>
        <v>26.05</v>
      </c>
      <c r="E311">
        <f>27.22</f>
        <v>27.22</v>
      </c>
    </row>
    <row r="312" spans="1:5" x14ac:dyDescent="0.2">
      <c r="A312" s="1">
        <v>44747</v>
      </c>
      <c r="B312">
        <f>27.54</f>
        <v>27.54</v>
      </c>
      <c r="C312">
        <f>31.604</f>
        <v>31.603999999999999</v>
      </c>
      <c r="D312">
        <f>27.04</f>
        <v>27.04</v>
      </c>
      <c r="E312">
        <f>28.26</f>
        <v>28.26</v>
      </c>
    </row>
    <row r="313" spans="1:5" x14ac:dyDescent="0.2">
      <c r="A313" s="1">
        <v>44746</v>
      </c>
      <c r="B313">
        <f>27.53</f>
        <v>27.53</v>
      </c>
      <c r="C313">
        <f>28.3185</f>
        <v>28.3185</v>
      </c>
      <c r="D313">
        <f>23.77</f>
        <v>23.77</v>
      </c>
      <c r="E313">
        <f>27.17</f>
        <v>27.17</v>
      </c>
    </row>
    <row r="314" spans="1:5" x14ac:dyDescent="0.2">
      <c r="A314" s="1">
        <v>44743</v>
      </c>
      <c r="B314">
        <f>26.7</f>
        <v>26.7</v>
      </c>
      <c r="C314">
        <f>28.7616</f>
        <v>28.761600000000001</v>
      </c>
      <c r="D314">
        <f>24.14</f>
        <v>24.14</v>
      </c>
      <c r="E314">
        <f>28.42</f>
        <v>28.42</v>
      </c>
    </row>
    <row r="315" spans="1:5" x14ac:dyDescent="0.2">
      <c r="A315" s="1">
        <v>44742</v>
      </c>
      <c r="B315">
        <f>28.71</f>
        <v>28.71</v>
      </c>
      <c r="C315">
        <f>29.7804</f>
        <v>29.7804</v>
      </c>
      <c r="D315">
        <f>25.18</f>
        <v>25.18</v>
      </c>
      <c r="E315">
        <f>26.58</f>
        <v>26.58</v>
      </c>
    </row>
    <row r="316" spans="1:5" x14ac:dyDescent="0.2">
      <c r="A316" s="1">
        <v>44741</v>
      </c>
      <c r="B316">
        <f>28.16</f>
        <v>28.16</v>
      </c>
      <c r="C316">
        <f>28.1127</f>
        <v>28.1127</v>
      </c>
      <c r="D316">
        <f>22.71</f>
        <v>22.71</v>
      </c>
      <c r="E316">
        <f>27.35</f>
        <v>27.35</v>
      </c>
    </row>
    <row r="317" spans="1:5" x14ac:dyDescent="0.2">
      <c r="A317" s="1">
        <v>44740</v>
      </c>
      <c r="B317">
        <f>28.36</f>
        <v>28.36</v>
      </c>
      <c r="C317">
        <f>26.6834</f>
        <v>26.683399999999999</v>
      </c>
      <c r="D317">
        <f>21.99</f>
        <v>21.99</v>
      </c>
      <c r="E317">
        <f>27.11</f>
        <v>27.11</v>
      </c>
    </row>
    <row r="318" spans="1:5" x14ac:dyDescent="0.2">
      <c r="A318" s="1">
        <v>44739</v>
      </c>
      <c r="B318">
        <f>26.95</f>
        <v>26.95</v>
      </c>
      <c r="C318">
        <f>27.0179</f>
        <v>27.017900000000001</v>
      </c>
      <c r="D318">
        <f>22.14</f>
        <v>22.14</v>
      </c>
      <c r="E318">
        <f>26.99</f>
        <v>26.99</v>
      </c>
    </row>
    <row r="319" spans="1:5" x14ac:dyDescent="0.2">
      <c r="A319" s="1">
        <v>44736</v>
      </c>
      <c r="B319">
        <f>27.23</f>
        <v>27.23</v>
      </c>
      <c r="C319">
        <f>27.7689</f>
        <v>27.768899999999999</v>
      </c>
      <c r="D319">
        <f>22.69</f>
        <v>22.69</v>
      </c>
      <c r="E319">
        <f>27.98</f>
        <v>27.98</v>
      </c>
    </row>
    <row r="320" spans="1:5" x14ac:dyDescent="0.2">
      <c r="A320" s="1">
        <v>44735</v>
      </c>
      <c r="B320">
        <f>29.05</f>
        <v>29.05</v>
      </c>
      <c r="C320">
        <f>29.209</f>
        <v>29.209</v>
      </c>
      <c r="D320">
        <f>24.78</f>
        <v>24.78</v>
      </c>
      <c r="E320">
        <f>28.36</f>
        <v>28.36</v>
      </c>
    </row>
    <row r="321" spans="1:5" x14ac:dyDescent="0.2">
      <c r="A321" s="1">
        <v>44734</v>
      </c>
      <c r="B321">
        <f>28.95</f>
        <v>28.95</v>
      </c>
      <c r="C321">
        <f>28.6815</f>
        <v>28.6815</v>
      </c>
      <c r="D321">
        <f>24.08</f>
        <v>24.08</v>
      </c>
      <c r="E321">
        <f>28.31</f>
        <v>28.31</v>
      </c>
    </row>
    <row r="322" spans="1:5" x14ac:dyDescent="0.2">
      <c r="A322" s="1">
        <v>44733</v>
      </c>
      <c r="B322">
        <f>30.19</f>
        <v>30.19</v>
      </c>
      <c r="C322">
        <f>28.1129</f>
        <v>28.1129</v>
      </c>
      <c r="D322">
        <f>23.91</f>
        <v>23.91</v>
      </c>
      <c r="E322">
        <f>27.82</f>
        <v>27.82</v>
      </c>
    </row>
    <row r="323" spans="1:5" x14ac:dyDescent="0.2">
      <c r="A323" s="1">
        <v>44732</v>
      </c>
      <c r="B323">
        <f>31.03</f>
        <v>31.03</v>
      </c>
      <c r="C323">
        <f>28.5896</f>
        <v>28.589600000000001</v>
      </c>
      <c r="D323">
        <f>24.37</f>
        <v>24.37</v>
      </c>
      <c r="E323">
        <f>27.11</f>
        <v>27.11</v>
      </c>
    </row>
    <row r="324" spans="1:5" x14ac:dyDescent="0.2">
      <c r="A324" s="1">
        <v>44729</v>
      </c>
      <c r="B324">
        <f>31.13</f>
        <v>31.13</v>
      </c>
      <c r="C324">
        <f>30.893</f>
        <v>30.893000000000001</v>
      </c>
      <c r="D324">
        <f>27.42</f>
        <v>27.42</v>
      </c>
      <c r="E324">
        <f>26.6</f>
        <v>26.6</v>
      </c>
    </row>
    <row r="325" spans="1:5" x14ac:dyDescent="0.2">
      <c r="A325" s="1">
        <v>44728</v>
      </c>
      <c r="B325">
        <f>32.95</f>
        <v>32.950000000000003</v>
      </c>
      <c r="C325">
        <f>32.5946</f>
        <v>32.5946</v>
      </c>
      <c r="D325">
        <f>27.04</f>
        <v>27.04</v>
      </c>
      <c r="E325" t="e">
        <f>NA()</f>
        <v>#N/A</v>
      </c>
    </row>
    <row r="326" spans="1:5" x14ac:dyDescent="0.2">
      <c r="A326" s="1">
        <v>44727</v>
      </c>
      <c r="B326">
        <f>29.62</f>
        <v>29.62</v>
      </c>
      <c r="C326">
        <f>30.0721</f>
        <v>30.072099999999999</v>
      </c>
      <c r="D326">
        <f>24.86</f>
        <v>24.86</v>
      </c>
      <c r="E326">
        <f>25.56</f>
        <v>25.56</v>
      </c>
    </row>
    <row r="327" spans="1:5" x14ac:dyDescent="0.2">
      <c r="A327" s="1">
        <v>44726</v>
      </c>
      <c r="B327">
        <f>32.69</f>
        <v>32.69</v>
      </c>
      <c r="C327">
        <f>31.5667</f>
        <v>31.566700000000001</v>
      </c>
      <c r="D327">
        <f>26.24</f>
        <v>26.24</v>
      </c>
      <c r="E327">
        <f>26.52</f>
        <v>26.52</v>
      </c>
    </row>
    <row r="328" spans="1:5" x14ac:dyDescent="0.2">
      <c r="A328" s="1">
        <v>44725</v>
      </c>
      <c r="B328">
        <f>34.02</f>
        <v>34.020000000000003</v>
      </c>
      <c r="C328">
        <f>31.8085</f>
        <v>31.808499999999999</v>
      </c>
      <c r="D328">
        <f>28.12</f>
        <v>28.12</v>
      </c>
      <c r="E328">
        <f>26.15</f>
        <v>26.15</v>
      </c>
    </row>
    <row r="329" spans="1:5" x14ac:dyDescent="0.2">
      <c r="A329" s="1">
        <v>44722</v>
      </c>
      <c r="B329">
        <f>27.75</f>
        <v>27.75</v>
      </c>
      <c r="C329">
        <f>27.6629</f>
        <v>27.6629</v>
      </c>
      <c r="D329">
        <f>25.32</f>
        <v>25.32</v>
      </c>
      <c r="E329">
        <f>25.05</f>
        <v>25.05</v>
      </c>
    </row>
    <row r="330" spans="1:5" x14ac:dyDescent="0.2">
      <c r="A330" s="1">
        <v>44721</v>
      </c>
      <c r="B330">
        <f>26.09</f>
        <v>26.09</v>
      </c>
      <c r="C330">
        <f>23.9731</f>
        <v>23.973099999999999</v>
      </c>
      <c r="D330">
        <f>20.87</f>
        <v>20.87</v>
      </c>
      <c r="E330">
        <f>25.83</f>
        <v>25.83</v>
      </c>
    </row>
    <row r="331" spans="1:5" x14ac:dyDescent="0.2">
      <c r="A331" s="1">
        <v>44720</v>
      </c>
      <c r="B331">
        <f>23.96</f>
        <v>23.96</v>
      </c>
      <c r="C331">
        <f>23.1306</f>
        <v>23.130600000000001</v>
      </c>
      <c r="D331">
        <f>18.91</f>
        <v>18.91</v>
      </c>
      <c r="E331">
        <f>25.19</f>
        <v>25.19</v>
      </c>
    </row>
    <row r="332" spans="1:5" x14ac:dyDescent="0.2">
      <c r="A332" s="1">
        <v>44719</v>
      </c>
      <c r="B332">
        <f>24.02</f>
        <v>24.02</v>
      </c>
      <c r="C332">
        <f>23.5931</f>
        <v>23.5931</v>
      </c>
      <c r="D332">
        <f>19.09</f>
        <v>19.09</v>
      </c>
      <c r="E332">
        <f>24.89</f>
        <v>24.89</v>
      </c>
    </row>
    <row r="333" spans="1:5" x14ac:dyDescent="0.2">
      <c r="A333" s="1">
        <v>44718</v>
      </c>
      <c r="B333">
        <f>25.07</f>
        <v>25.07</v>
      </c>
      <c r="C333">
        <f>22.97</f>
        <v>22.97</v>
      </c>
      <c r="D333">
        <f>18.3</f>
        <v>18.3</v>
      </c>
      <c r="E333">
        <f>24.38</f>
        <v>24.38</v>
      </c>
    </row>
    <row r="334" spans="1:5" x14ac:dyDescent="0.2">
      <c r="A334" s="1">
        <v>44715</v>
      </c>
      <c r="B334">
        <f>24.79</f>
        <v>24.79</v>
      </c>
      <c r="C334">
        <f>23.3949</f>
        <v>23.3949</v>
      </c>
      <c r="D334" t="e">
        <f>NA()</f>
        <v>#N/A</v>
      </c>
      <c r="E334">
        <f>24.55</f>
        <v>24.55</v>
      </c>
    </row>
    <row r="335" spans="1:5" x14ac:dyDescent="0.2">
      <c r="A335" s="1">
        <v>44714</v>
      </c>
      <c r="B335">
        <f>24.72</f>
        <v>24.72</v>
      </c>
      <c r="C335">
        <f>23.3885</f>
        <v>23.388500000000001</v>
      </c>
      <c r="D335" t="e">
        <f>NA()</f>
        <v>#N/A</v>
      </c>
      <c r="E335">
        <f>24.49</f>
        <v>24.49</v>
      </c>
    </row>
    <row r="336" spans="1:5" x14ac:dyDescent="0.2">
      <c r="A336" s="1">
        <v>44713</v>
      </c>
      <c r="B336">
        <f>25.69</f>
        <v>25.69</v>
      </c>
      <c r="C336">
        <f>25.4388</f>
        <v>25.438800000000001</v>
      </c>
      <c r="D336">
        <f>19.61</f>
        <v>19.61</v>
      </c>
      <c r="E336">
        <f>25.24</f>
        <v>25.24</v>
      </c>
    </row>
    <row r="337" spans="1:5" x14ac:dyDescent="0.2">
      <c r="A337" s="1">
        <v>44712</v>
      </c>
      <c r="B337">
        <f>26.19</f>
        <v>26.19</v>
      </c>
      <c r="C337">
        <f>25.249</f>
        <v>25.248999999999999</v>
      </c>
      <c r="D337">
        <f>19.35</f>
        <v>19.350000000000001</v>
      </c>
      <c r="E337">
        <f>23.48</f>
        <v>23.48</v>
      </c>
    </row>
    <row r="338" spans="1:5" x14ac:dyDescent="0.2">
      <c r="A338" s="1">
        <v>44711</v>
      </c>
      <c r="B338">
        <f>26.54</f>
        <v>26.54</v>
      </c>
      <c r="C338">
        <f>23.726</f>
        <v>23.725999999999999</v>
      </c>
      <c r="D338">
        <f>18.74</f>
        <v>18.739999999999998</v>
      </c>
      <c r="E338">
        <f>25</f>
        <v>25</v>
      </c>
    </row>
    <row r="339" spans="1:5" x14ac:dyDescent="0.2">
      <c r="A339" s="1">
        <v>44708</v>
      </c>
      <c r="B339">
        <f>25.72</f>
        <v>25.72</v>
      </c>
      <c r="C339">
        <f>23.8505</f>
        <v>23.8505</v>
      </c>
      <c r="D339">
        <f>18.88</f>
        <v>18.88</v>
      </c>
      <c r="E339">
        <f>25.35</f>
        <v>25.35</v>
      </c>
    </row>
    <row r="340" spans="1:5" x14ac:dyDescent="0.2">
      <c r="A340" s="1">
        <v>44707</v>
      </c>
      <c r="B340">
        <f>27.5</f>
        <v>27.5</v>
      </c>
      <c r="C340">
        <f>25.6642</f>
        <v>25.664200000000001</v>
      </c>
      <c r="D340">
        <f>19.98</f>
        <v>19.98</v>
      </c>
      <c r="E340">
        <f>26.17</f>
        <v>26.17</v>
      </c>
    </row>
    <row r="341" spans="1:5" x14ac:dyDescent="0.2">
      <c r="A341" s="1">
        <v>44706</v>
      </c>
      <c r="B341">
        <f>28.37</f>
        <v>28.37</v>
      </c>
      <c r="C341">
        <f>27.4222</f>
        <v>27.4222</v>
      </c>
      <c r="D341">
        <f>21.04</f>
        <v>21.04</v>
      </c>
      <c r="E341">
        <f>27.26</f>
        <v>27.26</v>
      </c>
    </row>
    <row r="342" spans="1:5" x14ac:dyDescent="0.2">
      <c r="A342" s="1">
        <v>44705</v>
      </c>
      <c r="B342">
        <f>29.45</f>
        <v>29.45</v>
      </c>
      <c r="C342">
        <f>28.6123</f>
        <v>28.612300000000001</v>
      </c>
      <c r="D342">
        <f>21.9</f>
        <v>21.9</v>
      </c>
      <c r="E342">
        <f>25.76</f>
        <v>25.76</v>
      </c>
    </row>
    <row r="343" spans="1:5" x14ac:dyDescent="0.2">
      <c r="A343" s="1">
        <v>44704</v>
      </c>
      <c r="B343">
        <f>28.48</f>
        <v>28.48</v>
      </c>
      <c r="C343">
        <f>27.5784</f>
        <v>27.578399999999998</v>
      </c>
      <c r="D343">
        <f>21.69</f>
        <v>21.69</v>
      </c>
      <c r="E343">
        <f>25.19</f>
        <v>25.19</v>
      </c>
    </row>
    <row r="344" spans="1:5" x14ac:dyDescent="0.2">
      <c r="A344" s="1">
        <v>44701</v>
      </c>
      <c r="B344">
        <f>29.43</f>
        <v>29.43</v>
      </c>
      <c r="C344">
        <f>28.6575</f>
        <v>28.657499999999999</v>
      </c>
      <c r="D344">
        <f>23.11</f>
        <v>23.11</v>
      </c>
      <c r="E344">
        <f>26.19</f>
        <v>26.19</v>
      </c>
    </row>
    <row r="345" spans="1:5" x14ac:dyDescent="0.2">
      <c r="A345" s="1">
        <v>44700</v>
      </c>
      <c r="B345">
        <f>29.35</f>
        <v>29.35</v>
      </c>
      <c r="C345">
        <f>29.4669</f>
        <v>29.466899999999999</v>
      </c>
      <c r="D345">
        <f>24.22</f>
        <v>24.22</v>
      </c>
      <c r="E345">
        <f>25.97</f>
        <v>25.97</v>
      </c>
    </row>
    <row r="346" spans="1:5" x14ac:dyDescent="0.2">
      <c r="A346" s="1">
        <v>44699</v>
      </c>
      <c r="B346">
        <f>30.96</f>
        <v>30.96</v>
      </c>
      <c r="C346">
        <f>27.6329</f>
        <v>27.632899999999999</v>
      </c>
      <c r="D346">
        <f>21.46</f>
        <v>21.46</v>
      </c>
      <c r="E346">
        <f>25.03</f>
        <v>25.03</v>
      </c>
    </row>
    <row r="347" spans="1:5" x14ac:dyDescent="0.2">
      <c r="A347" s="1">
        <v>44698</v>
      </c>
      <c r="B347">
        <f>26.1</f>
        <v>26.1</v>
      </c>
      <c r="C347">
        <f>26.2385</f>
        <v>26.238499999999998</v>
      </c>
      <c r="D347">
        <f>20.46</f>
        <v>20.46</v>
      </c>
      <c r="E347">
        <f>25.76</f>
        <v>25.76</v>
      </c>
    </row>
    <row r="348" spans="1:5" x14ac:dyDescent="0.2">
      <c r="A348" s="1">
        <v>44697</v>
      </c>
      <c r="B348">
        <f>27.47</f>
        <v>27.47</v>
      </c>
      <c r="C348">
        <f>28.2178</f>
        <v>28.2178</v>
      </c>
      <c r="D348">
        <f>22.57</f>
        <v>22.57</v>
      </c>
      <c r="E348">
        <f>26.08</f>
        <v>26.08</v>
      </c>
    </row>
    <row r="349" spans="1:5" x14ac:dyDescent="0.2">
      <c r="A349" s="1">
        <v>44694</v>
      </c>
      <c r="B349">
        <f>28.87</f>
        <v>28.87</v>
      </c>
      <c r="C349">
        <f>29.1149</f>
        <v>29.114899999999999</v>
      </c>
      <c r="D349">
        <f>23.24</f>
        <v>23.24</v>
      </c>
      <c r="E349">
        <f>26.35</f>
        <v>26.35</v>
      </c>
    </row>
    <row r="350" spans="1:5" x14ac:dyDescent="0.2">
      <c r="A350" s="1">
        <v>44693</v>
      </c>
      <c r="B350">
        <f>31.77</f>
        <v>31.77</v>
      </c>
      <c r="C350">
        <f>32.3963</f>
        <v>32.396299999999997</v>
      </c>
      <c r="D350">
        <f>25.77</f>
        <v>25.77</v>
      </c>
      <c r="E350">
        <f>27.85</f>
        <v>27.85</v>
      </c>
    </row>
    <row r="351" spans="1:5" x14ac:dyDescent="0.2">
      <c r="A351" s="1">
        <v>44692</v>
      </c>
      <c r="B351">
        <f>32.56</f>
        <v>32.56</v>
      </c>
      <c r="C351">
        <f>31.1216</f>
        <v>31.121600000000001</v>
      </c>
      <c r="D351">
        <f>24.92</f>
        <v>24.92</v>
      </c>
      <c r="E351">
        <f>27.6</f>
        <v>27.6</v>
      </c>
    </row>
    <row r="352" spans="1:5" x14ac:dyDescent="0.2">
      <c r="A352" s="1">
        <v>44691</v>
      </c>
      <c r="B352">
        <f>32.99</f>
        <v>32.99</v>
      </c>
      <c r="C352">
        <f>35.0146</f>
        <v>35.014600000000002</v>
      </c>
      <c r="D352">
        <f>27.77</f>
        <v>27.77</v>
      </c>
      <c r="E352">
        <f>26.96</f>
        <v>26.96</v>
      </c>
    </row>
    <row r="353" spans="1:5" x14ac:dyDescent="0.2">
      <c r="A353" s="1">
        <v>44690</v>
      </c>
      <c r="B353">
        <f>34.75</f>
        <v>34.75</v>
      </c>
      <c r="C353">
        <f>35.9089</f>
        <v>35.908900000000003</v>
      </c>
      <c r="D353">
        <f>28.68</f>
        <v>28.68</v>
      </c>
      <c r="E353">
        <f>26.83</f>
        <v>26.83</v>
      </c>
    </row>
    <row r="354" spans="1:5" x14ac:dyDescent="0.2">
      <c r="A354" s="1">
        <v>44687</v>
      </c>
      <c r="B354">
        <f>30.19</f>
        <v>30.19</v>
      </c>
      <c r="C354">
        <f>32.8002</f>
        <v>32.800199999999997</v>
      </c>
      <c r="D354">
        <f>24.71</f>
        <v>24.71</v>
      </c>
      <c r="E354">
        <f>26.17</f>
        <v>26.17</v>
      </c>
    </row>
    <row r="355" spans="1:5" x14ac:dyDescent="0.2">
      <c r="A355" s="1">
        <v>44686</v>
      </c>
      <c r="B355">
        <f>31.2</f>
        <v>31.2</v>
      </c>
      <c r="C355">
        <f>32.7671</f>
        <v>32.767099999999999</v>
      </c>
      <c r="D355">
        <f>22.75</f>
        <v>22.75</v>
      </c>
      <c r="E355">
        <f>24.94</f>
        <v>24.94</v>
      </c>
    </row>
    <row r="356" spans="1:5" x14ac:dyDescent="0.2">
      <c r="A356" s="1">
        <v>44685</v>
      </c>
      <c r="B356">
        <f>25.42</f>
        <v>25.42</v>
      </c>
      <c r="C356">
        <f>31.2319</f>
        <v>31.2319</v>
      </c>
      <c r="D356">
        <f>21.87</f>
        <v>21.87</v>
      </c>
      <c r="E356">
        <f>24.52</f>
        <v>24.52</v>
      </c>
    </row>
    <row r="357" spans="1:5" x14ac:dyDescent="0.2">
      <c r="A357" s="1">
        <v>44684</v>
      </c>
      <c r="B357">
        <f>29.25</f>
        <v>29.25</v>
      </c>
      <c r="C357">
        <f>31.3834</f>
        <v>31.383400000000002</v>
      </c>
      <c r="D357">
        <f>21.89</f>
        <v>21.89</v>
      </c>
      <c r="E357">
        <f>23.77</f>
        <v>23.77</v>
      </c>
    </row>
    <row r="358" spans="1:5" x14ac:dyDescent="0.2">
      <c r="A358" s="1">
        <v>44683</v>
      </c>
      <c r="B358">
        <f>32.34</f>
        <v>32.340000000000003</v>
      </c>
      <c r="C358">
        <f>34.0677</f>
        <v>34.067700000000002</v>
      </c>
      <c r="D358" t="e">
        <f>NA()</f>
        <v>#N/A</v>
      </c>
      <c r="E358" t="e">
        <f>NA()</f>
        <v>#N/A</v>
      </c>
    </row>
    <row r="359" spans="1:5" x14ac:dyDescent="0.2">
      <c r="A359" s="1">
        <v>44680</v>
      </c>
      <c r="B359">
        <f>33.4</f>
        <v>33.4</v>
      </c>
      <c r="C359">
        <f>30.7732</f>
        <v>30.773199999999999</v>
      </c>
      <c r="D359">
        <f>20.92</f>
        <v>20.92</v>
      </c>
      <c r="E359">
        <f>25.1</f>
        <v>25.1</v>
      </c>
    </row>
    <row r="360" spans="1:5" x14ac:dyDescent="0.2">
      <c r="A360" s="1">
        <v>44679</v>
      </c>
      <c r="B360">
        <f>29.99</f>
        <v>29.99</v>
      </c>
      <c r="C360">
        <f>31.2799</f>
        <v>31.279900000000001</v>
      </c>
      <c r="D360">
        <f>21.46</f>
        <v>21.46</v>
      </c>
      <c r="E360">
        <f>24.58</f>
        <v>24.58</v>
      </c>
    </row>
    <row r="361" spans="1:5" x14ac:dyDescent="0.2">
      <c r="A361" s="1">
        <v>44678</v>
      </c>
      <c r="B361">
        <f>31.6</f>
        <v>31.6</v>
      </c>
      <c r="C361">
        <f>32.7446</f>
        <v>32.744599999999998</v>
      </c>
      <c r="D361">
        <f>22.56</f>
        <v>22.56</v>
      </c>
      <c r="E361" t="e">
        <f>NA()</f>
        <v>#N/A</v>
      </c>
    </row>
    <row r="362" spans="1:5" x14ac:dyDescent="0.2">
      <c r="A362" s="1">
        <v>44677</v>
      </c>
      <c r="B362">
        <f>33.52</f>
        <v>33.520000000000003</v>
      </c>
      <c r="C362">
        <f>32.7093</f>
        <v>32.709299999999999</v>
      </c>
      <c r="D362">
        <f>22.81</f>
        <v>22.81</v>
      </c>
      <c r="E362">
        <f>25.01</f>
        <v>25.01</v>
      </c>
    </row>
    <row r="363" spans="1:5" x14ac:dyDescent="0.2">
      <c r="A363" s="1">
        <v>44676</v>
      </c>
      <c r="B363">
        <f>27.02</f>
        <v>27.02</v>
      </c>
      <c r="C363">
        <f>31.4602</f>
        <v>31.4602</v>
      </c>
      <c r="D363">
        <f>21.58</f>
        <v>21.58</v>
      </c>
      <c r="E363">
        <f>23.33</f>
        <v>23.33</v>
      </c>
    </row>
    <row r="364" spans="1:5" x14ac:dyDescent="0.2">
      <c r="A364" s="1">
        <v>44673</v>
      </c>
      <c r="B364">
        <f>28.21</f>
        <v>28.21</v>
      </c>
      <c r="C364">
        <f>28.345</f>
        <v>28.344999999999999</v>
      </c>
      <c r="D364">
        <f>17.48</f>
        <v>17.48</v>
      </c>
      <c r="E364">
        <f>22.26</f>
        <v>22.26</v>
      </c>
    </row>
    <row r="365" spans="1:5" x14ac:dyDescent="0.2">
      <c r="A365" s="1">
        <v>44672</v>
      </c>
      <c r="B365">
        <f>22.68</f>
        <v>22.68</v>
      </c>
      <c r="C365">
        <f>24.5398</f>
        <v>24.5398</v>
      </c>
      <c r="D365">
        <f>15.8</f>
        <v>15.8</v>
      </c>
      <c r="E365">
        <f>21.91</f>
        <v>21.91</v>
      </c>
    </row>
    <row r="366" spans="1:5" x14ac:dyDescent="0.2">
      <c r="A366" s="1">
        <v>44671</v>
      </c>
      <c r="B366">
        <f>20.32</f>
        <v>20.32</v>
      </c>
      <c r="C366">
        <f>24.9786</f>
        <v>24.9786</v>
      </c>
      <c r="D366">
        <f>15.95</f>
        <v>15.95</v>
      </c>
      <c r="E366">
        <f>21.23</f>
        <v>21.23</v>
      </c>
    </row>
    <row r="367" spans="1:5" x14ac:dyDescent="0.2">
      <c r="A367" s="1">
        <v>44670</v>
      </c>
      <c r="B367">
        <f>21.37</f>
        <v>21.37</v>
      </c>
      <c r="C367">
        <f>27.4395</f>
        <v>27.439499999999999</v>
      </c>
      <c r="D367">
        <f>17.12</f>
        <v>17.12</v>
      </c>
      <c r="E367">
        <f>21.75</f>
        <v>21.75</v>
      </c>
    </row>
    <row r="368" spans="1:5" x14ac:dyDescent="0.2">
      <c r="A368" s="1">
        <v>44669</v>
      </c>
      <c r="B368">
        <f>22.17</f>
        <v>22.17</v>
      </c>
      <c r="C368" t="e">
        <f>NA()</f>
        <v>#N/A</v>
      </c>
      <c r="D368" t="e">
        <f>NA()</f>
        <v>#N/A</v>
      </c>
      <c r="E368" t="e">
        <f>NA()</f>
        <v>#N/A</v>
      </c>
    </row>
    <row r="369" spans="1:5" x14ac:dyDescent="0.2">
      <c r="A369" s="1">
        <v>44665</v>
      </c>
      <c r="B369">
        <f>22.7</f>
        <v>22.7</v>
      </c>
      <c r="C369">
        <f>26.7531</f>
        <v>26.7531</v>
      </c>
      <c r="D369">
        <f>15.83</f>
        <v>15.83</v>
      </c>
      <c r="E369">
        <f>22.08</f>
        <v>22.08</v>
      </c>
    </row>
    <row r="370" spans="1:5" x14ac:dyDescent="0.2">
      <c r="A370" s="1">
        <v>44664</v>
      </c>
      <c r="B370">
        <f>21.82</f>
        <v>21.82</v>
      </c>
      <c r="C370">
        <f>28.843</f>
        <v>28.843</v>
      </c>
      <c r="D370">
        <f>17.3</f>
        <v>17.3</v>
      </c>
      <c r="E370">
        <f>22.11</f>
        <v>22.11</v>
      </c>
    </row>
    <row r="371" spans="1:5" x14ac:dyDescent="0.2">
      <c r="A371" s="1">
        <v>44663</v>
      </c>
      <c r="B371">
        <f>24.26</f>
        <v>24.26</v>
      </c>
      <c r="C371">
        <f>30.0143</f>
        <v>30.014299999999999</v>
      </c>
      <c r="D371">
        <f>17.53</f>
        <v>17.53</v>
      </c>
      <c r="E371">
        <f>21.92</f>
        <v>21.92</v>
      </c>
    </row>
    <row r="372" spans="1:5" x14ac:dyDescent="0.2">
      <c r="A372" s="1">
        <v>44662</v>
      </c>
      <c r="B372">
        <f>24.37</f>
        <v>24.37</v>
      </c>
      <c r="C372">
        <f>30.2283</f>
        <v>30.228300000000001</v>
      </c>
      <c r="D372">
        <f>17.02</f>
        <v>17.02</v>
      </c>
      <c r="E372">
        <f>22.39</f>
        <v>22.39</v>
      </c>
    </row>
    <row r="373" spans="1:5" x14ac:dyDescent="0.2">
      <c r="A373" s="1">
        <v>44659</v>
      </c>
      <c r="B373">
        <f>21.16</f>
        <v>21.16</v>
      </c>
      <c r="C373">
        <f>30.7314</f>
        <v>30.731400000000001</v>
      </c>
      <c r="D373">
        <f>16.42</f>
        <v>16.420000000000002</v>
      </c>
      <c r="E373">
        <f>22.41</f>
        <v>22.41</v>
      </c>
    </row>
    <row r="374" spans="1:5" x14ac:dyDescent="0.2">
      <c r="A374" s="1">
        <v>44658</v>
      </c>
      <c r="B374">
        <f>21.55</f>
        <v>21.55</v>
      </c>
      <c r="C374">
        <f>32.5322</f>
        <v>32.532200000000003</v>
      </c>
      <c r="D374">
        <f>18.78</f>
        <v>18.78</v>
      </c>
      <c r="E374">
        <f>22.81</f>
        <v>22.81</v>
      </c>
    </row>
    <row r="375" spans="1:5" x14ac:dyDescent="0.2">
      <c r="A375" s="1">
        <v>44657</v>
      </c>
      <c r="B375">
        <f>22.1</f>
        <v>22.1</v>
      </c>
      <c r="C375">
        <f>32.238</f>
        <v>32.238</v>
      </c>
      <c r="D375">
        <f>18.35</f>
        <v>18.350000000000001</v>
      </c>
      <c r="E375" t="e">
        <f>NA()</f>
        <v>#N/A</v>
      </c>
    </row>
    <row r="376" spans="1:5" x14ac:dyDescent="0.2">
      <c r="A376" s="1">
        <v>44656</v>
      </c>
      <c r="B376">
        <f>21.03</f>
        <v>21.03</v>
      </c>
      <c r="C376">
        <f>29.1551</f>
        <v>29.155100000000001</v>
      </c>
      <c r="D376">
        <f>18.41</f>
        <v>18.41</v>
      </c>
      <c r="E376">
        <f>22.73</f>
        <v>22.73</v>
      </c>
    </row>
    <row r="377" spans="1:5" x14ac:dyDescent="0.2">
      <c r="A377" s="1">
        <v>44655</v>
      </c>
      <c r="B377">
        <f>18.57</f>
        <v>18.57</v>
      </c>
      <c r="C377">
        <f>26.725</f>
        <v>26.725000000000001</v>
      </c>
      <c r="D377">
        <f>17.43</f>
        <v>17.43</v>
      </c>
      <c r="E377">
        <f>22.41</f>
        <v>22.41</v>
      </c>
    </row>
    <row r="378" spans="1:5" x14ac:dyDescent="0.2">
      <c r="A378" s="1">
        <v>44652</v>
      </c>
      <c r="B378">
        <f>19.63</f>
        <v>19.63</v>
      </c>
      <c r="C378">
        <f>28.5011</f>
        <v>28.501100000000001</v>
      </c>
      <c r="D378">
        <f>18.41</f>
        <v>18.41</v>
      </c>
      <c r="E378">
        <f>22.55</f>
        <v>22.55</v>
      </c>
    </row>
    <row r="379" spans="1:5" x14ac:dyDescent="0.2">
      <c r="A379" s="1">
        <v>44651</v>
      </c>
      <c r="B379">
        <f>20.56</f>
        <v>20.56</v>
      </c>
      <c r="C379">
        <f>28.9898</f>
        <v>28.989799999999999</v>
      </c>
      <c r="D379">
        <f>19.09</f>
        <v>19.09</v>
      </c>
      <c r="E379">
        <f>22.55</f>
        <v>22.55</v>
      </c>
    </row>
    <row r="380" spans="1:5" x14ac:dyDescent="0.2">
      <c r="A380" s="1">
        <v>44650</v>
      </c>
      <c r="B380">
        <f>19.33</f>
        <v>19.329999999999998</v>
      </c>
      <c r="C380">
        <f>28.1001</f>
        <v>28.100100000000001</v>
      </c>
      <c r="D380">
        <f>18.5</f>
        <v>18.5</v>
      </c>
      <c r="E380">
        <f>21.71</f>
        <v>21.71</v>
      </c>
    </row>
    <row r="381" spans="1:5" x14ac:dyDescent="0.2">
      <c r="A381" s="1">
        <v>44649</v>
      </c>
      <c r="B381">
        <f>18.9</f>
        <v>18.899999999999999</v>
      </c>
      <c r="C381">
        <f>26.582</f>
        <v>26.582000000000001</v>
      </c>
      <c r="D381">
        <f>18.68</f>
        <v>18.68</v>
      </c>
      <c r="E381">
        <f>22.75</f>
        <v>22.75</v>
      </c>
    </row>
    <row r="382" spans="1:5" x14ac:dyDescent="0.2">
      <c r="A382" s="1">
        <v>44648</v>
      </c>
      <c r="B382">
        <f>19.63</f>
        <v>19.63</v>
      </c>
      <c r="C382">
        <f>30.5027</f>
        <v>30.502700000000001</v>
      </c>
      <c r="D382">
        <f>20.81</f>
        <v>20.81</v>
      </c>
      <c r="E382">
        <f>22.95</f>
        <v>22.95</v>
      </c>
    </row>
    <row r="383" spans="1:5" x14ac:dyDescent="0.2">
      <c r="A383" s="1">
        <v>44645</v>
      </c>
      <c r="B383">
        <f>20.81</f>
        <v>20.81</v>
      </c>
      <c r="C383">
        <f>32.2262</f>
        <v>32.226199999999999</v>
      </c>
      <c r="D383">
        <f>21.42</f>
        <v>21.42</v>
      </c>
      <c r="E383">
        <f>22.68</f>
        <v>22.68</v>
      </c>
    </row>
    <row r="384" spans="1:5" x14ac:dyDescent="0.2">
      <c r="A384" s="1">
        <v>44644</v>
      </c>
      <c r="B384">
        <f>21.67</f>
        <v>21.67</v>
      </c>
      <c r="C384">
        <f>31.1577</f>
        <v>31.157699999999998</v>
      </c>
      <c r="D384">
        <f>21.47</f>
        <v>21.47</v>
      </c>
      <c r="E384">
        <f>22.33</f>
        <v>22.33</v>
      </c>
    </row>
    <row r="385" spans="1:5" x14ac:dyDescent="0.2">
      <c r="A385" s="1">
        <v>44643</v>
      </c>
      <c r="B385">
        <f>23.57</f>
        <v>23.57</v>
      </c>
      <c r="C385">
        <f>30.7746</f>
        <v>30.7746</v>
      </c>
      <c r="D385">
        <f>21.81</f>
        <v>21.81</v>
      </c>
      <c r="E385">
        <f>22.15</f>
        <v>22.15</v>
      </c>
    </row>
    <row r="386" spans="1:5" x14ac:dyDescent="0.2">
      <c r="A386" s="1">
        <v>44642</v>
      </c>
      <c r="B386">
        <f>22.94</f>
        <v>22.94</v>
      </c>
      <c r="C386">
        <f>27.484</f>
        <v>27.484000000000002</v>
      </c>
      <c r="D386">
        <f>20.24</f>
        <v>20.239999999999998</v>
      </c>
      <c r="E386">
        <f>22.6</f>
        <v>22.6</v>
      </c>
    </row>
    <row r="387" spans="1:5" x14ac:dyDescent="0.2">
      <c r="A387" s="1">
        <v>44641</v>
      </c>
      <c r="B387">
        <f>23.53</f>
        <v>23.53</v>
      </c>
      <c r="C387">
        <f>28.3402</f>
        <v>28.340199999999999</v>
      </c>
      <c r="D387">
        <f>20.83</f>
        <v>20.83</v>
      </c>
      <c r="E387" t="e">
        <f>NA()</f>
        <v>#N/A</v>
      </c>
    </row>
    <row r="388" spans="1:5" x14ac:dyDescent="0.2">
      <c r="A388" s="1">
        <v>44638</v>
      </c>
      <c r="B388">
        <f>23.87</f>
        <v>23.87</v>
      </c>
      <c r="C388">
        <f>29.9048</f>
        <v>29.904800000000002</v>
      </c>
      <c r="D388">
        <f>22.71</f>
        <v>22.71</v>
      </c>
      <c r="E388">
        <f>23.98</f>
        <v>23.98</v>
      </c>
    </row>
    <row r="389" spans="1:5" x14ac:dyDescent="0.2">
      <c r="A389" s="1">
        <v>44637</v>
      </c>
      <c r="B389">
        <f>25.67</f>
        <v>25.67</v>
      </c>
      <c r="C389">
        <f>32.017</f>
        <v>32.017000000000003</v>
      </c>
      <c r="D389">
        <f>24.19</f>
        <v>24.19</v>
      </c>
      <c r="E389">
        <f>24.42</f>
        <v>24.42</v>
      </c>
    </row>
    <row r="390" spans="1:5" x14ac:dyDescent="0.2">
      <c r="A390" s="1">
        <v>44636</v>
      </c>
      <c r="B390">
        <f>26.67</f>
        <v>26.67</v>
      </c>
      <c r="C390">
        <f>36.0127</f>
        <v>36.012700000000002</v>
      </c>
      <c r="D390">
        <f>28.43</f>
        <v>28.43</v>
      </c>
      <c r="E390">
        <f>25.52</f>
        <v>25.52</v>
      </c>
    </row>
    <row r="391" spans="1:5" x14ac:dyDescent="0.2">
      <c r="A391" s="1">
        <v>44635</v>
      </c>
      <c r="B391">
        <f>29.83</f>
        <v>29.83</v>
      </c>
      <c r="C391">
        <f>41.1972</f>
        <v>41.197200000000002</v>
      </c>
      <c r="D391">
        <f>32.45</f>
        <v>32.450000000000003</v>
      </c>
      <c r="E391">
        <f>25.24</f>
        <v>25.24</v>
      </c>
    </row>
    <row r="392" spans="1:5" x14ac:dyDescent="0.2">
      <c r="A392" s="1">
        <v>44634</v>
      </c>
      <c r="B392">
        <f>31.77</f>
        <v>31.77</v>
      </c>
      <c r="C392">
        <f>40.6415</f>
        <v>40.641500000000001</v>
      </c>
      <c r="D392">
        <f>32.05</f>
        <v>32.049999999999997</v>
      </c>
      <c r="E392">
        <f>23.86</f>
        <v>23.86</v>
      </c>
    </row>
    <row r="393" spans="1:5" x14ac:dyDescent="0.2">
      <c r="A393" s="1">
        <v>44631</v>
      </c>
      <c r="B393">
        <f>30.75</f>
        <v>30.75</v>
      </c>
      <c r="C393">
        <f>41.3743</f>
        <v>41.374299999999998</v>
      </c>
      <c r="D393">
        <f>33.35</f>
        <v>33.35</v>
      </c>
      <c r="E393">
        <f>22.96</f>
        <v>22.96</v>
      </c>
    </row>
    <row r="394" spans="1:5" x14ac:dyDescent="0.2">
      <c r="A394" s="1">
        <v>44630</v>
      </c>
      <c r="B394">
        <f>30.23</f>
        <v>30.23</v>
      </c>
      <c r="C394">
        <f>43.3509</f>
        <v>43.350900000000003</v>
      </c>
      <c r="D394">
        <f>35.12</f>
        <v>35.119999999999997</v>
      </c>
      <c r="E394">
        <f>23</f>
        <v>23</v>
      </c>
    </row>
    <row r="395" spans="1:5" x14ac:dyDescent="0.2">
      <c r="A395" s="1">
        <v>44629</v>
      </c>
      <c r="B395">
        <f>32.45</f>
        <v>32.450000000000003</v>
      </c>
      <c r="C395">
        <f>41.497</f>
        <v>41.497</v>
      </c>
      <c r="D395">
        <f>34.49</f>
        <v>34.49</v>
      </c>
      <c r="E395">
        <f>23.61</f>
        <v>23.61</v>
      </c>
    </row>
    <row r="396" spans="1:5" x14ac:dyDescent="0.2">
      <c r="A396" s="1">
        <v>44628</v>
      </c>
      <c r="B396">
        <f>35.13</f>
        <v>35.130000000000003</v>
      </c>
      <c r="C396">
        <f>45.5607</f>
        <v>45.560699999999997</v>
      </c>
      <c r="D396">
        <f>38.43</f>
        <v>38.43</v>
      </c>
      <c r="E396">
        <f>26.11</f>
        <v>26.11</v>
      </c>
    </row>
    <row r="397" spans="1:5" x14ac:dyDescent="0.2">
      <c r="A397" s="1">
        <v>44627</v>
      </c>
      <c r="B397">
        <f>36.45</f>
        <v>36.450000000000003</v>
      </c>
      <c r="C397">
        <f>48.2373</f>
        <v>48.237299999999998</v>
      </c>
      <c r="D397">
        <f>40.88</f>
        <v>40.880000000000003</v>
      </c>
      <c r="E397">
        <f>26.02</f>
        <v>26.02</v>
      </c>
    </row>
    <row r="398" spans="1:5" x14ac:dyDescent="0.2">
      <c r="A398" s="1">
        <v>44624</v>
      </c>
      <c r="B398">
        <f>31.98</f>
        <v>31.98</v>
      </c>
      <c r="C398">
        <f>49.6395</f>
        <v>49.639499999999998</v>
      </c>
      <c r="D398">
        <f>39.44</f>
        <v>39.44</v>
      </c>
      <c r="E398">
        <f>22.38</f>
        <v>22.38</v>
      </c>
    </row>
    <row r="399" spans="1:5" x14ac:dyDescent="0.2">
      <c r="A399" s="1">
        <v>44623</v>
      </c>
      <c r="B399">
        <f>30.48</f>
        <v>30.48</v>
      </c>
      <c r="C399">
        <f>40.4507</f>
        <v>40.450699999999998</v>
      </c>
      <c r="D399">
        <f>32.94</f>
        <v>32.94</v>
      </c>
      <c r="E399">
        <f>19.91</f>
        <v>19.91</v>
      </c>
    </row>
    <row r="400" spans="1:5" x14ac:dyDescent="0.2">
      <c r="A400" s="1">
        <v>44622</v>
      </c>
      <c r="B400">
        <f>30.74</f>
        <v>30.74</v>
      </c>
      <c r="C400">
        <f>38.7848</f>
        <v>38.784799999999997</v>
      </c>
      <c r="D400">
        <f>30.3</f>
        <v>30.3</v>
      </c>
      <c r="E400">
        <f>19.77</f>
        <v>19.77</v>
      </c>
    </row>
    <row r="401" spans="1:5" x14ac:dyDescent="0.2">
      <c r="A401" s="1">
        <v>44621</v>
      </c>
      <c r="B401">
        <f>33.32</f>
        <v>33.32</v>
      </c>
      <c r="C401">
        <f>41.5796</f>
        <v>41.579599999999999</v>
      </c>
      <c r="D401">
        <f>33.54</f>
        <v>33.54</v>
      </c>
      <c r="E401">
        <f>18.67</f>
        <v>18.670000000000002</v>
      </c>
    </row>
    <row r="402" spans="1:5" x14ac:dyDescent="0.2">
      <c r="A402" s="1">
        <v>44620</v>
      </c>
      <c r="B402">
        <f>30.15</f>
        <v>30.15</v>
      </c>
      <c r="C402">
        <f>35.293</f>
        <v>35.292999999999999</v>
      </c>
      <c r="D402">
        <f>29.56</f>
        <v>29.56</v>
      </c>
      <c r="E402">
        <f>19.09</f>
        <v>19.09</v>
      </c>
    </row>
    <row r="403" spans="1:5" x14ac:dyDescent="0.2">
      <c r="A403" s="1">
        <v>44617</v>
      </c>
      <c r="B403">
        <f>27.59</f>
        <v>27.59</v>
      </c>
      <c r="C403">
        <f>32.1184</f>
        <v>32.118400000000001</v>
      </c>
      <c r="D403">
        <f>28.23</f>
        <v>28.23</v>
      </c>
      <c r="E403">
        <f>19.99</f>
        <v>19.989999999999998</v>
      </c>
    </row>
    <row r="404" spans="1:5" x14ac:dyDescent="0.2">
      <c r="A404" s="1">
        <v>44616</v>
      </c>
      <c r="B404">
        <f>30.32</f>
        <v>30.32</v>
      </c>
      <c r="C404">
        <f>38.1264</f>
        <v>38.126399999999997</v>
      </c>
      <c r="D404">
        <f>31.51</f>
        <v>31.51</v>
      </c>
      <c r="E404">
        <f>20.29</f>
        <v>20.29</v>
      </c>
    </row>
    <row r="405" spans="1:5" x14ac:dyDescent="0.2">
      <c r="A405" s="1">
        <v>44615</v>
      </c>
      <c r="B405">
        <f>31.02</f>
        <v>31.02</v>
      </c>
      <c r="C405">
        <f>33.4572</f>
        <v>33.4572</v>
      </c>
      <c r="D405">
        <f>25.17</f>
        <v>25.17</v>
      </c>
      <c r="E405">
        <f>19.52</f>
        <v>19.52</v>
      </c>
    </row>
    <row r="406" spans="1:5" x14ac:dyDescent="0.2">
      <c r="A406" s="1">
        <v>44614</v>
      </c>
      <c r="B406">
        <f>28.81</f>
        <v>28.81</v>
      </c>
      <c r="C406">
        <f>32.9766</f>
        <v>32.976599999999998</v>
      </c>
      <c r="D406">
        <f>24.59</f>
        <v>24.59</v>
      </c>
      <c r="E406">
        <f>17.97</f>
        <v>17.97</v>
      </c>
    </row>
    <row r="407" spans="1:5" x14ac:dyDescent="0.2">
      <c r="A407" s="1">
        <v>44613</v>
      </c>
      <c r="B407" t="e">
        <f>NA()</f>
        <v>#N/A</v>
      </c>
      <c r="C407">
        <f>36.2245</f>
        <v>36.224499999999999</v>
      </c>
      <c r="D407">
        <f>27.37</f>
        <v>27.37</v>
      </c>
      <c r="E407">
        <f>19.32</f>
        <v>19.32</v>
      </c>
    </row>
    <row r="408" spans="1:5" x14ac:dyDescent="0.2">
      <c r="A408" s="1">
        <v>44610</v>
      </c>
      <c r="B408">
        <f>27.75</f>
        <v>27.75</v>
      </c>
      <c r="C408">
        <f>31.2669</f>
        <v>31.2669</v>
      </c>
      <c r="D408">
        <f>24.5</f>
        <v>24.5</v>
      </c>
      <c r="E408">
        <f>18.23</f>
        <v>18.23</v>
      </c>
    </row>
    <row r="409" spans="1:5" x14ac:dyDescent="0.2">
      <c r="A409" s="1">
        <v>44609</v>
      </c>
      <c r="B409">
        <f>28.11</f>
        <v>28.11</v>
      </c>
      <c r="C409">
        <f>28.7931</f>
        <v>28.793099999999999</v>
      </c>
      <c r="D409">
        <f>22.84</f>
        <v>22.84</v>
      </c>
      <c r="E409">
        <f>17.78</f>
        <v>17.78</v>
      </c>
    </row>
    <row r="410" spans="1:5" x14ac:dyDescent="0.2">
      <c r="A410" s="1">
        <v>44608</v>
      </c>
      <c r="B410">
        <f>24.29</f>
        <v>24.29</v>
      </c>
      <c r="C410">
        <f>26.6138</f>
        <v>26.613800000000001</v>
      </c>
      <c r="D410">
        <f>20.33</f>
        <v>20.329999999999998</v>
      </c>
      <c r="E410">
        <f>18.08</f>
        <v>18.079999999999998</v>
      </c>
    </row>
    <row r="411" spans="1:5" x14ac:dyDescent="0.2">
      <c r="A411" s="1">
        <v>44607</v>
      </c>
      <c r="B411">
        <f>25.7</f>
        <v>25.7</v>
      </c>
      <c r="C411">
        <f>27.055</f>
        <v>27.055</v>
      </c>
      <c r="D411">
        <f>20.95</f>
        <v>20.95</v>
      </c>
      <c r="E411">
        <f>18.36</f>
        <v>18.36</v>
      </c>
    </row>
    <row r="412" spans="1:5" x14ac:dyDescent="0.2">
      <c r="A412" s="1">
        <v>44606</v>
      </c>
      <c r="B412">
        <f>28.33</f>
        <v>28.33</v>
      </c>
      <c r="C412">
        <f>30.0547</f>
        <v>30.0547</v>
      </c>
      <c r="D412">
        <f>24.18</f>
        <v>24.18</v>
      </c>
      <c r="E412">
        <f>18.36</f>
        <v>18.36</v>
      </c>
    </row>
    <row r="413" spans="1:5" x14ac:dyDescent="0.2">
      <c r="A413" s="1">
        <v>44603</v>
      </c>
      <c r="B413">
        <f>27.36</f>
        <v>27.36</v>
      </c>
      <c r="C413">
        <f>24.6637</f>
        <v>24.663699999999999</v>
      </c>
      <c r="D413">
        <f>19.28</f>
        <v>19.28</v>
      </c>
      <c r="E413">
        <f>17.6</f>
        <v>17.600000000000001</v>
      </c>
    </row>
    <row r="414" spans="1:5" x14ac:dyDescent="0.2">
      <c r="A414" s="1">
        <v>44602</v>
      </c>
      <c r="B414">
        <f>23.91</f>
        <v>23.91</v>
      </c>
      <c r="C414">
        <f>21.8414</f>
        <v>21.8414</v>
      </c>
      <c r="D414">
        <f>16.84</f>
        <v>16.84</v>
      </c>
      <c r="E414">
        <f>18.98</f>
        <v>18.98</v>
      </c>
    </row>
    <row r="415" spans="1:5" x14ac:dyDescent="0.2">
      <c r="A415" s="1">
        <v>44601</v>
      </c>
      <c r="B415">
        <f>19.96</f>
        <v>19.96</v>
      </c>
      <c r="C415">
        <f>21.4117</f>
        <v>21.4117</v>
      </c>
      <c r="D415">
        <f>16.86</f>
        <v>16.86</v>
      </c>
      <c r="E415">
        <f>18.48</f>
        <v>18.48</v>
      </c>
    </row>
    <row r="416" spans="1:5" x14ac:dyDescent="0.2">
      <c r="A416" s="1">
        <v>44600</v>
      </c>
      <c r="B416">
        <f>21.44</f>
        <v>21.44</v>
      </c>
      <c r="C416">
        <f>23.1564</f>
        <v>23.156400000000001</v>
      </c>
      <c r="D416">
        <f>18.26</f>
        <v>18.260000000000002</v>
      </c>
      <c r="E416">
        <f>18.87</f>
        <v>18.87</v>
      </c>
    </row>
    <row r="417" spans="1:5" x14ac:dyDescent="0.2">
      <c r="A417" s="1">
        <v>44599</v>
      </c>
      <c r="B417">
        <f>22.86</f>
        <v>22.86</v>
      </c>
      <c r="C417">
        <f>24.2433</f>
        <v>24.243300000000001</v>
      </c>
      <c r="D417">
        <f>18.37</f>
        <v>18.37</v>
      </c>
      <c r="E417">
        <f>19.01</f>
        <v>19.010000000000002</v>
      </c>
    </row>
    <row r="418" spans="1:5" x14ac:dyDescent="0.2">
      <c r="A418" s="1">
        <v>44596</v>
      </c>
      <c r="B418">
        <f>23.22</f>
        <v>23.22</v>
      </c>
      <c r="C418">
        <f>26.3008</f>
        <v>26.300799999999999</v>
      </c>
      <c r="D418">
        <f>20.25</f>
        <v>20.25</v>
      </c>
      <c r="E418">
        <f>19.34</f>
        <v>19.34</v>
      </c>
    </row>
    <row r="419" spans="1:5" x14ac:dyDescent="0.2">
      <c r="A419" s="1">
        <v>44595</v>
      </c>
      <c r="B419">
        <f>24.35</f>
        <v>24.35</v>
      </c>
      <c r="C419">
        <f>24.3287</f>
        <v>24.328700000000001</v>
      </c>
      <c r="D419">
        <f>19.14</f>
        <v>19.14</v>
      </c>
      <c r="E419">
        <f>19.61</f>
        <v>19.61</v>
      </c>
    </row>
    <row r="420" spans="1:5" x14ac:dyDescent="0.2">
      <c r="A420" s="1">
        <v>44594</v>
      </c>
      <c r="B420">
        <f>22.09</f>
        <v>22.09</v>
      </c>
      <c r="C420">
        <f>22.6402</f>
        <v>22.6402</v>
      </c>
      <c r="D420">
        <f>17.95</f>
        <v>17.95</v>
      </c>
      <c r="E420">
        <f>20.25</f>
        <v>20.25</v>
      </c>
    </row>
    <row r="421" spans="1:5" x14ac:dyDescent="0.2">
      <c r="A421" s="1">
        <v>44593</v>
      </c>
      <c r="B421">
        <f>21.96</f>
        <v>21.96</v>
      </c>
      <c r="C421">
        <f>24.0892</f>
        <v>24.089200000000002</v>
      </c>
      <c r="D421">
        <f>19.31</f>
        <v>19.309999999999999</v>
      </c>
      <c r="E421">
        <f>20.58</f>
        <v>20.58</v>
      </c>
    </row>
    <row r="422" spans="1:5" x14ac:dyDescent="0.2">
      <c r="A422" s="1">
        <v>44592</v>
      </c>
      <c r="B422">
        <f>24.83</f>
        <v>24.83</v>
      </c>
      <c r="C422">
        <f>27.0084</f>
        <v>27.008400000000002</v>
      </c>
      <c r="D422">
        <f>21.87</f>
        <v>21.87</v>
      </c>
      <c r="E422">
        <f>21.13</f>
        <v>21.13</v>
      </c>
    </row>
    <row r="423" spans="1:5" x14ac:dyDescent="0.2">
      <c r="A423" s="1">
        <v>44589</v>
      </c>
      <c r="B423">
        <f>27.66</f>
        <v>27.66</v>
      </c>
      <c r="C423">
        <f>29.4111</f>
        <v>29.411100000000001</v>
      </c>
      <c r="D423">
        <f>23.31</f>
        <v>23.31</v>
      </c>
      <c r="E423">
        <f>21.35</f>
        <v>21.35</v>
      </c>
    </row>
    <row r="424" spans="1:5" x14ac:dyDescent="0.2">
      <c r="A424" s="1">
        <v>44588</v>
      </c>
      <c r="B424">
        <f>30.49</f>
        <v>30.49</v>
      </c>
      <c r="C424">
        <f>28.028</f>
        <v>28.027999999999999</v>
      </c>
      <c r="D424">
        <f>22.1</f>
        <v>22.1</v>
      </c>
      <c r="E424" t="e">
        <f>NA()</f>
        <v>#N/A</v>
      </c>
    </row>
    <row r="425" spans="1:5" x14ac:dyDescent="0.2">
      <c r="A425" s="1">
        <v>44587</v>
      </c>
      <c r="B425">
        <f>31.96</f>
        <v>31.96</v>
      </c>
      <c r="C425">
        <f>28.3362</f>
        <v>28.336200000000002</v>
      </c>
      <c r="D425">
        <f>22.57</f>
        <v>22.57</v>
      </c>
      <c r="E425" t="e">
        <f>NA()</f>
        <v>#N/A</v>
      </c>
    </row>
    <row r="426" spans="1:5" x14ac:dyDescent="0.2">
      <c r="A426" s="1">
        <v>44586</v>
      </c>
      <c r="B426">
        <f>31.16</f>
        <v>31.16</v>
      </c>
      <c r="C426">
        <f>31.453</f>
        <v>31.452999999999999</v>
      </c>
      <c r="D426">
        <f>25.43</f>
        <v>25.43</v>
      </c>
      <c r="E426" t="e">
        <f>NA()</f>
        <v>#N/A</v>
      </c>
    </row>
    <row r="427" spans="1:5" x14ac:dyDescent="0.2">
      <c r="A427" s="1">
        <v>44585</v>
      </c>
      <c r="B427">
        <f>29.9</f>
        <v>29.9</v>
      </c>
      <c r="C427">
        <f>32.6811</f>
        <v>32.681100000000001</v>
      </c>
      <c r="D427">
        <f>26.58</f>
        <v>26.58</v>
      </c>
      <c r="E427" t="e">
        <f>NA()</f>
        <v>#N/A</v>
      </c>
    </row>
    <row r="428" spans="1:5" x14ac:dyDescent="0.2">
      <c r="A428" s="1">
        <v>44582</v>
      </c>
      <c r="B428">
        <f>28.85</f>
        <v>28.85</v>
      </c>
      <c r="C428">
        <f>24.2217</f>
        <v>24.221699999999998</v>
      </c>
      <c r="D428">
        <f>18.65</f>
        <v>18.649999999999999</v>
      </c>
      <c r="E428" t="e">
        <f>NA()</f>
        <v>#N/A</v>
      </c>
    </row>
    <row r="429" spans="1:5" x14ac:dyDescent="0.2">
      <c r="A429" s="1">
        <v>44581</v>
      </c>
      <c r="B429">
        <f>25.59</f>
        <v>25.59</v>
      </c>
      <c r="C429">
        <f>20.4033</f>
        <v>20.403300000000002</v>
      </c>
      <c r="D429">
        <f>15.62</f>
        <v>15.62</v>
      </c>
      <c r="E429" t="e">
        <f>NA()</f>
        <v>#N/A</v>
      </c>
    </row>
    <row r="430" spans="1:5" x14ac:dyDescent="0.2">
      <c r="A430" s="1">
        <v>44580</v>
      </c>
      <c r="B430">
        <f>23.85</f>
        <v>23.85</v>
      </c>
      <c r="C430">
        <f>22.3578</f>
        <v>22.357800000000001</v>
      </c>
      <c r="D430">
        <f>16.36</f>
        <v>16.36</v>
      </c>
      <c r="E430" t="e">
        <f>NA()</f>
        <v>#N/A</v>
      </c>
    </row>
    <row r="431" spans="1:5" x14ac:dyDescent="0.2">
      <c r="A431" s="1">
        <v>44579</v>
      </c>
      <c r="B431">
        <f>22.79</f>
        <v>22.79</v>
      </c>
      <c r="C431">
        <f>21.9614</f>
        <v>21.961400000000001</v>
      </c>
      <c r="D431">
        <f>16.19</f>
        <v>16.190000000000001</v>
      </c>
      <c r="E431" t="e">
        <f>NA()</f>
        <v>#N/A</v>
      </c>
    </row>
    <row r="432" spans="1:5" x14ac:dyDescent="0.2">
      <c r="A432" s="1">
        <v>44578</v>
      </c>
      <c r="B432" t="e">
        <f>NA()</f>
        <v>#N/A</v>
      </c>
      <c r="C432">
        <f>20.0374</f>
        <v>20.037400000000002</v>
      </c>
      <c r="D432">
        <f>14.44</f>
        <v>14.44</v>
      </c>
      <c r="E432" t="e">
        <f>NA()</f>
        <v>#N/A</v>
      </c>
    </row>
    <row r="433" spans="1:5" x14ac:dyDescent="0.2">
      <c r="A433" s="1">
        <v>44575</v>
      </c>
      <c r="B433">
        <f>19.19</f>
        <v>19.190000000000001</v>
      </c>
      <c r="C433">
        <f>21.3963</f>
        <v>21.3963</v>
      </c>
      <c r="D433">
        <f>14.97</f>
        <v>14.97</v>
      </c>
      <c r="E433" t="e">
        <f>NA()</f>
        <v>#N/A</v>
      </c>
    </row>
    <row r="434" spans="1:5" x14ac:dyDescent="0.2">
      <c r="A434" s="1">
        <v>44574</v>
      </c>
      <c r="B434">
        <f>20.31</f>
        <v>20.309999999999999</v>
      </c>
      <c r="C434">
        <f>18.4609</f>
        <v>18.460899999999999</v>
      </c>
      <c r="D434">
        <f>13.36</f>
        <v>13.36</v>
      </c>
      <c r="E434" t="e">
        <f>NA()</f>
        <v>#N/A</v>
      </c>
    </row>
    <row r="435" spans="1:5" x14ac:dyDescent="0.2">
      <c r="A435" s="1">
        <v>44573</v>
      </c>
      <c r="B435">
        <f>17.62</f>
        <v>17.62</v>
      </c>
      <c r="C435">
        <f>18.3029</f>
        <v>18.302900000000001</v>
      </c>
      <c r="D435">
        <f>14.36</f>
        <v>14.36</v>
      </c>
      <c r="E435">
        <f>16.81</f>
        <v>16.809999999999999</v>
      </c>
    </row>
    <row r="436" spans="1:5" x14ac:dyDescent="0.2">
      <c r="A436" s="1">
        <v>44572</v>
      </c>
      <c r="B436">
        <f>18.41</f>
        <v>18.41</v>
      </c>
      <c r="C436">
        <f>19.7861</f>
        <v>19.786100000000001</v>
      </c>
      <c r="D436">
        <f>14.94</f>
        <v>14.94</v>
      </c>
      <c r="E436">
        <f>19.57</f>
        <v>19.57</v>
      </c>
    </row>
    <row r="437" spans="1:5" x14ac:dyDescent="0.2">
      <c r="A437" s="1">
        <v>44571</v>
      </c>
      <c r="B437">
        <f>19.4</f>
        <v>19.399999999999999</v>
      </c>
      <c r="C437">
        <f>22.543</f>
        <v>22.542999999999999</v>
      </c>
      <c r="D437">
        <f>16.75</f>
        <v>16.75</v>
      </c>
      <c r="E437">
        <f>20</f>
        <v>20</v>
      </c>
    </row>
    <row r="438" spans="1:5" x14ac:dyDescent="0.2">
      <c r="A438" s="1">
        <v>44568</v>
      </c>
      <c r="B438">
        <f>18.76</f>
        <v>18.760000000000002</v>
      </c>
      <c r="C438">
        <f>20.6232</f>
        <v>20.623200000000001</v>
      </c>
      <c r="D438">
        <f>15.82</f>
        <v>15.82</v>
      </c>
      <c r="E438">
        <f>19.57</f>
        <v>19.57</v>
      </c>
    </row>
    <row r="439" spans="1:5" x14ac:dyDescent="0.2">
      <c r="A439" s="1">
        <v>44567</v>
      </c>
      <c r="B439">
        <f>19.61</f>
        <v>19.61</v>
      </c>
      <c r="C439">
        <f>20.0961</f>
        <v>20.0961</v>
      </c>
      <c r="D439">
        <f>15.71</f>
        <v>15.71</v>
      </c>
      <c r="E439">
        <f>19.31</f>
        <v>19.309999999999999</v>
      </c>
    </row>
    <row r="440" spans="1:5" x14ac:dyDescent="0.2">
      <c r="A440" s="1">
        <v>44566</v>
      </c>
      <c r="B440">
        <f>19.73</f>
        <v>19.73</v>
      </c>
      <c r="C440">
        <f>17.7553</f>
        <v>17.755299999999998</v>
      </c>
      <c r="D440">
        <f>14.1</f>
        <v>14.1</v>
      </c>
      <c r="E440">
        <f>18.99</f>
        <v>18.989999999999998</v>
      </c>
    </row>
    <row r="441" spans="1:5" x14ac:dyDescent="0.2">
      <c r="A441" s="1">
        <v>44565</v>
      </c>
      <c r="B441">
        <f>16.91</f>
        <v>16.91</v>
      </c>
      <c r="C441">
        <f>18.6397</f>
        <v>18.639700000000001</v>
      </c>
      <c r="D441">
        <f>14.3</f>
        <v>14.3</v>
      </c>
      <c r="E441">
        <f>18.29</f>
        <v>18.29</v>
      </c>
    </row>
    <row r="442" spans="1:5" x14ac:dyDescent="0.2">
      <c r="A442" s="1">
        <v>44564</v>
      </c>
      <c r="B442">
        <f>16.6</f>
        <v>16.600000000000001</v>
      </c>
      <c r="C442">
        <f>19.1696</f>
        <v>19.169599999999999</v>
      </c>
      <c r="D442" t="e">
        <f>NA()</f>
        <v>#N/A</v>
      </c>
      <c r="E442">
        <f>19.22</f>
        <v>19.22</v>
      </c>
    </row>
    <row r="443" spans="1:5" x14ac:dyDescent="0.2">
      <c r="A443" s="1">
        <v>44561</v>
      </c>
      <c r="B443">
        <f>17.22</f>
        <v>17.22</v>
      </c>
      <c r="C443" t="e">
        <f>NA()</f>
        <v>#N/A</v>
      </c>
      <c r="D443">
        <f>15.14</f>
        <v>15.14</v>
      </c>
      <c r="E443">
        <f>19.4</f>
        <v>19.399999999999999</v>
      </c>
    </row>
    <row r="444" spans="1:5" x14ac:dyDescent="0.2">
      <c r="A444" s="1">
        <v>44560</v>
      </c>
      <c r="B444">
        <f>17.33</f>
        <v>17.329999999999998</v>
      </c>
      <c r="C444">
        <f>19.2677</f>
        <v>19.267700000000001</v>
      </c>
      <c r="D444">
        <f>14.64</f>
        <v>14.64</v>
      </c>
      <c r="E444">
        <f>18.38</f>
        <v>18.38</v>
      </c>
    </row>
    <row r="445" spans="1:5" x14ac:dyDescent="0.2">
      <c r="A445" s="1">
        <v>44559</v>
      </c>
      <c r="B445">
        <f>16.95</f>
        <v>16.95</v>
      </c>
      <c r="C445">
        <f>20.1834</f>
        <v>20.183399999999999</v>
      </c>
      <c r="D445">
        <f>14.62</f>
        <v>14.62</v>
      </c>
      <c r="E445">
        <f>20.82</f>
        <v>20.82</v>
      </c>
    </row>
    <row r="446" spans="1:5" x14ac:dyDescent="0.2">
      <c r="A446" s="1">
        <v>44558</v>
      </c>
      <c r="B446">
        <f>17.54</f>
        <v>17.54</v>
      </c>
      <c r="C446">
        <f>19.0728</f>
        <v>19.072800000000001</v>
      </c>
      <c r="D446" t="e">
        <f>NA()</f>
        <v>#N/A</v>
      </c>
      <c r="E446">
        <f>21.06</f>
        <v>21.06</v>
      </c>
    </row>
    <row r="447" spans="1:5" x14ac:dyDescent="0.2">
      <c r="A447" s="1">
        <v>44557</v>
      </c>
      <c r="B447">
        <f>17.68</f>
        <v>17.68</v>
      </c>
      <c r="C447">
        <f>19.6616</f>
        <v>19.6616</v>
      </c>
      <c r="D447" t="e">
        <f>NA()</f>
        <v>#N/A</v>
      </c>
      <c r="E447" t="e">
        <f>NA()</f>
        <v>#N/A</v>
      </c>
    </row>
    <row r="448" spans="1:5" x14ac:dyDescent="0.2">
      <c r="A448" s="1">
        <v>44554</v>
      </c>
      <c r="B448" t="e">
        <f>NA()</f>
        <v>#N/A</v>
      </c>
      <c r="C448" t="e">
        <f>NA()</f>
        <v>#N/A</v>
      </c>
      <c r="D448">
        <f>14.17</f>
        <v>14.17</v>
      </c>
      <c r="E448">
        <f>22.72</f>
        <v>22.72</v>
      </c>
    </row>
    <row r="449" spans="1:5" x14ac:dyDescent="0.2">
      <c r="A449" s="1">
        <v>44553</v>
      </c>
      <c r="B449">
        <f>17.96</f>
        <v>17.96</v>
      </c>
      <c r="C449">
        <f>19.0369</f>
        <v>19.036899999999999</v>
      </c>
      <c r="D449">
        <f>13.9</f>
        <v>13.9</v>
      </c>
      <c r="E449">
        <f>22.39</f>
        <v>22.39</v>
      </c>
    </row>
    <row r="450" spans="1:5" x14ac:dyDescent="0.2">
      <c r="A450" s="1">
        <v>44552</v>
      </c>
      <c r="B450">
        <f>18.63</f>
        <v>18.63</v>
      </c>
      <c r="C450">
        <f>21.0421</f>
        <v>21.042100000000001</v>
      </c>
      <c r="D450">
        <f>15.64</f>
        <v>15.64</v>
      </c>
      <c r="E450">
        <f>22.68</f>
        <v>22.68</v>
      </c>
    </row>
    <row r="451" spans="1:5" x14ac:dyDescent="0.2">
      <c r="A451" s="1">
        <v>44551</v>
      </c>
      <c r="B451">
        <f>21.01</f>
        <v>21.01</v>
      </c>
      <c r="C451">
        <f>22.8332</f>
        <v>22.833200000000001</v>
      </c>
      <c r="D451">
        <f>17.22</f>
        <v>17.22</v>
      </c>
      <c r="E451">
        <f>21.51</f>
        <v>21.51</v>
      </c>
    </row>
    <row r="452" spans="1:5" x14ac:dyDescent="0.2">
      <c r="A452" s="1">
        <v>44550</v>
      </c>
      <c r="B452">
        <f>22.87</f>
        <v>22.87</v>
      </c>
      <c r="C452">
        <f>26.835</f>
        <v>26.835000000000001</v>
      </c>
      <c r="D452">
        <f>19.99</f>
        <v>19.989999999999998</v>
      </c>
      <c r="E452">
        <f>24.21</f>
        <v>24.21</v>
      </c>
    </row>
    <row r="453" spans="1:5" x14ac:dyDescent="0.2">
      <c r="A453" s="1">
        <v>44547</v>
      </c>
      <c r="B453">
        <f>21.57</f>
        <v>21.57</v>
      </c>
      <c r="C453">
        <f>21.9842</f>
        <v>21.984200000000001</v>
      </c>
      <c r="D453">
        <f>17.14</f>
        <v>17.14</v>
      </c>
      <c r="E453">
        <f>19.01</f>
        <v>19.010000000000002</v>
      </c>
    </row>
    <row r="454" spans="1:5" x14ac:dyDescent="0.2">
      <c r="A454" s="1">
        <v>44546</v>
      </c>
      <c r="B454">
        <f>20.57</f>
        <v>20.57</v>
      </c>
      <c r="C454">
        <f>20.6116</f>
        <v>20.611599999999999</v>
      </c>
      <c r="D454">
        <f>15.6</f>
        <v>15.6</v>
      </c>
      <c r="E454" t="e">
        <f>NA()</f>
        <v>#N/A</v>
      </c>
    </row>
    <row r="455" spans="1:5" x14ac:dyDescent="0.2">
      <c r="A455" s="1">
        <v>44545</v>
      </c>
      <c r="B455">
        <f>19.29</f>
        <v>19.29</v>
      </c>
      <c r="C455">
        <f>24.7416</f>
        <v>24.741599999999998</v>
      </c>
      <c r="D455">
        <f>18.93</f>
        <v>18.93</v>
      </c>
      <c r="E455">
        <f>18.86</f>
        <v>18.86</v>
      </c>
    </row>
    <row r="456" spans="1:5" x14ac:dyDescent="0.2">
      <c r="A456" s="1">
        <v>44544</v>
      </c>
      <c r="B456">
        <f>21.89</f>
        <v>21.89</v>
      </c>
      <c r="C456">
        <f>24.418</f>
        <v>24.417999999999999</v>
      </c>
      <c r="D456">
        <f>18.64</f>
        <v>18.64</v>
      </c>
      <c r="E456">
        <f>18.1</f>
        <v>18.100000000000001</v>
      </c>
    </row>
    <row r="457" spans="1:5" x14ac:dyDescent="0.2">
      <c r="A457" s="1">
        <v>44543</v>
      </c>
      <c r="B457">
        <f>20.31</f>
        <v>20.309999999999999</v>
      </c>
      <c r="C457">
        <f>23.0184</f>
        <v>23.0184</v>
      </c>
      <c r="D457">
        <f>17.57</f>
        <v>17.57</v>
      </c>
      <c r="E457">
        <f>19.64</f>
        <v>19.64</v>
      </c>
    </row>
    <row r="458" spans="1:5" x14ac:dyDescent="0.2">
      <c r="A458" s="1">
        <v>44540</v>
      </c>
      <c r="B458">
        <f>18.69</f>
        <v>18.690000000000001</v>
      </c>
      <c r="C458">
        <f>22.4272</f>
        <v>22.427199999999999</v>
      </c>
      <c r="D458">
        <f>16.46</f>
        <v>16.46</v>
      </c>
      <c r="E458">
        <f>19.97</f>
        <v>19.97</v>
      </c>
    </row>
    <row r="459" spans="1:5" x14ac:dyDescent="0.2">
      <c r="A459" s="1">
        <v>44539</v>
      </c>
      <c r="B459">
        <f>21.58</f>
        <v>21.58</v>
      </c>
      <c r="C459">
        <f>23.516</f>
        <v>23.515999999999998</v>
      </c>
      <c r="D459">
        <f>17.1</f>
        <v>17.100000000000001</v>
      </c>
      <c r="E459">
        <f>18.86</f>
        <v>18.86</v>
      </c>
    </row>
    <row r="460" spans="1:5" x14ac:dyDescent="0.2">
      <c r="A460" s="1">
        <v>44538</v>
      </c>
      <c r="B460">
        <f>19.9</f>
        <v>19.899999999999999</v>
      </c>
      <c r="C460">
        <f>24.708</f>
        <v>24.707999999999998</v>
      </c>
      <c r="D460">
        <f>19.71</f>
        <v>19.71</v>
      </c>
      <c r="E460">
        <f>18.65</f>
        <v>18.649999999999999</v>
      </c>
    </row>
    <row r="461" spans="1:5" x14ac:dyDescent="0.2">
      <c r="A461" s="1">
        <v>44537</v>
      </c>
      <c r="B461">
        <f>21.89</f>
        <v>21.89</v>
      </c>
      <c r="C461">
        <f>24.873</f>
        <v>24.873000000000001</v>
      </c>
      <c r="D461">
        <f>19.92</f>
        <v>19.920000000000002</v>
      </c>
      <c r="E461">
        <f>18.22</f>
        <v>18.22</v>
      </c>
    </row>
    <row r="462" spans="1:5" x14ac:dyDescent="0.2">
      <c r="A462" s="1">
        <v>44536</v>
      </c>
      <c r="B462">
        <f>27.18</f>
        <v>27.18</v>
      </c>
      <c r="C462">
        <f>30.041</f>
        <v>30.041</v>
      </c>
      <c r="D462">
        <f>23.2</f>
        <v>23.2</v>
      </c>
      <c r="E462">
        <f>18.96</f>
        <v>18.96</v>
      </c>
    </row>
    <row r="463" spans="1:5" x14ac:dyDescent="0.2">
      <c r="A463" s="1">
        <v>44533</v>
      </c>
      <c r="B463">
        <f>30.67</f>
        <v>30.67</v>
      </c>
      <c r="C463">
        <f>31.4794</f>
        <v>31.479399999999998</v>
      </c>
      <c r="D463">
        <f>25.29</f>
        <v>25.29</v>
      </c>
      <c r="E463">
        <f>18.75</f>
        <v>18.75</v>
      </c>
    </row>
    <row r="464" spans="1:5" x14ac:dyDescent="0.2">
      <c r="A464" s="1">
        <v>44532</v>
      </c>
      <c r="B464">
        <f>27.95</f>
        <v>27.95</v>
      </c>
      <c r="C464">
        <f>30.469</f>
        <v>30.469000000000001</v>
      </c>
      <c r="D464">
        <f>23.81</f>
        <v>23.81</v>
      </c>
      <c r="E464">
        <f>18.91</f>
        <v>18.91</v>
      </c>
    </row>
    <row r="465" spans="1:5" x14ac:dyDescent="0.2">
      <c r="A465" s="1">
        <v>44531</v>
      </c>
      <c r="B465">
        <f>31.12</f>
        <v>31.12</v>
      </c>
      <c r="C465">
        <f>26.0164</f>
        <v>26.016400000000001</v>
      </c>
      <c r="D465">
        <f>21.68</f>
        <v>21.68</v>
      </c>
      <c r="E465">
        <f>19.16</f>
        <v>19.16</v>
      </c>
    </row>
    <row r="466" spans="1:5" x14ac:dyDescent="0.2">
      <c r="A466" s="1">
        <v>44530</v>
      </c>
      <c r="B466">
        <f>27.19</f>
        <v>27.19</v>
      </c>
      <c r="C466">
        <f>30.0679</f>
        <v>30.067900000000002</v>
      </c>
      <c r="D466">
        <f>24.48</f>
        <v>24.48</v>
      </c>
      <c r="E466">
        <f>19.24</f>
        <v>19.239999999999998</v>
      </c>
    </row>
    <row r="467" spans="1:5" x14ac:dyDescent="0.2">
      <c r="A467" s="1">
        <v>44529</v>
      </c>
      <c r="B467">
        <f>22.96</f>
        <v>22.96</v>
      </c>
      <c r="C467">
        <f>28.8033</f>
        <v>28.8033</v>
      </c>
      <c r="D467">
        <f>23.2</f>
        <v>23.2</v>
      </c>
      <c r="E467">
        <f>18.36</f>
        <v>18.36</v>
      </c>
    </row>
    <row r="468" spans="1:5" x14ac:dyDescent="0.2">
      <c r="A468" s="1">
        <v>44526</v>
      </c>
      <c r="B468">
        <f>28.62</f>
        <v>28.62</v>
      </c>
      <c r="C468">
        <f>32.3129</f>
        <v>32.312899999999999</v>
      </c>
      <c r="D468">
        <f>25.27</f>
        <v>25.27</v>
      </c>
      <c r="E468">
        <f>19</f>
        <v>19</v>
      </c>
    </row>
    <row r="469" spans="1:5" x14ac:dyDescent="0.2">
      <c r="A469" s="1">
        <v>44525</v>
      </c>
      <c r="B469" t="e">
        <f>NA()</f>
        <v>#N/A</v>
      </c>
      <c r="C469">
        <f>19.8777</f>
        <v>19.877700000000001</v>
      </c>
      <c r="D469">
        <f>16.33</f>
        <v>16.329999999999998</v>
      </c>
      <c r="E469">
        <f>18.23</f>
        <v>18.23</v>
      </c>
    </row>
    <row r="470" spans="1:5" x14ac:dyDescent="0.2">
      <c r="A470" s="1">
        <v>44524</v>
      </c>
      <c r="B470">
        <f>18.58</f>
        <v>18.579999999999998</v>
      </c>
      <c r="C470">
        <f>20.666</f>
        <v>20.666</v>
      </c>
      <c r="D470">
        <f>17.02</f>
        <v>17.02</v>
      </c>
      <c r="E470">
        <f>17.93</f>
        <v>17.93</v>
      </c>
    </row>
    <row r="471" spans="1:5" x14ac:dyDescent="0.2">
      <c r="A471" s="1">
        <v>44523</v>
      </c>
      <c r="B471">
        <f>19.38</f>
        <v>19.38</v>
      </c>
      <c r="C471">
        <f>20.6416</f>
        <v>20.6416</v>
      </c>
      <c r="D471">
        <f>17.2</f>
        <v>17.2</v>
      </c>
      <c r="E471">
        <f>17.41</f>
        <v>17.41</v>
      </c>
    </row>
    <row r="472" spans="1:5" x14ac:dyDescent="0.2">
      <c r="A472" s="1">
        <v>44522</v>
      </c>
      <c r="B472">
        <f>19.17</f>
        <v>19.170000000000002</v>
      </c>
      <c r="C472">
        <f>18.8846</f>
        <v>18.884599999999999</v>
      </c>
      <c r="D472">
        <f>16.36</f>
        <v>16.36</v>
      </c>
      <c r="E472">
        <f>18.45</f>
        <v>18.45</v>
      </c>
    </row>
    <row r="473" spans="1:5" x14ac:dyDescent="0.2">
      <c r="A473" s="1">
        <v>44519</v>
      </c>
      <c r="B473">
        <f>17.91</f>
        <v>17.91</v>
      </c>
      <c r="C473">
        <f>19.1166</f>
        <v>19.116599999999998</v>
      </c>
      <c r="D473">
        <f>16.93</f>
        <v>16.93</v>
      </c>
      <c r="E473">
        <f>18.6</f>
        <v>18.600000000000001</v>
      </c>
    </row>
    <row r="474" spans="1:5" x14ac:dyDescent="0.2">
      <c r="A474" s="1">
        <v>44518</v>
      </c>
      <c r="B474">
        <f>17.59</f>
        <v>17.59</v>
      </c>
      <c r="C474">
        <f>17.7692</f>
        <v>17.769200000000001</v>
      </c>
      <c r="D474">
        <f>16.25</f>
        <v>16.25</v>
      </c>
      <c r="E474">
        <f>17.32</f>
        <v>17.32</v>
      </c>
    </row>
    <row r="475" spans="1:5" x14ac:dyDescent="0.2">
      <c r="A475" s="1">
        <v>44517</v>
      </c>
      <c r="B475">
        <f>17.11</f>
        <v>17.11</v>
      </c>
      <c r="C475">
        <f>16.6822</f>
        <v>16.682200000000002</v>
      </c>
      <c r="D475">
        <f>15.18</f>
        <v>15.18</v>
      </c>
      <c r="E475">
        <f>18.17</f>
        <v>18.170000000000002</v>
      </c>
    </row>
    <row r="476" spans="1:5" x14ac:dyDescent="0.2">
      <c r="A476" s="1">
        <v>44516</v>
      </c>
      <c r="B476">
        <f>16.37</f>
        <v>16.37</v>
      </c>
      <c r="C476">
        <f>16.7973</f>
        <v>16.7973</v>
      </c>
      <c r="D476">
        <f>14.72</f>
        <v>14.72</v>
      </c>
      <c r="E476">
        <f>17.7</f>
        <v>17.7</v>
      </c>
    </row>
    <row r="477" spans="1:5" x14ac:dyDescent="0.2">
      <c r="A477" s="1">
        <v>44515</v>
      </c>
      <c r="B477">
        <f>16.49</f>
        <v>16.489999999999998</v>
      </c>
      <c r="C477">
        <f>16.6495</f>
        <v>16.6495</v>
      </c>
      <c r="D477">
        <f>14.7</f>
        <v>14.7</v>
      </c>
      <c r="E477">
        <f>18</f>
        <v>18</v>
      </c>
    </row>
    <row r="478" spans="1:5" x14ac:dyDescent="0.2">
      <c r="A478" s="1">
        <v>44512</v>
      </c>
      <c r="B478">
        <f>16.29</f>
        <v>16.29</v>
      </c>
      <c r="C478">
        <f>16.1449</f>
        <v>16.1449</v>
      </c>
      <c r="D478">
        <f>13.92</f>
        <v>13.92</v>
      </c>
      <c r="E478">
        <f>18.31</f>
        <v>18.309999999999999</v>
      </c>
    </row>
    <row r="479" spans="1:5" x14ac:dyDescent="0.2">
      <c r="A479" s="1">
        <v>44511</v>
      </c>
      <c r="B479">
        <f>17.66</f>
        <v>17.66</v>
      </c>
      <c r="C479">
        <f>17.0902</f>
        <v>17.090199999999999</v>
      </c>
      <c r="D479">
        <f>13.88</f>
        <v>13.88</v>
      </c>
      <c r="E479">
        <f>18.67</f>
        <v>18.670000000000002</v>
      </c>
    </row>
    <row r="480" spans="1:5" x14ac:dyDescent="0.2">
      <c r="A480" s="1">
        <v>44510</v>
      </c>
      <c r="B480">
        <f>18.73</f>
        <v>18.73</v>
      </c>
      <c r="C480">
        <f>17.1761</f>
        <v>17.176100000000002</v>
      </c>
      <c r="D480">
        <f>14.76</f>
        <v>14.76</v>
      </c>
      <c r="E480">
        <f>19.67</f>
        <v>19.670000000000002</v>
      </c>
    </row>
    <row r="481" spans="1:5" x14ac:dyDescent="0.2">
      <c r="A481" s="1">
        <v>44509</v>
      </c>
      <c r="B481">
        <f>17.78</f>
        <v>17.78</v>
      </c>
      <c r="C481">
        <f>18.062</f>
        <v>18.062000000000001</v>
      </c>
      <c r="D481">
        <f>15.46</f>
        <v>15.46</v>
      </c>
      <c r="E481">
        <f>19.58</f>
        <v>19.579999999999998</v>
      </c>
    </row>
    <row r="482" spans="1:5" x14ac:dyDescent="0.2">
      <c r="A482" s="1">
        <v>44508</v>
      </c>
      <c r="B482">
        <f>17.22</f>
        <v>17.22</v>
      </c>
      <c r="C482">
        <f>17.1981</f>
        <v>17.1981</v>
      </c>
      <c r="D482">
        <f>14.61</f>
        <v>14.61</v>
      </c>
      <c r="E482">
        <f>19.74</f>
        <v>19.739999999999998</v>
      </c>
    </row>
    <row r="483" spans="1:5" x14ac:dyDescent="0.2">
      <c r="A483" s="1">
        <v>44505</v>
      </c>
      <c r="B483">
        <f>16.48</f>
        <v>16.48</v>
      </c>
      <c r="C483">
        <f>16.4029</f>
        <v>16.402899999999999</v>
      </c>
      <c r="D483">
        <f>14</f>
        <v>14</v>
      </c>
      <c r="E483">
        <f>19.64</f>
        <v>19.64</v>
      </c>
    </row>
    <row r="484" spans="1:5" x14ac:dyDescent="0.2">
      <c r="A484" s="1">
        <v>44504</v>
      </c>
      <c r="B484">
        <f>15.44</f>
        <v>15.44</v>
      </c>
      <c r="C484">
        <f>15.9723</f>
        <v>15.972300000000001</v>
      </c>
      <c r="D484">
        <f>13.71</f>
        <v>13.71</v>
      </c>
      <c r="E484">
        <f>19.24</f>
        <v>19.239999999999998</v>
      </c>
    </row>
    <row r="485" spans="1:5" x14ac:dyDescent="0.2">
      <c r="A485" s="1">
        <v>44503</v>
      </c>
      <c r="B485">
        <f>15.1</f>
        <v>15.1</v>
      </c>
      <c r="C485">
        <f>16.4717</f>
        <v>16.471699999999998</v>
      </c>
      <c r="D485">
        <f>14.18</f>
        <v>14.18</v>
      </c>
      <c r="E485">
        <f>19.12</f>
        <v>19.12</v>
      </c>
    </row>
    <row r="486" spans="1:5" x14ac:dyDescent="0.2">
      <c r="A486" s="1">
        <v>44502</v>
      </c>
      <c r="B486">
        <f>16.03</f>
        <v>16.03</v>
      </c>
      <c r="C486">
        <f>16.8576</f>
        <v>16.857600000000001</v>
      </c>
      <c r="D486">
        <f>14.11</f>
        <v>14.11</v>
      </c>
      <c r="E486">
        <f>19.62</f>
        <v>19.62</v>
      </c>
    </row>
    <row r="487" spans="1:5" x14ac:dyDescent="0.2">
      <c r="A487" s="1">
        <v>44501</v>
      </c>
      <c r="B487">
        <f>16.41</f>
        <v>16.41</v>
      </c>
      <c r="C487">
        <f>17.4961</f>
        <v>17.496099999999998</v>
      </c>
      <c r="D487">
        <f>14.37</f>
        <v>14.37</v>
      </c>
      <c r="E487" t="e">
        <f>NA()</f>
        <v>#N/A</v>
      </c>
    </row>
    <row r="488" spans="1:5" x14ac:dyDescent="0.2">
      <c r="A488" s="1">
        <v>44498</v>
      </c>
      <c r="B488">
        <f>16.26</f>
        <v>16.260000000000002</v>
      </c>
      <c r="C488">
        <f>17.6164</f>
        <v>17.616399999999999</v>
      </c>
      <c r="D488">
        <f>14.58</f>
        <v>14.58</v>
      </c>
      <c r="E488">
        <f>19.23</f>
        <v>19.23</v>
      </c>
    </row>
    <row r="489" spans="1:5" x14ac:dyDescent="0.2">
      <c r="A489" s="1">
        <v>44497</v>
      </c>
      <c r="B489">
        <f>16.53</f>
        <v>16.53</v>
      </c>
      <c r="C489">
        <f>17.6094</f>
        <v>17.609400000000001</v>
      </c>
      <c r="D489">
        <f>14.67</f>
        <v>14.67</v>
      </c>
      <c r="E489">
        <f>19.33</f>
        <v>19.329999999999998</v>
      </c>
    </row>
    <row r="490" spans="1:5" x14ac:dyDescent="0.2">
      <c r="A490" s="1">
        <v>44496</v>
      </c>
      <c r="B490">
        <f>16.98</f>
        <v>16.98</v>
      </c>
      <c r="C490">
        <f>16.9191</f>
        <v>16.9191</v>
      </c>
      <c r="D490">
        <f>14.09</f>
        <v>14.09</v>
      </c>
      <c r="E490">
        <f>19.69</f>
        <v>19.690000000000001</v>
      </c>
    </row>
    <row r="491" spans="1:5" x14ac:dyDescent="0.2">
      <c r="A491" s="1">
        <v>44495</v>
      </c>
      <c r="B491">
        <f>15.98</f>
        <v>15.98</v>
      </c>
      <c r="C491">
        <f>16.1505</f>
        <v>16.150500000000001</v>
      </c>
      <c r="D491">
        <f>13.22</f>
        <v>13.22</v>
      </c>
      <c r="E491">
        <f>19.37</f>
        <v>19.37</v>
      </c>
    </row>
    <row r="492" spans="1:5" x14ac:dyDescent="0.2">
      <c r="A492" s="1">
        <v>44494</v>
      </c>
      <c r="B492">
        <f>15.24</f>
        <v>15.24</v>
      </c>
      <c r="C492">
        <f>16.2815</f>
        <v>16.281500000000001</v>
      </c>
      <c r="D492">
        <f>13.43</f>
        <v>13.43</v>
      </c>
      <c r="E492">
        <f>19.84</f>
        <v>19.84</v>
      </c>
    </row>
    <row r="493" spans="1:5" x14ac:dyDescent="0.2">
      <c r="A493" s="1">
        <v>44491</v>
      </c>
      <c r="B493">
        <f>15.43</f>
        <v>15.43</v>
      </c>
      <c r="C493">
        <f>16.4007</f>
        <v>16.400700000000001</v>
      </c>
      <c r="D493">
        <f>13.32</f>
        <v>13.32</v>
      </c>
      <c r="E493">
        <f>19.9</f>
        <v>19.899999999999999</v>
      </c>
    </row>
    <row r="494" spans="1:5" x14ac:dyDescent="0.2">
      <c r="A494" s="1">
        <v>44490</v>
      </c>
      <c r="B494">
        <f>15.01</f>
        <v>15.01</v>
      </c>
      <c r="C494">
        <f>16.7516</f>
        <v>16.7516</v>
      </c>
      <c r="D494">
        <f>13.66</f>
        <v>13.66</v>
      </c>
      <c r="E494">
        <f>21.2</f>
        <v>21.2</v>
      </c>
    </row>
    <row r="495" spans="1:5" x14ac:dyDescent="0.2">
      <c r="A495" s="1">
        <v>44489</v>
      </c>
      <c r="B495">
        <f>15.49</f>
        <v>15.49</v>
      </c>
      <c r="C495">
        <f>15.9796</f>
        <v>15.9796</v>
      </c>
      <c r="D495">
        <f>12.94</f>
        <v>12.94</v>
      </c>
      <c r="E495">
        <f>20.8</f>
        <v>20.8</v>
      </c>
    </row>
    <row r="496" spans="1:5" x14ac:dyDescent="0.2">
      <c r="A496" s="1">
        <v>44488</v>
      </c>
      <c r="B496">
        <f>15.7</f>
        <v>15.7</v>
      </c>
      <c r="C496">
        <f>16.2901</f>
        <v>16.290099999999999</v>
      </c>
      <c r="D496">
        <f>13.01</f>
        <v>13.01</v>
      </c>
      <c r="E496">
        <f>20.88</f>
        <v>20.88</v>
      </c>
    </row>
    <row r="497" spans="1:5" x14ac:dyDescent="0.2">
      <c r="A497" s="1">
        <v>44487</v>
      </c>
      <c r="B497">
        <f>16.31</f>
        <v>16.309999999999999</v>
      </c>
      <c r="C497">
        <f>17.1324</f>
        <v>17.132400000000001</v>
      </c>
      <c r="D497">
        <f>13.98</f>
        <v>13.98</v>
      </c>
      <c r="E497">
        <f>20.46</f>
        <v>20.46</v>
      </c>
    </row>
    <row r="498" spans="1:5" x14ac:dyDescent="0.2">
      <c r="A498" s="1">
        <v>44484</v>
      </c>
      <c r="B498">
        <f>16.3</f>
        <v>16.3</v>
      </c>
      <c r="C498">
        <f>16.3486</f>
        <v>16.348600000000001</v>
      </c>
      <c r="D498">
        <f>13.01</f>
        <v>13.01</v>
      </c>
      <c r="E498">
        <f>20.38</f>
        <v>20.38</v>
      </c>
    </row>
    <row r="499" spans="1:5" x14ac:dyDescent="0.2">
      <c r="A499" s="1">
        <v>44483</v>
      </c>
      <c r="B499">
        <f>16.86</f>
        <v>16.86</v>
      </c>
      <c r="C499">
        <f>16.9918</f>
        <v>16.991800000000001</v>
      </c>
      <c r="D499">
        <f>13.45</f>
        <v>13.45</v>
      </c>
      <c r="E499">
        <f>20.04</f>
        <v>20.04</v>
      </c>
    </row>
    <row r="500" spans="1:5" x14ac:dyDescent="0.2">
      <c r="A500" s="1">
        <v>44482</v>
      </c>
      <c r="B500">
        <f>18.64</f>
        <v>18.64</v>
      </c>
      <c r="C500">
        <f>19.8415</f>
        <v>19.8415</v>
      </c>
      <c r="D500">
        <f>15.36</f>
        <v>15.36</v>
      </c>
      <c r="E500">
        <f>20.83</f>
        <v>20.83</v>
      </c>
    </row>
    <row r="501" spans="1:5" x14ac:dyDescent="0.2">
      <c r="A501" s="1">
        <v>44481</v>
      </c>
      <c r="B501">
        <f>19.85</f>
        <v>19.850000000000001</v>
      </c>
      <c r="C501">
        <f>20.7442</f>
        <v>20.744199999999999</v>
      </c>
      <c r="D501">
        <f>16.25</f>
        <v>16.25</v>
      </c>
      <c r="E501">
        <f>20.95</f>
        <v>20.95</v>
      </c>
    </row>
    <row r="502" spans="1:5" x14ac:dyDescent="0.2">
      <c r="A502" s="1">
        <v>44480</v>
      </c>
      <c r="B502">
        <f>20</f>
        <v>20</v>
      </c>
      <c r="C502">
        <f>20.1795</f>
        <v>20.179500000000001</v>
      </c>
      <c r="D502">
        <f>15.87</f>
        <v>15.87</v>
      </c>
      <c r="E502">
        <f>20.74</f>
        <v>20.74</v>
      </c>
    </row>
    <row r="503" spans="1:5" x14ac:dyDescent="0.2">
      <c r="A503" s="1">
        <v>44477</v>
      </c>
      <c r="B503">
        <f>18.77</f>
        <v>18.77</v>
      </c>
      <c r="C503">
        <f>20.2799</f>
        <v>20.279900000000001</v>
      </c>
      <c r="D503">
        <f>15.9</f>
        <v>15.9</v>
      </c>
      <c r="E503">
        <f>21.19</f>
        <v>21.19</v>
      </c>
    </row>
    <row r="504" spans="1:5" x14ac:dyDescent="0.2">
      <c r="A504" s="1">
        <v>44476</v>
      </c>
      <c r="B504">
        <f>19.54</f>
        <v>19.54</v>
      </c>
      <c r="C504">
        <f>21.0201</f>
        <v>21.020099999999999</v>
      </c>
      <c r="D504">
        <f>16.53</f>
        <v>16.53</v>
      </c>
      <c r="E504">
        <f>21.85</f>
        <v>21.85</v>
      </c>
    </row>
    <row r="505" spans="1:5" x14ac:dyDescent="0.2">
      <c r="A505" s="1">
        <v>44475</v>
      </c>
      <c r="B505">
        <f>21</f>
        <v>21</v>
      </c>
      <c r="C505">
        <f>24.3318</f>
        <v>24.331800000000001</v>
      </c>
      <c r="D505">
        <f>20.22</f>
        <v>20.22</v>
      </c>
      <c r="E505">
        <f>22.95</f>
        <v>22.95</v>
      </c>
    </row>
    <row r="506" spans="1:5" x14ac:dyDescent="0.2">
      <c r="A506" s="1">
        <v>44474</v>
      </c>
      <c r="B506">
        <f>21.3</f>
        <v>21.3</v>
      </c>
      <c r="C506">
        <f>22.2252</f>
        <v>22.225200000000001</v>
      </c>
      <c r="D506">
        <f>18.46</f>
        <v>18.46</v>
      </c>
      <c r="E506">
        <f>22.16</f>
        <v>22.16</v>
      </c>
    </row>
    <row r="507" spans="1:5" x14ac:dyDescent="0.2">
      <c r="A507" s="1">
        <v>44473</v>
      </c>
      <c r="B507">
        <f>22.96</f>
        <v>22.96</v>
      </c>
      <c r="C507">
        <f>25.1857</f>
        <v>25.185700000000001</v>
      </c>
      <c r="D507">
        <f>20.77</f>
        <v>20.77</v>
      </c>
      <c r="E507">
        <f>22.78</f>
        <v>22.78</v>
      </c>
    </row>
    <row r="508" spans="1:5" x14ac:dyDescent="0.2">
      <c r="A508" s="1">
        <v>44470</v>
      </c>
      <c r="B508">
        <f>21.15</f>
        <v>21.15</v>
      </c>
      <c r="C508">
        <f>24.0389</f>
        <v>24.038900000000002</v>
      </c>
      <c r="D508">
        <f>20.17</f>
        <v>20.170000000000002</v>
      </c>
      <c r="E508">
        <f>22.91</f>
        <v>22.91</v>
      </c>
    </row>
    <row r="509" spans="1:5" x14ac:dyDescent="0.2">
      <c r="A509" s="1">
        <v>44469</v>
      </c>
      <c r="B509">
        <f>23.14</f>
        <v>23.14</v>
      </c>
      <c r="C509">
        <f>23.2428</f>
        <v>23.242799999999999</v>
      </c>
      <c r="D509">
        <f>19.26</f>
        <v>19.260000000000002</v>
      </c>
      <c r="E509">
        <f>22.59</f>
        <v>22.59</v>
      </c>
    </row>
    <row r="510" spans="1:5" x14ac:dyDescent="0.2">
      <c r="A510" s="1">
        <v>44468</v>
      </c>
      <c r="B510">
        <f>22.56</f>
        <v>22.56</v>
      </c>
      <c r="C510">
        <f>23.9588</f>
        <v>23.9588</v>
      </c>
      <c r="D510">
        <f>19.58</f>
        <v>19.579999999999998</v>
      </c>
      <c r="E510">
        <f>22.73</f>
        <v>22.73</v>
      </c>
    </row>
    <row r="511" spans="1:5" x14ac:dyDescent="0.2">
      <c r="A511" s="1">
        <v>44467</v>
      </c>
      <c r="B511">
        <f>23.25</f>
        <v>23.25</v>
      </c>
      <c r="C511">
        <f>24.8941</f>
        <v>24.894100000000002</v>
      </c>
      <c r="D511">
        <f>20.6</f>
        <v>20.6</v>
      </c>
      <c r="E511">
        <f>22.85</f>
        <v>22.85</v>
      </c>
    </row>
    <row r="512" spans="1:5" x14ac:dyDescent="0.2">
      <c r="A512" s="1">
        <v>44466</v>
      </c>
      <c r="B512">
        <f>18.76</f>
        <v>18.760000000000002</v>
      </c>
      <c r="C512">
        <f>20.8349</f>
        <v>20.834900000000001</v>
      </c>
      <c r="D512">
        <f>18.09</f>
        <v>18.09</v>
      </c>
      <c r="E512">
        <f>22.4</f>
        <v>22.4</v>
      </c>
    </row>
    <row r="513" spans="1:5" x14ac:dyDescent="0.2">
      <c r="A513" s="1">
        <v>44463</v>
      </c>
      <c r="B513">
        <f>17.75</f>
        <v>17.75</v>
      </c>
      <c r="C513">
        <f>21.8467</f>
        <v>21.846699999999998</v>
      </c>
      <c r="D513">
        <f>19.25</f>
        <v>19.25</v>
      </c>
      <c r="E513" t="e">
        <f>NA()</f>
        <v>#N/A</v>
      </c>
    </row>
    <row r="514" spans="1:5" x14ac:dyDescent="0.2">
      <c r="A514" s="1">
        <v>44462</v>
      </c>
      <c r="B514">
        <f>18.63</f>
        <v>18.63</v>
      </c>
      <c r="C514">
        <f>20.6244</f>
        <v>20.624400000000001</v>
      </c>
      <c r="D514">
        <f>18.13</f>
        <v>18.13</v>
      </c>
      <c r="E514">
        <f>21.5</f>
        <v>21.5</v>
      </c>
    </row>
    <row r="515" spans="1:5" x14ac:dyDescent="0.2">
      <c r="A515" s="1">
        <v>44461</v>
      </c>
      <c r="B515">
        <f>20.87</f>
        <v>20.87</v>
      </c>
      <c r="C515">
        <f>22.8073</f>
        <v>22.807300000000001</v>
      </c>
      <c r="D515">
        <f>19.8</f>
        <v>19.8</v>
      </c>
      <c r="E515">
        <f>23.58</f>
        <v>23.58</v>
      </c>
    </row>
    <row r="516" spans="1:5" x14ac:dyDescent="0.2">
      <c r="A516" s="1">
        <v>44460</v>
      </c>
      <c r="B516">
        <f>24.36</f>
        <v>24.36</v>
      </c>
      <c r="C516">
        <f>25.5096</f>
        <v>25.509599999999999</v>
      </c>
      <c r="D516">
        <f>22.37</f>
        <v>22.37</v>
      </c>
      <c r="E516">
        <f>23.71</f>
        <v>23.71</v>
      </c>
    </row>
    <row r="517" spans="1:5" x14ac:dyDescent="0.2">
      <c r="A517" s="1">
        <v>44459</v>
      </c>
      <c r="B517">
        <f>25.71</f>
        <v>25.71</v>
      </c>
      <c r="C517">
        <f>26.4695</f>
        <v>26.4695</v>
      </c>
      <c r="D517">
        <f>24.09</f>
        <v>24.09</v>
      </c>
      <c r="E517">
        <f>23.21</f>
        <v>23.21</v>
      </c>
    </row>
    <row r="518" spans="1:5" x14ac:dyDescent="0.2">
      <c r="A518" s="1">
        <v>44456</v>
      </c>
      <c r="B518">
        <f>20.81</f>
        <v>20.81</v>
      </c>
      <c r="C518">
        <f>23.1662</f>
        <v>23.1662</v>
      </c>
      <c r="D518">
        <f>20.54</f>
        <v>20.54</v>
      </c>
      <c r="E518">
        <f>22.52</f>
        <v>22.52</v>
      </c>
    </row>
    <row r="519" spans="1:5" x14ac:dyDescent="0.2">
      <c r="A519" s="1">
        <v>44455</v>
      </c>
      <c r="B519">
        <f>18.69</f>
        <v>18.690000000000001</v>
      </c>
      <c r="C519">
        <f>21.6515</f>
        <v>21.651499999999999</v>
      </c>
      <c r="D519">
        <f>19.2</f>
        <v>19.2</v>
      </c>
      <c r="E519">
        <f>22.57</f>
        <v>22.57</v>
      </c>
    </row>
    <row r="520" spans="1:5" x14ac:dyDescent="0.2">
      <c r="A520" s="1">
        <v>44454</v>
      </c>
      <c r="B520">
        <f>18.18</f>
        <v>18.18</v>
      </c>
      <c r="C520">
        <f>21.6946</f>
        <v>21.694600000000001</v>
      </c>
      <c r="D520">
        <f>19.28</f>
        <v>19.28</v>
      </c>
      <c r="E520">
        <f>22.1</f>
        <v>22.1</v>
      </c>
    </row>
    <row r="521" spans="1:5" x14ac:dyDescent="0.2">
      <c r="A521" s="1">
        <v>44453</v>
      </c>
      <c r="B521">
        <f>19.46</f>
        <v>19.46</v>
      </c>
      <c r="C521">
        <f>20.4635</f>
        <v>20.4635</v>
      </c>
      <c r="D521">
        <f>18.28</f>
        <v>18.28</v>
      </c>
      <c r="E521">
        <f>21.55</f>
        <v>21.55</v>
      </c>
    </row>
    <row r="522" spans="1:5" x14ac:dyDescent="0.2">
      <c r="A522" s="1">
        <v>44452</v>
      </c>
      <c r="B522">
        <f>19.37</f>
        <v>19.37</v>
      </c>
      <c r="C522">
        <f>20.7429</f>
        <v>20.742899999999999</v>
      </c>
      <c r="D522">
        <f>18.31</f>
        <v>18.309999999999999</v>
      </c>
      <c r="E522">
        <f>21.27</f>
        <v>21.27</v>
      </c>
    </row>
    <row r="523" spans="1:5" x14ac:dyDescent="0.2">
      <c r="A523" s="1">
        <v>44449</v>
      </c>
      <c r="B523">
        <f>20.95</f>
        <v>20.95</v>
      </c>
      <c r="C523">
        <f>20.357</f>
        <v>20.356999999999999</v>
      </c>
      <c r="D523">
        <f>18.47</f>
        <v>18.47</v>
      </c>
      <c r="E523">
        <f>21</f>
        <v>21</v>
      </c>
    </row>
    <row r="524" spans="1:5" x14ac:dyDescent="0.2">
      <c r="A524" s="1">
        <v>44448</v>
      </c>
      <c r="B524">
        <f>18.8</f>
        <v>18.8</v>
      </c>
      <c r="C524">
        <f>19.6412</f>
        <v>19.641200000000001</v>
      </c>
      <c r="D524">
        <f>17.59</f>
        <v>17.59</v>
      </c>
      <c r="E524">
        <f>22.37</f>
        <v>22.37</v>
      </c>
    </row>
    <row r="525" spans="1:5" x14ac:dyDescent="0.2">
      <c r="A525" s="1">
        <v>44447</v>
      </c>
      <c r="B525">
        <f>17.96</f>
        <v>17.96</v>
      </c>
      <c r="C525">
        <f>20.4927</f>
        <v>20.492699999999999</v>
      </c>
      <c r="D525">
        <f>17.98</f>
        <v>17.98</v>
      </c>
      <c r="E525">
        <f>21.32</f>
        <v>21.32</v>
      </c>
    </row>
    <row r="526" spans="1:5" x14ac:dyDescent="0.2">
      <c r="A526" s="1">
        <v>44446</v>
      </c>
      <c r="B526">
        <f>18.14</f>
        <v>18.14</v>
      </c>
      <c r="C526">
        <f>18.6</f>
        <v>18.600000000000001</v>
      </c>
      <c r="D526">
        <f>17</f>
        <v>17</v>
      </c>
      <c r="E526">
        <f>20.72</f>
        <v>20.72</v>
      </c>
    </row>
    <row r="527" spans="1:5" x14ac:dyDescent="0.2">
      <c r="A527" s="1">
        <v>44445</v>
      </c>
      <c r="B527" t="e">
        <f>NA()</f>
        <v>#N/A</v>
      </c>
      <c r="C527">
        <f>17.5551</f>
        <v>17.555099999999999</v>
      </c>
      <c r="D527">
        <f>15.72</f>
        <v>15.72</v>
      </c>
      <c r="E527">
        <f>20.87</f>
        <v>20.87</v>
      </c>
    </row>
    <row r="528" spans="1:5" x14ac:dyDescent="0.2">
      <c r="A528" s="1">
        <v>44442</v>
      </c>
      <c r="B528">
        <f>16.41</f>
        <v>16.41</v>
      </c>
      <c r="C528">
        <f>18.1919</f>
        <v>18.1919</v>
      </c>
      <c r="D528">
        <f>16.31</f>
        <v>16.309999999999999</v>
      </c>
      <c r="E528">
        <f>20.19</f>
        <v>20.190000000000001</v>
      </c>
    </row>
    <row r="529" spans="1:5" x14ac:dyDescent="0.2">
      <c r="A529" s="1">
        <v>44441</v>
      </c>
      <c r="B529">
        <f>16.41</f>
        <v>16.41</v>
      </c>
      <c r="C529">
        <f>16.9721</f>
        <v>16.972100000000001</v>
      </c>
      <c r="D529">
        <f>15.48</f>
        <v>15.48</v>
      </c>
      <c r="E529">
        <f>21.03</f>
        <v>21.03</v>
      </c>
    </row>
    <row r="530" spans="1:5" x14ac:dyDescent="0.2">
      <c r="A530" s="1">
        <v>44440</v>
      </c>
      <c r="B530">
        <f>16.11</f>
        <v>16.11</v>
      </c>
      <c r="C530">
        <f>17.4679</f>
        <v>17.4679</v>
      </c>
      <c r="D530">
        <f>16.09</f>
        <v>16.09</v>
      </c>
      <c r="E530">
        <f>21.07</f>
        <v>21.07</v>
      </c>
    </row>
    <row r="531" spans="1:5" x14ac:dyDescent="0.2">
      <c r="A531" s="1">
        <v>44439</v>
      </c>
      <c r="B531">
        <f>16.48</f>
        <v>16.48</v>
      </c>
      <c r="C531">
        <f>18.7654</f>
        <v>18.7654</v>
      </c>
      <c r="D531">
        <f>17.02</f>
        <v>17.02</v>
      </c>
      <c r="E531">
        <f>18.76</f>
        <v>18.760000000000002</v>
      </c>
    </row>
    <row r="532" spans="1:5" x14ac:dyDescent="0.2">
      <c r="A532" s="1">
        <v>44438</v>
      </c>
      <c r="B532">
        <f>16.19</f>
        <v>16.190000000000001</v>
      </c>
      <c r="C532">
        <f>17.498</f>
        <v>17.498000000000001</v>
      </c>
      <c r="D532" t="e">
        <f>NA()</f>
        <v>#N/A</v>
      </c>
      <c r="E532">
        <f>19.24</f>
        <v>19.239999999999998</v>
      </c>
    </row>
    <row r="533" spans="1:5" x14ac:dyDescent="0.2">
      <c r="A533" s="1">
        <v>44435</v>
      </c>
      <c r="B533">
        <f>16.39</f>
        <v>16.39</v>
      </c>
      <c r="C533">
        <f>17.6003</f>
        <v>17.600300000000001</v>
      </c>
      <c r="D533">
        <f>15.59</f>
        <v>15.59</v>
      </c>
      <c r="E533">
        <f>18.71</f>
        <v>18.71</v>
      </c>
    </row>
    <row r="534" spans="1:5" x14ac:dyDescent="0.2">
      <c r="A534" s="1">
        <v>44434</v>
      </c>
      <c r="B534">
        <f>18.84</f>
        <v>18.84</v>
      </c>
      <c r="C534">
        <f>19.0944</f>
        <v>19.0944</v>
      </c>
      <c r="D534">
        <f>16.96</f>
        <v>16.96</v>
      </c>
      <c r="E534">
        <f>19.16</f>
        <v>19.16</v>
      </c>
    </row>
    <row r="535" spans="1:5" x14ac:dyDescent="0.2">
      <c r="A535" s="1">
        <v>44433</v>
      </c>
      <c r="B535">
        <f>16.79</f>
        <v>16.79</v>
      </c>
      <c r="C535">
        <f>17.8302</f>
        <v>17.830200000000001</v>
      </c>
      <c r="D535">
        <f>16.05</f>
        <v>16.05</v>
      </c>
      <c r="E535">
        <f>18.59</f>
        <v>18.59</v>
      </c>
    </row>
    <row r="536" spans="1:5" x14ac:dyDescent="0.2">
      <c r="A536" s="1">
        <v>44432</v>
      </c>
      <c r="B536">
        <f>17.22</f>
        <v>17.22</v>
      </c>
      <c r="C536">
        <f>18.0943</f>
        <v>18.0943</v>
      </c>
      <c r="D536">
        <f>16.38</f>
        <v>16.38</v>
      </c>
      <c r="E536">
        <f>19.21</f>
        <v>19.21</v>
      </c>
    </row>
    <row r="537" spans="1:5" x14ac:dyDescent="0.2">
      <c r="A537" s="1">
        <v>44431</v>
      </c>
      <c r="B537">
        <f>17.15</f>
        <v>17.149999999999999</v>
      </c>
      <c r="C537">
        <f>17.8943</f>
        <v>17.894300000000001</v>
      </c>
      <c r="D537">
        <f>16.32</f>
        <v>16.32</v>
      </c>
      <c r="E537">
        <f>19.18</f>
        <v>19.18</v>
      </c>
    </row>
    <row r="538" spans="1:5" x14ac:dyDescent="0.2">
      <c r="A538" s="1">
        <v>44428</v>
      </c>
      <c r="B538">
        <f>18.56</f>
        <v>18.559999999999999</v>
      </c>
      <c r="C538">
        <f>20.1509</f>
        <v>20.1509</v>
      </c>
      <c r="D538">
        <f>18.03</f>
        <v>18.03</v>
      </c>
      <c r="E538">
        <f>20.48</f>
        <v>20.48</v>
      </c>
    </row>
    <row r="539" spans="1:5" x14ac:dyDescent="0.2">
      <c r="A539" s="1">
        <v>44427</v>
      </c>
      <c r="B539">
        <f>21.67</f>
        <v>21.67</v>
      </c>
      <c r="C539">
        <f>22.1296</f>
        <v>22.1296</v>
      </c>
      <c r="D539">
        <f>20.36</f>
        <v>20.36</v>
      </c>
      <c r="E539">
        <f>20.61</f>
        <v>20.61</v>
      </c>
    </row>
    <row r="540" spans="1:5" x14ac:dyDescent="0.2">
      <c r="A540" s="1">
        <v>44426</v>
      </c>
      <c r="B540">
        <f>21.57</f>
        <v>21.57</v>
      </c>
      <c r="C540">
        <f>18.4705</f>
        <v>18.470500000000001</v>
      </c>
      <c r="D540">
        <f>16.24</f>
        <v>16.239999999999998</v>
      </c>
      <c r="E540">
        <f>20.27</f>
        <v>20.27</v>
      </c>
    </row>
    <row r="541" spans="1:5" x14ac:dyDescent="0.2">
      <c r="A541" s="1">
        <v>44425</v>
      </c>
      <c r="B541">
        <f>17.91</f>
        <v>17.91</v>
      </c>
      <c r="C541">
        <f>18.3901</f>
        <v>18.3901</v>
      </c>
      <c r="D541">
        <f>16.13</f>
        <v>16.13</v>
      </c>
      <c r="E541">
        <f>19.65</f>
        <v>19.649999999999999</v>
      </c>
    </row>
    <row r="542" spans="1:5" x14ac:dyDescent="0.2">
      <c r="A542" s="1">
        <v>44424</v>
      </c>
      <c r="B542">
        <f>16.12</f>
        <v>16.12</v>
      </c>
      <c r="C542">
        <f>18.0025</f>
        <v>18.002500000000001</v>
      </c>
      <c r="D542">
        <f>16.16</f>
        <v>16.16</v>
      </c>
      <c r="E542">
        <f>19.77</f>
        <v>19.77</v>
      </c>
    </row>
    <row r="543" spans="1:5" x14ac:dyDescent="0.2">
      <c r="A543" s="1">
        <v>44421</v>
      </c>
      <c r="B543">
        <f>15.45</f>
        <v>15.45</v>
      </c>
      <c r="C543">
        <f>15.8002</f>
        <v>15.8002</v>
      </c>
      <c r="D543">
        <f>13.63</f>
        <v>13.63</v>
      </c>
      <c r="E543">
        <f>17.56</f>
        <v>17.559999999999999</v>
      </c>
    </row>
    <row r="544" spans="1:5" x14ac:dyDescent="0.2">
      <c r="A544" s="1">
        <v>44420</v>
      </c>
      <c r="B544">
        <f>15.59</f>
        <v>15.59</v>
      </c>
      <c r="C544">
        <f>16.1073</f>
        <v>16.107299999999999</v>
      </c>
      <c r="D544">
        <f>13.55</f>
        <v>13.55</v>
      </c>
      <c r="E544">
        <f>17.77</f>
        <v>17.77</v>
      </c>
    </row>
    <row r="545" spans="1:5" x14ac:dyDescent="0.2">
      <c r="A545" s="1">
        <v>44419</v>
      </c>
      <c r="B545">
        <f>16.06</f>
        <v>16.059999999999999</v>
      </c>
      <c r="C545">
        <f>17.038</f>
        <v>17.038</v>
      </c>
      <c r="D545">
        <f>14.7</f>
        <v>14.7</v>
      </c>
      <c r="E545">
        <f>16.92</f>
        <v>16.920000000000002</v>
      </c>
    </row>
    <row r="546" spans="1:5" x14ac:dyDescent="0.2">
      <c r="A546" s="1">
        <v>44418</v>
      </c>
      <c r="B546">
        <f>16.79</f>
        <v>16.79</v>
      </c>
      <c r="C546">
        <f>17.2752</f>
        <v>17.275200000000002</v>
      </c>
      <c r="D546">
        <f>15.02</f>
        <v>15.02</v>
      </c>
      <c r="E546">
        <f>16.6</f>
        <v>16.600000000000001</v>
      </c>
    </row>
    <row r="547" spans="1:5" x14ac:dyDescent="0.2">
      <c r="A547" s="1">
        <v>44417</v>
      </c>
      <c r="B547">
        <f>16.72</f>
        <v>16.72</v>
      </c>
      <c r="C547">
        <f>17.5508</f>
        <v>17.550799999999999</v>
      </c>
      <c r="D547">
        <f>15.24</f>
        <v>15.24</v>
      </c>
      <c r="E547" t="e">
        <f>NA()</f>
        <v>#N/A</v>
      </c>
    </row>
    <row r="548" spans="1:5" x14ac:dyDescent="0.2">
      <c r="A548" s="1">
        <v>44414</v>
      </c>
      <c r="B548">
        <f>16.15</f>
        <v>16.149999999999999</v>
      </c>
      <c r="C548">
        <f>17.8883</f>
        <v>17.888300000000001</v>
      </c>
      <c r="D548">
        <f>15.55</f>
        <v>15.55</v>
      </c>
      <c r="E548">
        <f>19.63</f>
        <v>19.63</v>
      </c>
    </row>
    <row r="549" spans="1:5" x14ac:dyDescent="0.2">
      <c r="A549" s="1">
        <v>44413</v>
      </c>
      <c r="B549">
        <f>17.28</f>
        <v>17.28</v>
      </c>
      <c r="C549">
        <f>18.2492</f>
        <v>18.249199999999998</v>
      </c>
      <c r="D549">
        <f>16</f>
        <v>16</v>
      </c>
      <c r="E549">
        <f>19.26</f>
        <v>19.260000000000002</v>
      </c>
    </row>
    <row r="550" spans="1:5" x14ac:dyDescent="0.2">
      <c r="A550" s="1">
        <v>44412</v>
      </c>
      <c r="B550">
        <f>17.97</f>
        <v>17.97</v>
      </c>
      <c r="C550">
        <f>19.2129</f>
        <v>19.212900000000001</v>
      </c>
      <c r="D550">
        <f>16.75</f>
        <v>16.75</v>
      </c>
      <c r="E550">
        <f>19.03</f>
        <v>19.03</v>
      </c>
    </row>
    <row r="551" spans="1:5" x14ac:dyDescent="0.2">
      <c r="A551" s="1">
        <v>44411</v>
      </c>
      <c r="B551">
        <f>18.04</f>
        <v>18.04</v>
      </c>
      <c r="C551">
        <f>20.2233</f>
        <v>20.223299999999998</v>
      </c>
      <c r="D551">
        <f>17.38</f>
        <v>17.38</v>
      </c>
      <c r="E551">
        <f>18.48</f>
        <v>18.48</v>
      </c>
    </row>
    <row r="552" spans="1:5" x14ac:dyDescent="0.2">
      <c r="A552" s="1">
        <v>44410</v>
      </c>
      <c r="B552">
        <f>19.46</f>
        <v>19.46</v>
      </c>
      <c r="C552">
        <f>19.8395</f>
        <v>19.839500000000001</v>
      </c>
      <c r="D552">
        <f>17.36</f>
        <v>17.36</v>
      </c>
      <c r="E552">
        <f>18.12</f>
        <v>18.12</v>
      </c>
    </row>
    <row r="553" spans="1:5" x14ac:dyDescent="0.2">
      <c r="A553" s="1">
        <v>44407</v>
      </c>
      <c r="B553">
        <f>18.24</f>
        <v>18.239999999999998</v>
      </c>
      <c r="C553">
        <f>20.9392</f>
        <v>20.9392</v>
      </c>
      <c r="D553">
        <f>18.14</f>
        <v>18.14</v>
      </c>
      <c r="E553">
        <f>18.14</f>
        <v>18.14</v>
      </c>
    </row>
    <row r="554" spans="1:5" x14ac:dyDescent="0.2">
      <c r="A554" s="1">
        <v>44406</v>
      </c>
      <c r="B554">
        <f>17.7</f>
        <v>17.7</v>
      </c>
      <c r="C554">
        <f>19.2556</f>
        <v>19.255600000000001</v>
      </c>
      <c r="D554">
        <f>16.74</f>
        <v>16.739999999999998</v>
      </c>
      <c r="E554">
        <f>18.23</f>
        <v>18.23</v>
      </c>
    </row>
    <row r="555" spans="1:5" x14ac:dyDescent="0.2">
      <c r="A555" s="1">
        <v>44405</v>
      </c>
      <c r="B555">
        <f>18.31</f>
        <v>18.309999999999999</v>
      </c>
      <c r="C555">
        <f>19.4809</f>
        <v>19.480899999999998</v>
      </c>
      <c r="D555">
        <f>17.26</f>
        <v>17.260000000000002</v>
      </c>
      <c r="E555">
        <f>18.89</f>
        <v>18.89</v>
      </c>
    </row>
    <row r="556" spans="1:5" x14ac:dyDescent="0.2">
      <c r="A556" s="1">
        <v>44404</v>
      </c>
      <c r="B556">
        <f>19.36</f>
        <v>19.36</v>
      </c>
      <c r="C556">
        <f>21.3563</f>
        <v>21.356300000000001</v>
      </c>
      <c r="D556">
        <f>18.52</f>
        <v>18.52</v>
      </c>
      <c r="E556">
        <f>17.22</f>
        <v>17.22</v>
      </c>
    </row>
    <row r="557" spans="1:5" x14ac:dyDescent="0.2">
      <c r="A557" s="1">
        <v>44403</v>
      </c>
      <c r="B557">
        <f>17.58</f>
        <v>17.579999999999998</v>
      </c>
      <c r="C557">
        <f>18.5323</f>
        <v>18.532299999999999</v>
      </c>
      <c r="D557">
        <f>16.63</f>
        <v>16.63</v>
      </c>
      <c r="E557">
        <f>19.41</f>
        <v>19.41</v>
      </c>
    </row>
    <row r="558" spans="1:5" x14ac:dyDescent="0.2">
      <c r="A558" s="1">
        <v>44400</v>
      </c>
      <c r="B558">
        <f>17.2</f>
        <v>17.2</v>
      </c>
      <c r="C558">
        <f>17.5527</f>
        <v>17.552700000000002</v>
      </c>
      <c r="D558">
        <f>15.7</f>
        <v>15.7</v>
      </c>
      <c r="E558">
        <f>19.72</f>
        <v>19.72</v>
      </c>
    </row>
    <row r="559" spans="1:5" x14ac:dyDescent="0.2">
      <c r="A559" s="1">
        <v>44399</v>
      </c>
      <c r="B559">
        <f>17.69</f>
        <v>17.690000000000001</v>
      </c>
      <c r="C559">
        <f>19.9131</f>
        <v>19.9131</v>
      </c>
      <c r="D559">
        <f>17.24</f>
        <v>17.239999999999998</v>
      </c>
      <c r="E559">
        <f>20.53</f>
        <v>20.53</v>
      </c>
    </row>
    <row r="560" spans="1:5" x14ac:dyDescent="0.2">
      <c r="A560" s="1">
        <v>44398</v>
      </c>
      <c r="B560">
        <f>17.91</f>
        <v>17.91</v>
      </c>
      <c r="C560">
        <f>21.5241</f>
        <v>21.524100000000001</v>
      </c>
      <c r="D560">
        <f>18.49</f>
        <v>18.489999999999998</v>
      </c>
      <c r="E560">
        <f>20.62</f>
        <v>20.62</v>
      </c>
    </row>
    <row r="561" spans="1:5" x14ac:dyDescent="0.2">
      <c r="A561" s="1">
        <v>44397</v>
      </c>
      <c r="B561">
        <f>19.73</f>
        <v>19.73</v>
      </c>
      <c r="C561">
        <f>24.4923</f>
        <v>24.4923</v>
      </c>
      <c r="D561">
        <f>21.39</f>
        <v>21.39</v>
      </c>
      <c r="E561">
        <f>19.92</f>
        <v>19.920000000000002</v>
      </c>
    </row>
    <row r="562" spans="1:5" x14ac:dyDescent="0.2">
      <c r="A562" s="1">
        <v>44396</v>
      </c>
      <c r="B562">
        <f>22.5</f>
        <v>22.5</v>
      </c>
      <c r="C562">
        <f>25.4361</f>
        <v>25.4361</v>
      </c>
      <c r="D562">
        <f>22.81</f>
        <v>22.81</v>
      </c>
      <c r="E562">
        <f>21.69</f>
        <v>21.69</v>
      </c>
    </row>
    <row r="563" spans="1:5" x14ac:dyDescent="0.2">
      <c r="A563" s="1">
        <v>44393</v>
      </c>
      <c r="B563">
        <f>18.45</f>
        <v>18.45</v>
      </c>
      <c r="C563">
        <f>19.4537</f>
        <v>19.453700000000001</v>
      </c>
      <c r="D563">
        <f>17.3</f>
        <v>17.3</v>
      </c>
      <c r="E563">
        <f>19.46</f>
        <v>19.46</v>
      </c>
    </row>
    <row r="564" spans="1:5" x14ac:dyDescent="0.2">
      <c r="A564" s="1">
        <v>44392</v>
      </c>
      <c r="B564">
        <f>17.01</f>
        <v>17.010000000000002</v>
      </c>
      <c r="C564">
        <f>18.642</f>
        <v>18.641999999999999</v>
      </c>
      <c r="D564">
        <f>17.08</f>
        <v>17.079999999999998</v>
      </c>
      <c r="E564">
        <f>18.88</f>
        <v>18.88</v>
      </c>
    </row>
    <row r="565" spans="1:5" x14ac:dyDescent="0.2">
      <c r="A565" s="1">
        <v>44391</v>
      </c>
      <c r="B565">
        <f>16.33</f>
        <v>16.329999999999998</v>
      </c>
      <c r="C565">
        <f>17.6841</f>
        <v>17.684100000000001</v>
      </c>
      <c r="D565">
        <f>15.25</f>
        <v>15.25</v>
      </c>
      <c r="E565">
        <f>17.99</f>
        <v>17.989999999999998</v>
      </c>
    </row>
    <row r="566" spans="1:5" x14ac:dyDescent="0.2">
      <c r="A566" s="1">
        <v>44390</v>
      </c>
      <c r="B566">
        <f>17.12</f>
        <v>17.12</v>
      </c>
      <c r="C566">
        <f>17.9989</f>
        <v>17.998899999999999</v>
      </c>
      <c r="D566">
        <f>14.95</f>
        <v>14.95</v>
      </c>
      <c r="E566">
        <f>19.55</f>
        <v>19.55</v>
      </c>
    </row>
    <row r="567" spans="1:5" x14ac:dyDescent="0.2">
      <c r="A567" s="1">
        <v>44389</v>
      </c>
      <c r="B567">
        <f>16.17</f>
        <v>16.170000000000002</v>
      </c>
      <c r="C567">
        <f>17.9521</f>
        <v>17.952100000000002</v>
      </c>
      <c r="D567">
        <f>15.09</f>
        <v>15.09</v>
      </c>
      <c r="E567">
        <f>19.56</f>
        <v>19.559999999999999</v>
      </c>
    </row>
    <row r="568" spans="1:5" x14ac:dyDescent="0.2">
      <c r="A568" s="1">
        <v>44386</v>
      </c>
      <c r="B568">
        <f>16.18</f>
        <v>16.18</v>
      </c>
      <c r="C568">
        <f>17.9506</f>
        <v>17.950600000000001</v>
      </c>
      <c r="D568">
        <f>15.16</f>
        <v>15.16</v>
      </c>
      <c r="E568">
        <f>20.26</f>
        <v>20.260000000000002</v>
      </c>
    </row>
    <row r="569" spans="1:5" x14ac:dyDescent="0.2">
      <c r="A569" s="1">
        <v>44385</v>
      </c>
      <c r="B569">
        <f>19</f>
        <v>19</v>
      </c>
      <c r="C569">
        <f>19.9652</f>
        <v>19.965199999999999</v>
      </c>
      <c r="D569">
        <f>17.16</f>
        <v>17.16</v>
      </c>
      <c r="E569">
        <f>21.43</f>
        <v>21.43</v>
      </c>
    </row>
    <row r="570" spans="1:5" x14ac:dyDescent="0.2">
      <c r="A570" s="1">
        <v>44384</v>
      </c>
      <c r="B570">
        <f>16.2</f>
        <v>16.2</v>
      </c>
      <c r="C570">
        <f>17.3168</f>
        <v>17.316800000000001</v>
      </c>
      <c r="D570">
        <f>15.36</f>
        <v>15.36</v>
      </c>
      <c r="E570">
        <f>20.24</f>
        <v>20.239999999999998</v>
      </c>
    </row>
    <row r="571" spans="1:5" x14ac:dyDescent="0.2">
      <c r="A571" s="1">
        <v>44383</v>
      </c>
      <c r="B571">
        <f>16.44</f>
        <v>16.440000000000001</v>
      </c>
      <c r="C571">
        <f>18.1255</f>
        <v>18.125499999999999</v>
      </c>
      <c r="D571">
        <f>16.26</f>
        <v>16.260000000000002</v>
      </c>
      <c r="E571">
        <f>20.65</f>
        <v>20.65</v>
      </c>
    </row>
    <row r="572" spans="1:5" x14ac:dyDescent="0.2">
      <c r="A572" s="1">
        <v>44382</v>
      </c>
      <c r="B572" t="e">
        <f>NA()</f>
        <v>#N/A</v>
      </c>
      <c r="C572">
        <f>16.7545</f>
        <v>16.7545</v>
      </c>
      <c r="D572">
        <f>15.03</f>
        <v>15.03</v>
      </c>
      <c r="E572">
        <f>20.49</f>
        <v>20.49</v>
      </c>
    </row>
    <row r="573" spans="1:5" x14ac:dyDescent="0.2">
      <c r="A573" s="1">
        <v>44379</v>
      </c>
      <c r="B573">
        <f>15.07</f>
        <v>15.07</v>
      </c>
      <c r="C573">
        <f>16.5747</f>
        <v>16.5747</v>
      </c>
      <c r="D573">
        <f>14.92</f>
        <v>14.92</v>
      </c>
      <c r="E573">
        <f>20.21</f>
        <v>20.21</v>
      </c>
    </row>
    <row r="574" spans="1:5" x14ac:dyDescent="0.2">
      <c r="A574" s="1">
        <v>44378</v>
      </c>
      <c r="B574">
        <f>15.48</f>
        <v>15.48</v>
      </c>
      <c r="C574">
        <f>17.7267</f>
        <v>17.726700000000001</v>
      </c>
      <c r="D574">
        <f>15.84</f>
        <v>15.84</v>
      </c>
      <c r="E574">
        <f>19.79</f>
        <v>19.79</v>
      </c>
    </row>
    <row r="575" spans="1:5" x14ac:dyDescent="0.2">
      <c r="A575" s="1">
        <v>44377</v>
      </c>
      <c r="B575">
        <f>15.83</f>
        <v>15.83</v>
      </c>
      <c r="C575">
        <f>18.1849</f>
        <v>18.184899999999999</v>
      </c>
      <c r="D575">
        <f>16.59</f>
        <v>16.59</v>
      </c>
      <c r="E575">
        <f>20.08</f>
        <v>20.079999999999998</v>
      </c>
    </row>
    <row r="576" spans="1:5" x14ac:dyDescent="0.2">
      <c r="A576" s="1">
        <v>44376</v>
      </c>
      <c r="B576">
        <f>16.02</f>
        <v>16.02</v>
      </c>
      <c r="C576">
        <f>16.9495</f>
        <v>16.9495</v>
      </c>
      <c r="D576">
        <f>15.69</f>
        <v>15.69</v>
      </c>
      <c r="E576">
        <f>20.37</f>
        <v>20.37</v>
      </c>
    </row>
    <row r="577" spans="1:5" x14ac:dyDescent="0.2">
      <c r="A577" s="1">
        <v>44375</v>
      </c>
      <c r="B577">
        <f>15.76</f>
        <v>15.76</v>
      </c>
      <c r="C577">
        <f>17.6455</f>
        <v>17.645499999999998</v>
      </c>
      <c r="D577">
        <f>16.16</f>
        <v>16.16</v>
      </c>
      <c r="E577">
        <f>21.2</f>
        <v>21.2</v>
      </c>
    </row>
    <row r="578" spans="1:5" x14ac:dyDescent="0.2">
      <c r="A578" s="1">
        <v>44372</v>
      </c>
      <c r="B578">
        <f>15.62</f>
        <v>15.62</v>
      </c>
      <c r="C578">
        <f>16.6823</f>
        <v>16.682300000000001</v>
      </c>
      <c r="D578">
        <f>15.44</f>
        <v>15.44</v>
      </c>
      <c r="E578">
        <f>20.8</f>
        <v>20.8</v>
      </c>
    </row>
    <row r="579" spans="1:5" x14ac:dyDescent="0.2">
      <c r="A579" s="1">
        <v>44371</v>
      </c>
      <c r="B579">
        <f>15.97</f>
        <v>15.97</v>
      </c>
      <c r="C579">
        <f>17.3518</f>
        <v>17.351800000000001</v>
      </c>
      <c r="D579">
        <f>15.95</f>
        <v>15.95</v>
      </c>
      <c r="E579">
        <f>20.6</f>
        <v>20.6</v>
      </c>
    </row>
    <row r="580" spans="1:5" x14ac:dyDescent="0.2">
      <c r="A580" s="1">
        <v>44370</v>
      </c>
      <c r="B580">
        <f>16.32</f>
        <v>16.32</v>
      </c>
      <c r="C580">
        <f>18.549</f>
        <v>18.548999999999999</v>
      </c>
      <c r="D580">
        <f>17.01</f>
        <v>17.010000000000002</v>
      </c>
      <c r="E580">
        <f>20.9</f>
        <v>20.9</v>
      </c>
    </row>
    <row r="581" spans="1:5" x14ac:dyDescent="0.2">
      <c r="A581" s="1">
        <v>44369</v>
      </c>
      <c r="B581">
        <f>16.66</f>
        <v>16.66</v>
      </c>
      <c r="C581">
        <f>17.5733</f>
        <v>17.5733</v>
      </c>
      <c r="D581">
        <f>17.03</f>
        <v>17.03</v>
      </c>
      <c r="E581">
        <f>20.8</f>
        <v>20.8</v>
      </c>
    </row>
    <row r="582" spans="1:5" x14ac:dyDescent="0.2">
      <c r="A582" s="1">
        <v>44368</v>
      </c>
      <c r="B582">
        <f>17.89</f>
        <v>17.89</v>
      </c>
      <c r="C582">
        <f>19.4847</f>
        <v>19.4847</v>
      </c>
      <c r="D582">
        <f>18.73</f>
        <v>18.73</v>
      </c>
      <c r="E582">
        <f>21.4</f>
        <v>21.4</v>
      </c>
    </row>
    <row r="583" spans="1:5" x14ac:dyDescent="0.2">
      <c r="A583" s="1">
        <v>44365</v>
      </c>
      <c r="B583">
        <f>20.7</f>
        <v>20.7</v>
      </c>
      <c r="C583">
        <f>20.7634</f>
        <v>20.763400000000001</v>
      </c>
      <c r="D583">
        <f>19.38</f>
        <v>19.38</v>
      </c>
      <c r="E583">
        <f>21.3</f>
        <v>21.3</v>
      </c>
    </row>
    <row r="584" spans="1:5" x14ac:dyDescent="0.2">
      <c r="A584" s="1">
        <v>44364</v>
      </c>
      <c r="B584">
        <f>17.75</f>
        <v>17.75</v>
      </c>
      <c r="C584">
        <f>17.0804</f>
        <v>17.080400000000001</v>
      </c>
      <c r="D584">
        <f>15.81</f>
        <v>15.81</v>
      </c>
      <c r="E584">
        <f>19.75</f>
        <v>19.75</v>
      </c>
    </row>
    <row r="585" spans="1:5" x14ac:dyDescent="0.2">
      <c r="A585" s="1">
        <v>44363</v>
      </c>
      <c r="B585">
        <f>18.15</f>
        <v>18.149999999999999</v>
      </c>
      <c r="C585">
        <f>16.1772</f>
        <v>16.177199999999999</v>
      </c>
      <c r="D585">
        <f>15.22</f>
        <v>15.22</v>
      </c>
      <c r="E585" t="e">
        <f>NA()</f>
        <v>#N/A</v>
      </c>
    </row>
    <row r="586" spans="1:5" x14ac:dyDescent="0.2">
      <c r="A586" s="1">
        <v>44362</v>
      </c>
      <c r="B586">
        <f>17.02</f>
        <v>17.02</v>
      </c>
      <c r="C586">
        <f>16.4055</f>
        <v>16.4055</v>
      </c>
      <c r="D586">
        <f>15.51</f>
        <v>15.51</v>
      </c>
      <c r="E586">
        <f>19.33</f>
        <v>19.329999999999998</v>
      </c>
    </row>
    <row r="587" spans="1:5" x14ac:dyDescent="0.2">
      <c r="A587" s="1">
        <v>44361</v>
      </c>
      <c r="B587">
        <f>16.39</f>
        <v>16.39</v>
      </c>
      <c r="C587">
        <f>16.0495</f>
        <v>16.049499999999998</v>
      </c>
      <c r="D587">
        <f>15.46</f>
        <v>15.46</v>
      </c>
      <c r="E587">
        <f>19.48</f>
        <v>19.48</v>
      </c>
    </row>
    <row r="588" spans="1:5" x14ac:dyDescent="0.2">
      <c r="A588" s="1">
        <v>44358</v>
      </c>
      <c r="B588">
        <f>15.65</f>
        <v>15.65</v>
      </c>
      <c r="C588">
        <f>15.1511</f>
        <v>15.1511</v>
      </c>
      <c r="D588">
        <f>14.3</f>
        <v>14.3</v>
      </c>
      <c r="E588">
        <f>19.59</f>
        <v>19.59</v>
      </c>
    </row>
    <row r="589" spans="1:5" x14ac:dyDescent="0.2">
      <c r="A589" s="1">
        <v>44357</v>
      </c>
      <c r="B589">
        <f>16.1</f>
        <v>16.100000000000001</v>
      </c>
      <c r="C589">
        <f>16.6565</f>
        <v>16.656500000000001</v>
      </c>
      <c r="D589">
        <f>15.28</f>
        <v>15.28</v>
      </c>
      <c r="E589">
        <f>21.05</f>
        <v>21.05</v>
      </c>
    </row>
    <row r="590" spans="1:5" x14ac:dyDescent="0.2">
      <c r="A590" s="1">
        <v>44356</v>
      </c>
      <c r="B590">
        <f>17.89</f>
        <v>17.89</v>
      </c>
      <c r="C590">
        <f>17.2322</f>
        <v>17.232199999999999</v>
      </c>
      <c r="D590">
        <f>16.08</f>
        <v>16.079999999999998</v>
      </c>
      <c r="E590">
        <f>19.93</f>
        <v>19.93</v>
      </c>
    </row>
    <row r="591" spans="1:5" x14ac:dyDescent="0.2">
      <c r="A591" s="1">
        <v>44355</v>
      </c>
      <c r="B591">
        <f>17.07</f>
        <v>17.07</v>
      </c>
      <c r="C591">
        <f>17.7247</f>
        <v>17.724699999999999</v>
      </c>
      <c r="D591">
        <f>16.34</f>
        <v>16.34</v>
      </c>
      <c r="E591">
        <f>19.9</f>
        <v>19.899999999999999</v>
      </c>
    </row>
    <row r="592" spans="1:5" x14ac:dyDescent="0.2">
      <c r="A592" s="1">
        <v>44354</v>
      </c>
      <c r="B592">
        <f>16.42</f>
        <v>16.420000000000002</v>
      </c>
      <c r="C592">
        <f>17.711</f>
        <v>17.710999999999999</v>
      </c>
      <c r="D592">
        <f>16.23</f>
        <v>16.23</v>
      </c>
      <c r="E592">
        <f>20.1</f>
        <v>20.100000000000001</v>
      </c>
    </row>
    <row r="593" spans="1:5" x14ac:dyDescent="0.2">
      <c r="A593" s="1">
        <v>44351</v>
      </c>
      <c r="B593">
        <f>16.42</f>
        <v>16.420000000000002</v>
      </c>
      <c r="C593">
        <f>17.376</f>
        <v>17.376000000000001</v>
      </c>
      <c r="D593">
        <f>15.94</f>
        <v>15.94</v>
      </c>
      <c r="E593">
        <f>19.63</f>
        <v>19.63</v>
      </c>
    </row>
    <row r="594" spans="1:5" x14ac:dyDescent="0.2">
      <c r="A594" s="1">
        <v>44350</v>
      </c>
      <c r="B594">
        <f>18.04</f>
        <v>18.04</v>
      </c>
      <c r="C594">
        <f>18.2446</f>
        <v>18.244599999999998</v>
      </c>
      <c r="D594">
        <f>16.67</f>
        <v>16.670000000000002</v>
      </c>
      <c r="E594">
        <f>20</f>
        <v>20</v>
      </c>
    </row>
    <row r="595" spans="1:5" x14ac:dyDescent="0.2">
      <c r="A595" s="1">
        <v>44349</v>
      </c>
      <c r="B595">
        <f>17.48</f>
        <v>17.48</v>
      </c>
      <c r="C595">
        <f>17.8481</f>
        <v>17.848099999999999</v>
      </c>
      <c r="D595">
        <f>16.1</f>
        <v>16.100000000000001</v>
      </c>
      <c r="E595">
        <f>18.86</f>
        <v>18.86</v>
      </c>
    </row>
    <row r="596" spans="1:5" x14ac:dyDescent="0.2">
      <c r="A596" s="1">
        <v>44348</v>
      </c>
      <c r="B596">
        <f>17.9</f>
        <v>17.899999999999999</v>
      </c>
      <c r="C596">
        <f>18.7726</f>
        <v>18.772600000000001</v>
      </c>
      <c r="D596">
        <f>16.59</f>
        <v>16.59</v>
      </c>
      <c r="E596">
        <f>17.89</f>
        <v>17.89</v>
      </c>
    </row>
    <row r="597" spans="1:5" x14ac:dyDescent="0.2">
      <c r="A597" s="1">
        <v>44347</v>
      </c>
      <c r="B597" t="e">
        <f>NA()</f>
        <v>#N/A</v>
      </c>
      <c r="C597">
        <f>19.0981</f>
        <v>19.098099999999999</v>
      </c>
      <c r="D597" t="e">
        <f>NA()</f>
        <v>#N/A</v>
      </c>
      <c r="E597">
        <f>18.98</f>
        <v>18.98</v>
      </c>
    </row>
    <row r="598" spans="1:5" x14ac:dyDescent="0.2">
      <c r="A598" s="1">
        <v>44344</v>
      </c>
      <c r="B598">
        <f>16.76</f>
        <v>16.760000000000002</v>
      </c>
      <c r="C598">
        <f>17.1662</f>
        <v>17.1662</v>
      </c>
      <c r="D598">
        <f>15.17</f>
        <v>15.17</v>
      </c>
      <c r="E598">
        <f>18.92</f>
        <v>18.920000000000002</v>
      </c>
    </row>
    <row r="599" spans="1:5" x14ac:dyDescent="0.2">
      <c r="A599" s="1">
        <v>44343</v>
      </c>
      <c r="B599">
        <f>16.74</f>
        <v>16.739999999999998</v>
      </c>
      <c r="C599">
        <f>17.8227</f>
        <v>17.822700000000001</v>
      </c>
      <c r="D599">
        <f>15.73</f>
        <v>15.73</v>
      </c>
      <c r="E599">
        <f>18.91</f>
        <v>18.91</v>
      </c>
    </row>
    <row r="600" spans="1:5" x14ac:dyDescent="0.2">
      <c r="A600" s="1">
        <v>44342</v>
      </c>
      <c r="B600">
        <f>17.36</f>
        <v>17.36</v>
      </c>
      <c r="C600">
        <f>18.2823</f>
        <v>18.282299999999999</v>
      </c>
      <c r="D600">
        <f>16.22</f>
        <v>16.22</v>
      </c>
      <c r="E600">
        <f>19.42</f>
        <v>19.420000000000002</v>
      </c>
    </row>
    <row r="601" spans="1:5" x14ac:dyDescent="0.2">
      <c r="A601" s="1">
        <v>44341</v>
      </c>
      <c r="B601">
        <f>18.84</f>
        <v>18.84</v>
      </c>
      <c r="C601">
        <f>19.0816</f>
        <v>19.081600000000002</v>
      </c>
      <c r="D601">
        <f>16.71</f>
        <v>16.71</v>
      </c>
      <c r="E601">
        <f>19.34</f>
        <v>19.34</v>
      </c>
    </row>
    <row r="602" spans="1:5" x14ac:dyDescent="0.2">
      <c r="A602" s="1">
        <v>44340</v>
      </c>
      <c r="B602">
        <f>18.4</f>
        <v>18.399999999999999</v>
      </c>
      <c r="C602">
        <f>19.2364</f>
        <v>19.2364</v>
      </c>
      <c r="D602">
        <f>17.04</f>
        <v>17.04</v>
      </c>
      <c r="E602">
        <f>19.5</f>
        <v>19.5</v>
      </c>
    </row>
    <row r="603" spans="1:5" x14ac:dyDescent="0.2">
      <c r="A603" s="1">
        <v>44337</v>
      </c>
      <c r="B603">
        <f>20.15</f>
        <v>20.149999999999999</v>
      </c>
      <c r="C603">
        <f>20.3521</f>
        <v>20.3521</v>
      </c>
      <c r="D603">
        <f>18.03</f>
        <v>18.03</v>
      </c>
      <c r="E603">
        <f>19.49</f>
        <v>19.489999999999998</v>
      </c>
    </row>
    <row r="604" spans="1:5" x14ac:dyDescent="0.2">
      <c r="A604" s="1">
        <v>44336</v>
      </c>
      <c r="B604">
        <f>20.67</f>
        <v>20.67</v>
      </c>
      <c r="C604">
        <f>22.1023</f>
        <v>22.1023</v>
      </c>
      <c r="D604">
        <f>19.27</f>
        <v>19.27</v>
      </c>
      <c r="E604">
        <f>19.58</f>
        <v>19.579999999999998</v>
      </c>
    </row>
    <row r="605" spans="1:5" x14ac:dyDescent="0.2">
      <c r="A605" s="1">
        <v>44335</v>
      </c>
      <c r="B605">
        <f>22.18</f>
        <v>22.18</v>
      </c>
      <c r="C605">
        <f>24.4802</f>
        <v>24.4802</v>
      </c>
      <c r="D605">
        <f>21.84</f>
        <v>21.84</v>
      </c>
      <c r="E605">
        <f>20.42</f>
        <v>20.420000000000002</v>
      </c>
    </row>
    <row r="606" spans="1:5" x14ac:dyDescent="0.2">
      <c r="A606" s="1">
        <v>44334</v>
      </c>
      <c r="B606">
        <f>21.34</f>
        <v>21.34</v>
      </c>
      <c r="C606">
        <f>21.3082</f>
        <v>21.308199999999999</v>
      </c>
      <c r="D606">
        <f>18.95</f>
        <v>18.95</v>
      </c>
      <c r="E606">
        <f>19.94</f>
        <v>19.940000000000001</v>
      </c>
    </row>
    <row r="607" spans="1:5" x14ac:dyDescent="0.2">
      <c r="A607" s="1">
        <v>44333</v>
      </c>
      <c r="B607">
        <f>19.72</f>
        <v>19.72</v>
      </c>
      <c r="C607">
        <f>21.8052</f>
        <v>21.805199999999999</v>
      </c>
      <c r="D607">
        <f>19.41</f>
        <v>19.41</v>
      </c>
      <c r="E607">
        <f>19.63</f>
        <v>19.63</v>
      </c>
    </row>
    <row r="608" spans="1:5" x14ac:dyDescent="0.2">
      <c r="A608" s="1">
        <v>44330</v>
      </c>
      <c r="B608">
        <f>18.81</f>
        <v>18.809999999999999</v>
      </c>
      <c r="C608">
        <f>19.5457</f>
        <v>19.5457</v>
      </c>
      <c r="D608">
        <f>18.18</f>
        <v>18.18</v>
      </c>
      <c r="E608">
        <f>21.16</f>
        <v>21.16</v>
      </c>
    </row>
    <row r="609" spans="1:5" x14ac:dyDescent="0.2">
      <c r="A609" s="1">
        <v>44329</v>
      </c>
      <c r="B609">
        <f>23.13</f>
        <v>23.13</v>
      </c>
      <c r="C609">
        <f>23.3498</f>
        <v>23.349799999999998</v>
      </c>
      <c r="D609">
        <f>20.97</f>
        <v>20.97</v>
      </c>
      <c r="E609">
        <f>19.85</f>
        <v>19.850000000000001</v>
      </c>
    </row>
    <row r="610" spans="1:5" x14ac:dyDescent="0.2">
      <c r="A610" s="1">
        <v>44328</v>
      </c>
      <c r="B610">
        <f>27.59</f>
        <v>27.59</v>
      </c>
      <c r="C610">
        <f>23.9387</f>
        <v>23.938700000000001</v>
      </c>
      <c r="D610">
        <f>20.86</f>
        <v>20.86</v>
      </c>
      <c r="E610">
        <f>19.02</f>
        <v>19.02</v>
      </c>
    </row>
    <row r="611" spans="1:5" x14ac:dyDescent="0.2">
      <c r="A611" s="1">
        <v>44327</v>
      </c>
      <c r="B611">
        <f>21.84</f>
        <v>21.84</v>
      </c>
      <c r="C611">
        <f>22.5573</f>
        <v>22.557300000000001</v>
      </c>
      <c r="D611">
        <f>20.44</f>
        <v>20.440000000000001</v>
      </c>
      <c r="E611">
        <f>18.97</f>
        <v>18.97</v>
      </c>
    </row>
    <row r="612" spans="1:5" x14ac:dyDescent="0.2">
      <c r="A612" s="1">
        <v>44326</v>
      </c>
      <c r="B612">
        <f>19.66</f>
        <v>19.66</v>
      </c>
      <c r="C612">
        <f>18.5019</f>
        <v>18.501899999999999</v>
      </c>
      <c r="D612">
        <f>16.57</f>
        <v>16.57</v>
      </c>
      <c r="E612">
        <f>19.45</f>
        <v>19.45</v>
      </c>
    </row>
    <row r="613" spans="1:5" x14ac:dyDescent="0.2">
      <c r="A613" s="1">
        <v>44323</v>
      </c>
      <c r="B613">
        <f>16.69</f>
        <v>16.690000000000001</v>
      </c>
      <c r="C613">
        <f>18.3838</f>
        <v>18.383800000000001</v>
      </c>
      <c r="D613">
        <f>16.05</f>
        <v>16.05</v>
      </c>
      <c r="E613">
        <f>18.91</f>
        <v>18.91</v>
      </c>
    </row>
    <row r="614" spans="1:5" x14ac:dyDescent="0.2">
      <c r="A614" s="1">
        <v>44322</v>
      </c>
      <c r="B614">
        <f>18.39</f>
        <v>18.39</v>
      </c>
      <c r="C614">
        <f>20.3775</f>
        <v>20.377500000000001</v>
      </c>
      <c r="D614">
        <f>17.65</f>
        <v>17.649999999999999</v>
      </c>
      <c r="E614">
        <f>19.41</f>
        <v>19.41</v>
      </c>
    </row>
    <row r="615" spans="1:5" x14ac:dyDescent="0.2">
      <c r="A615" s="1">
        <v>44321</v>
      </c>
      <c r="B615">
        <f>19.15</f>
        <v>19.149999999999999</v>
      </c>
      <c r="C615">
        <f>19.9042</f>
        <v>19.904199999999999</v>
      </c>
      <c r="D615">
        <f>17.4</f>
        <v>17.399999999999999</v>
      </c>
      <c r="E615">
        <f>18.95</f>
        <v>18.95</v>
      </c>
    </row>
    <row r="616" spans="1:5" x14ac:dyDescent="0.2">
      <c r="A616" s="1">
        <v>44320</v>
      </c>
      <c r="B616">
        <f>19.48</f>
        <v>19.48</v>
      </c>
      <c r="C616">
        <f>22.8185</f>
        <v>22.8185</v>
      </c>
      <c r="D616">
        <f>19.72</f>
        <v>19.72</v>
      </c>
      <c r="E616">
        <f>22.34</f>
        <v>22.34</v>
      </c>
    </row>
    <row r="617" spans="1:5" x14ac:dyDescent="0.2">
      <c r="A617" s="1">
        <v>44319</v>
      </c>
      <c r="B617">
        <f>18.31</f>
        <v>18.309999999999999</v>
      </c>
      <c r="C617">
        <f>19.9314</f>
        <v>19.9314</v>
      </c>
      <c r="D617" t="e">
        <f>NA()</f>
        <v>#N/A</v>
      </c>
      <c r="E617">
        <f>21.98</f>
        <v>21.98</v>
      </c>
    </row>
    <row r="618" spans="1:5" x14ac:dyDescent="0.2">
      <c r="A618" s="1">
        <v>44316</v>
      </c>
      <c r="B618">
        <f>18.61</f>
        <v>18.61</v>
      </c>
      <c r="C618">
        <f>20.6309</f>
        <v>20.6309</v>
      </c>
      <c r="D618">
        <f>17.51</f>
        <v>17.510000000000002</v>
      </c>
      <c r="E618">
        <f>22.02</f>
        <v>22.02</v>
      </c>
    </row>
    <row r="619" spans="1:5" x14ac:dyDescent="0.2">
      <c r="A619" s="1">
        <v>44315</v>
      </c>
      <c r="B619">
        <f>17.61</f>
        <v>17.61</v>
      </c>
      <c r="C619">
        <f>18.8768</f>
        <v>18.876799999999999</v>
      </c>
      <c r="D619">
        <f>16.52</f>
        <v>16.52</v>
      </c>
      <c r="E619">
        <f>22.24</f>
        <v>22.24</v>
      </c>
    </row>
    <row r="620" spans="1:5" x14ac:dyDescent="0.2">
      <c r="A620" s="1">
        <v>44314</v>
      </c>
      <c r="B620">
        <f>17.28</f>
        <v>17.28</v>
      </c>
      <c r="C620">
        <f>18.377</f>
        <v>18.376999999999999</v>
      </c>
      <c r="D620">
        <f>16.15</f>
        <v>16.149999999999999</v>
      </c>
      <c r="E620">
        <f>21.57</f>
        <v>21.57</v>
      </c>
    </row>
    <row r="621" spans="1:5" x14ac:dyDescent="0.2">
      <c r="A621" s="1">
        <v>44313</v>
      </c>
      <c r="B621">
        <f>17.56</f>
        <v>17.559999999999999</v>
      </c>
      <c r="C621">
        <f>19.2123</f>
        <v>19.212299999999999</v>
      </c>
      <c r="D621">
        <f>16.38</f>
        <v>16.38</v>
      </c>
      <c r="E621" t="e">
        <f>NA()</f>
        <v>#N/A</v>
      </c>
    </row>
    <row r="622" spans="1:5" x14ac:dyDescent="0.2">
      <c r="A622" s="1">
        <v>44312</v>
      </c>
      <c r="B622">
        <f>17.64</f>
        <v>17.64</v>
      </c>
      <c r="C622">
        <f>18.2841</f>
        <v>18.284099999999999</v>
      </c>
      <c r="D622">
        <f>16.12</f>
        <v>16.12</v>
      </c>
      <c r="E622">
        <f>21.96</f>
        <v>21.96</v>
      </c>
    </row>
    <row r="623" spans="1:5" x14ac:dyDescent="0.2">
      <c r="A623" s="1">
        <v>44309</v>
      </c>
      <c r="B623">
        <f>17.33</f>
        <v>17.329999999999998</v>
      </c>
      <c r="C623">
        <f>18.1883</f>
        <v>18.188300000000002</v>
      </c>
      <c r="D623">
        <f>15.95</f>
        <v>15.95</v>
      </c>
      <c r="E623">
        <f>21.8</f>
        <v>21.8</v>
      </c>
    </row>
    <row r="624" spans="1:5" x14ac:dyDescent="0.2">
      <c r="A624" s="1">
        <v>44308</v>
      </c>
      <c r="B624">
        <f>18.71</f>
        <v>18.71</v>
      </c>
      <c r="C624">
        <f>17.7562</f>
        <v>17.7562</v>
      </c>
      <c r="D624">
        <f>15.54</f>
        <v>15.54</v>
      </c>
      <c r="E624">
        <f>22.34</f>
        <v>22.34</v>
      </c>
    </row>
    <row r="625" spans="1:5" x14ac:dyDescent="0.2">
      <c r="A625" s="1">
        <v>44307</v>
      </c>
      <c r="B625">
        <f>17.5</f>
        <v>17.5</v>
      </c>
      <c r="C625">
        <f>19.2813</f>
        <v>19.281300000000002</v>
      </c>
      <c r="D625">
        <f>16.9</f>
        <v>16.899999999999999</v>
      </c>
      <c r="E625">
        <f>21.81</f>
        <v>21.81</v>
      </c>
    </row>
    <row r="626" spans="1:5" x14ac:dyDescent="0.2">
      <c r="A626" s="1">
        <v>44306</v>
      </c>
      <c r="B626">
        <f>18.68</f>
        <v>18.68</v>
      </c>
      <c r="C626">
        <f>21.0797</f>
        <v>21.079699999999999</v>
      </c>
      <c r="D626">
        <f>17.9</f>
        <v>17.899999999999999</v>
      </c>
      <c r="E626">
        <f>22.36</f>
        <v>22.36</v>
      </c>
    </row>
    <row r="627" spans="1:5" x14ac:dyDescent="0.2">
      <c r="A627" s="1">
        <v>44305</v>
      </c>
      <c r="B627">
        <f>17.29</f>
        <v>17.29</v>
      </c>
      <c r="C627">
        <f>17.2101</f>
        <v>17.210100000000001</v>
      </c>
      <c r="D627">
        <f>14.82</f>
        <v>14.82</v>
      </c>
      <c r="E627">
        <f>19.4</f>
        <v>19.399999999999999</v>
      </c>
    </row>
    <row r="628" spans="1:5" x14ac:dyDescent="0.2">
      <c r="A628" s="1">
        <v>44302</v>
      </c>
      <c r="B628">
        <f>16.25</f>
        <v>16.25</v>
      </c>
      <c r="C628">
        <f>16.1131</f>
        <v>16.113099999999999</v>
      </c>
      <c r="D628">
        <f>13.82</f>
        <v>13.82</v>
      </c>
      <c r="E628">
        <f>19.88</f>
        <v>19.88</v>
      </c>
    </row>
    <row r="629" spans="1:5" x14ac:dyDescent="0.2">
      <c r="A629" s="1">
        <v>44301</v>
      </c>
      <c r="B629">
        <f>16.57</f>
        <v>16.57</v>
      </c>
      <c r="C629">
        <f>15.7081</f>
        <v>15.7081</v>
      </c>
      <c r="D629">
        <f>14.29</f>
        <v>14.29</v>
      </c>
      <c r="E629">
        <f>20.68</f>
        <v>20.68</v>
      </c>
    </row>
    <row r="630" spans="1:5" x14ac:dyDescent="0.2">
      <c r="A630" s="1">
        <v>44300</v>
      </c>
      <c r="B630">
        <f>16.99</f>
        <v>16.989999999999998</v>
      </c>
      <c r="C630">
        <f>16.1903</f>
        <v>16.190300000000001</v>
      </c>
      <c r="D630">
        <f>13.96</f>
        <v>13.96</v>
      </c>
      <c r="E630">
        <f>20.83</f>
        <v>20.83</v>
      </c>
    </row>
    <row r="631" spans="1:5" x14ac:dyDescent="0.2">
      <c r="A631" s="1">
        <v>44299</v>
      </c>
      <c r="B631">
        <f>16.65</f>
        <v>16.649999999999999</v>
      </c>
      <c r="C631">
        <f>16.3086</f>
        <v>16.308599999999998</v>
      </c>
      <c r="D631">
        <f>14.49</f>
        <v>14.49</v>
      </c>
      <c r="E631">
        <f>21.05</f>
        <v>21.05</v>
      </c>
    </row>
    <row r="632" spans="1:5" x14ac:dyDescent="0.2">
      <c r="A632" s="1">
        <v>44298</v>
      </c>
      <c r="B632">
        <f>16.91</f>
        <v>16.91</v>
      </c>
      <c r="C632">
        <f>17.0514</f>
        <v>17.051400000000001</v>
      </c>
      <c r="D632">
        <f>14.97</f>
        <v>14.97</v>
      </c>
      <c r="E632">
        <f>21.6</f>
        <v>21.6</v>
      </c>
    </row>
    <row r="633" spans="1:5" x14ac:dyDescent="0.2">
      <c r="A633" s="1">
        <v>44295</v>
      </c>
      <c r="B633">
        <f>16.69</f>
        <v>16.690000000000001</v>
      </c>
      <c r="C633">
        <f>16.1768</f>
        <v>16.1768</v>
      </c>
      <c r="D633">
        <f>14.03</f>
        <v>14.03</v>
      </c>
      <c r="E633">
        <f>20.14</f>
        <v>20.14</v>
      </c>
    </row>
    <row r="634" spans="1:5" x14ac:dyDescent="0.2">
      <c r="A634" s="1">
        <v>44294</v>
      </c>
      <c r="B634">
        <f>16.95</f>
        <v>16.95</v>
      </c>
      <c r="C634">
        <f>16.1602</f>
        <v>16.1602</v>
      </c>
      <c r="D634">
        <f>14.1</f>
        <v>14.1</v>
      </c>
      <c r="E634">
        <f>20.14</f>
        <v>20.14</v>
      </c>
    </row>
    <row r="635" spans="1:5" x14ac:dyDescent="0.2">
      <c r="A635" s="1">
        <v>44293</v>
      </c>
      <c r="B635">
        <f>17.16</f>
        <v>17.16</v>
      </c>
      <c r="C635">
        <f>16.6645</f>
        <v>16.6645</v>
      </c>
      <c r="D635">
        <f>16.33</f>
        <v>16.329999999999998</v>
      </c>
      <c r="E635">
        <f>19.93</f>
        <v>19.93</v>
      </c>
    </row>
    <row r="636" spans="1:5" x14ac:dyDescent="0.2">
      <c r="A636" s="1">
        <v>44292</v>
      </c>
      <c r="B636">
        <f>18.12</f>
        <v>18.12</v>
      </c>
      <c r="C636">
        <f>17.1057</f>
        <v>17.105699999999999</v>
      </c>
      <c r="D636">
        <f>16.96</f>
        <v>16.96</v>
      </c>
      <c r="E636">
        <f>18.32</f>
        <v>18.32</v>
      </c>
    </row>
    <row r="637" spans="1:5" x14ac:dyDescent="0.2">
      <c r="A637" s="1">
        <v>44291</v>
      </c>
      <c r="B637">
        <f>17.91</f>
        <v>17.91</v>
      </c>
      <c r="C637" t="e">
        <f>NA()</f>
        <v>#N/A</v>
      </c>
      <c r="D637" t="e">
        <f>NA()</f>
        <v>#N/A</v>
      </c>
      <c r="E637" t="e">
        <f>NA()</f>
        <v>#N/A</v>
      </c>
    </row>
    <row r="638" spans="1:5" x14ac:dyDescent="0.2">
      <c r="A638" s="1">
        <v>44287</v>
      </c>
      <c r="B638">
        <f>17.33</f>
        <v>17.329999999999998</v>
      </c>
      <c r="C638">
        <f>16.8956</f>
        <v>16.895600000000002</v>
      </c>
      <c r="D638">
        <f>16.8</f>
        <v>16.8</v>
      </c>
      <c r="E638">
        <f>18.71</f>
        <v>18.71</v>
      </c>
    </row>
    <row r="639" spans="1:5" x14ac:dyDescent="0.2">
      <c r="A639" s="1">
        <v>44286</v>
      </c>
      <c r="B639">
        <f>19.4</f>
        <v>19.399999999999999</v>
      </c>
      <c r="C639">
        <f>17.9742</f>
        <v>17.9742</v>
      </c>
      <c r="D639">
        <f>17.59</f>
        <v>17.59</v>
      </c>
      <c r="E639">
        <f>22.22</f>
        <v>22.22</v>
      </c>
    </row>
    <row r="640" spans="1:5" x14ac:dyDescent="0.2">
      <c r="A640" s="1">
        <v>44285</v>
      </c>
      <c r="B640">
        <f>19.61</f>
        <v>19.61</v>
      </c>
      <c r="C640">
        <f>18.4722</f>
        <v>18.472200000000001</v>
      </c>
      <c r="D640">
        <f>17.95</f>
        <v>17.95</v>
      </c>
      <c r="E640">
        <f>21.53</f>
        <v>21.53</v>
      </c>
    </row>
    <row r="641" spans="1:5" x14ac:dyDescent="0.2">
      <c r="A641" s="1">
        <v>44284</v>
      </c>
      <c r="B641">
        <f>20.74</f>
        <v>20.74</v>
      </c>
      <c r="C641">
        <f>18.348</f>
        <v>18.347999999999999</v>
      </c>
      <c r="D641">
        <f>18.01</f>
        <v>18.010000000000002</v>
      </c>
      <c r="E641">
        <f>21.61</f>
        <v>21.61</v>
      </c>
    </row>
    <row r="642" spans="1:5" x14ac:dyDescent="0.2">
      <c r="A642" s="1">
        <v>44281</v>
      </c>
      <c r="B642">
        <f>18.86</f>
        <v>18.86</v>
      </c>
      <c r="C642">
        <f>17.112</f>
        <v>17.111999999999998</v>
      </c>
      <c r="D642">
        <f>17.1</f>
        <v>17.100000000000001</v>
      </c>
      <c r="E642">
        <f>22.74</f>
        <v>22.74</v>
      </c>
    </row>
    <row r="643" spans="1:5" x14ac:dyDescent="0.2">
      <c r="A643" s="1">
        <v>44280</v>
      </c>
      <c r="B643">
        <f>19.81</f>
        <v>19.809999999999999</v>
      </c>
      <c r="C643">
        <f>18.8836</f>
        <v>18.883600000000001</v>
      </c>
      <c r="D643">
        <f>18.7</f>
        <v>18.7</v>
      </c>
      <c r="E643">
        <f>24.17</f>
        <v>24.17</v>
      </c>
    </row>
    <row r="644" spans="1:5" x14ac:dyDescent="0.2">
      <c r="A644" s="1">
        <v>44279</v>
      </c>
      <c r="B644">
        <f>21.2</f>
        <v>21.2</v>
      </c>
      <c r="C644">
        <f>17.7712</f>
        <v>17.7712</v>
      </c>
      <c r="D644">
        <f>18.05</f>
        <v>18.05</v>
      </c>
      <c r="E644">
        <f>28.59</f>
        <v>28.59</v>
      </c>
    </row>
    <row r="645" spans="1:5" x14ac:dyDescent="0.2">
      <c r="A645" s="1">
        <v>44278</v>
      </c>
      <c r="B645">
        <f>20.3</f>
        <v>20.3</v>
      </c>
      <c r="C645">
        <f>17.5964</f>
        <v>17.596399999999999</v>
      </c>
      <c r="D645">
        <f>17.85</f>
        <v>17.850000000000001</v>
      </c>
      <c r="E645">
        <f>29.38</f>
        <v>29.38</v>
      </c>
    </row>
    <row r="646" spans="1:5" x14ac:dyDescent="0.2">
      <c r="A646" s="1">
        <v>44277</v>
      </c>
      <c r="B646">
        <f>18.88</f>
        <v>18.88</v>
      </c>
      <c r="C646">
        <f>17.6826</f>
        <v>17.682600000000001</v>
      </c>
      <c r="D646">
        <f>18.49</f>
        <v>18.489999999999998</v>
      </c>
      <c r="E646" t="e">
        <f>NA()</f>
        <v>#N/A</v>
      </c>
    </row>
    <row r="647" spans="1:5" x14ac:dyDescent="0.2">
      <c r="A647" s="1">
        <v>44274</v>
      </c>
      <c r="B647">
        <f>20.95</f>
        <v>20.95</v>
      </c>
      <c r="C647">
        <f>18.395</f>
        <v>18.395</v>
      </c>
      <c r="D647">
        <f>18.61</f>
        <v>18.61</v>
      </c>
      <c r="E647">
        <f>30.32</f>
        <v>30.32</v>
      </c>
    </row>
    <row r="648" spans="1:5" x14ac:dyDescent="0.2">
      <c r="A648" s="1">
        <v>44273</v>
      </c>
      <c r="B648">
        <f>21.58</f>
        <v>21.58</v>
      </c>
      <c r="C648">
        <f>17.4622</f>
        <v>17.462199999999999</v>
      </c>
      <c r="D648">
        <f>18.26</f>
        <v>18.260000000000002</v>
      </c>
      <c r="E648">
        <f>20.75</f>
        <v>20.75</v>
      </c>
    </row>
    <row r="649" spans="1:5" x14ac:dyDescent="0.2">
      <c r="A649" s="1">
        <v>44272</v>
      </c>
      <c r="B649">
        <f>19.23</f>
        <v>19.23</v>
      </c>
      <c r="C649">
        <f>17.5706</f>
        <v>17.570599999999999</v>
      </c>
      <c r="D649">
        <f>18.95</f>
        <v>18.95</v>
      </c>
      <c r="E649">
        <f>20.65</f>
        <v>20.65</v>
      </c>
    </row>
    <row r="650" spans="1:5" x14ac:dyDescent="0.2">
      <c r="A650" s="1">
        <v>44271</v>
      </c>
      <c r="B650">
        <f>19.79</f>
        <v>19.79</v>
      </c>
      <c r="C650">
        <f>17.5488</f>
        <v>17.5488</v>
      </c>
      <c r="D650">
        <f>18.34</f>
        <v>18.34</v>
      </c>
      <c r="E650">
        <f>21.27</f>
        <v>21.27</v>
      </c>
    </row>
    <row r="651" spans="1:5" x14ac:dyDescent="0.2">
      <c r="A651" s="1">
        <v>44270</v>
      </c>
      <c r="B651">
        <f>20.03</f>
        <v>20.03</v>
      </c>
      <c r="C651">
        <f>18.6234</f>
        <v>18.6234</v>
      </c>
      <c r="D651">
        <f>19.13</f>
        <v>19.13</v>
      </c>
      <c r="E651">
        <f>21.59</f>
        <v>21.59</v>
      </c>
    </row>
    <row r="652" spans="1:5" x14ac:dyDescent="0.2">
      <c r="A652" s="1">
        <v>44267</v>
      </c>
      <c r="B652">
        <f>20.69</f>
        <v>20.69</v>
      </c>
      <c r="C652">
        <f>18.7087</f>
        <v>18.7087</v>
      </c>
      <c r="D652">
        <f>19.38</f>
        <v>19.38</v>
      </c>
      <c r="E652">
        <f>20.68</f>
        <v>20.68</v>
      </c>
    </row>
    <row r="653" spans="1:5" x14ac:dyDescent="0.2">
      <c r="A653" s="1">
        <v>44266</v>
      </c>
      <c r="B653">
        <f>21.91</f>
        <v>21.91</v>
      </c>
      <c r="C653">
        <f>18.8846</f>
        <v>18.884599999999999</v>
      </c>
      <c r="D653">
        <f>19.27</f>
        <v>19.27</v>
      </c>
      <c r="E653">
        <f>20.71</f>
        <v>20.71</v>
      </c>
    </row>
    <row r="654" spans="1:5" x14ac:dyDescent="0.2">
      <c r="A654" s="1">
        <v>44265</v>
      </c>
      <c r="B654">
        <f>22.56</f>
        <v>22.56</v>
      </c>
      <c r="C654">
        <f>19.6671</f>
        <v>19.667100000000001</v>
      </c>
      <c r="D654">
        <f>20.11</f>
        <v>20.11</v>
      </c>
      <c r="E654">
        <f>16.46</f>
        <v>16.46</v>
      </c>
    </row>
    <row r="655" spans="1:5" x14ac:dyDescent="0.2">
      <c r="A655" s="1">
        <v>44264</v>
      </c>
      <c r="B655">
        <f>24.03</f>
        <v>24.03</v>
      </c>
      <c r="C655">
        <f>20.2608</f>
        <v>20.2608</v>
      </c>
      <c r="D655">
        <f>20.36</f>
        <v>20.36</v>
      </c>
      <c r="E655">
        <f>16.69</f>
        <v>16.690000000000001</v>
      </c>
    </row>
    <row r="656" spans="1:5" x14ac:dyDescent="0.2">
      <c r="A656" s="1">
        <v>44263</v>
      </c>
      <c r="B656">
        <f>25.47</f>
        <v>25.47</v>
      </c>
      <c r="C656">
        <f>20.8952</f>
        <v>20.895199999999999</v>
      </c>
      <c r="D656">
        <f>20.98</f>
        <v>20.98</v>
      </c>
      <c r="E656">
        <f>16.66</f>
        <v>16.66</v>
      </c>
    </row>
    <row r="657" spans="1:5" x14ac:dyDescent="0.2">
      <c r="A657" s="1">
        <v>44260</v>
      </c>
      <c r="B657">
        <f>24.66</f>
        <v>24.66</v>
      </c>
      <c r="C657">
        <f>25.0782</f>
        <v>25.078199999999999</v>
      </c>
      <c r="D657">
        <f>23.82</f>
        <v>23.82</v>
      </c>
      <c r="E657">
        <f>16.78</f>
        <v>16.78</v>
      </c>
    </row>
    <row r="658" spans="1:5" x14ac:dyDescent="0.2">
      <c r="A658" s="1">
        <v>44259</v>
      </c>
      <c r="B658">
        <f>28.57</f>
        <v>28.57</v>
      </c>
      <c r="C658">
        <f>22.0916</f>
        <v>22.0916</v>
      </c>
      <c r="D658">
        <f>22.07</f>
        <v>22.07</v>
      </c>
      <c r="E658">
        <f>16.98</f>
        <v>16.98</v>
      </c>
    </row>
    <row r="659" spans="1:5" x14ac:dyDescent="0.2">
      <c r="A659" s="1">
        <v>44258</v>
      </c>
      <c r="B659">
        <f>26.67</f>
        <v>26.67</v>
      </c>
      <c r="C659">
        <f>21.6956</f>
        <v>21.695599999999999</v>
      </c>
      <c r="D659">
        <f>21.67</f>
        <v>21.67</v>
      </c>
      <c r="E659">
        <f>17.96</f>
        <v>17.96</v>
      </c>
    </row>
    <row r="660" spans="1:5" x14ac:dyDescent="0.2">
      <c r="A660" s="1">
        <v>44257</v>
      </c>
      <c r="B660">
        <f>24.1</f>
        <v>24.1</v>
      </c>
      <c r="C660">
        <f>21.8134</f>
        <v>21.813400000000001</v>
      </c>
      <c r="D660">
        <f>21.99</f>
        <v>21.99</v>
      </c>
      <c r="E660">
        <f>17.71</f>
        <v>17.71</v>
      </c>
    </row>
    <row r="661" spans="1:5" x14ac:dyDescent="0.2">
      <c r="A661" s="1">
        <v>44256</v>
      </c>
      <c r="B661">
        <f>23.35</f>
        <v>23.35</v>
      </c>
      <c r="C661">
        <f>22.1594</f>
        <v>22.159400000000002</v>
      </c>
      <c r="D661">
        <f>22.1</f>
        <v>22.1</v>
      </c>
      <c r="E661">
        <f>17.19</f>
        <v>17.190000000000001</v>
      </c>
    </row>
    <row r="662" spans="1:5" x14ac:dyDescent="0.2">
      <c r="A662" s="1">
        <v>44253</v>
      </c>
      <c r="B662">
        <f>27.95</f>
        <v>27.95</v>
      </c>
      <c r="C662">
        <f>26.8632</f>
        <v>26.863199999999999</v>
      </c>
      <c r="D662">
        <f>26</f>
        <v>26</v>
      </c>
      <c r="E662">
        <f>17.4</f>
        <v>17.399999999999999</v>
      </c>
    </row>
    <row r="663" spans="1:5" x14ac:dyDescent="0.2">
      <c r="A663" s="1">
        <v>44252</v>
      </c>
      <c r="B663">
        <f>28.89</f>
        <v>28.89</v>
      </c>
      <c r="C663">
        <f>22.0962</f>
        <v>22.0962</v>
      </c>
      <c r="D663">
        <f>21.64</f>
        <v>21.64</v>
      </c>
      <c r="E663">
        <f>17.01</f>
        <v>17.010000000000002</v>
      </c>
    </row>
    <row r="664" spans="1:5" x14ac:dyDescent="0.2">
      <c r="A664" s="1">
        <v>44251</v>
      </c>
      <c r="B664">
        <f>21.34</f>
        <v>21.34</v>
      </c>
      <c r="C664">
        <f>21.4258</f>
        <v>21.425799999999999</v>
      </c>
      <c r="D664">
        <f>21.08</f>
        <v>21.08</v>
      </c>
      <c r="E664">
        <f>17.31</f>
        <v>17.309999999999999</v>
      </c>
    </row>
    <row r="665" spans="1:5" x14ac:dyDescent="0.2">
      <c r="A665" s="1">
        <v>44250</v>
      </c>
      <c r="B665">
        <f>23.11</f>
        <v>23.11</v>
      </c>
      <c r="C665">
        <f>23.1325</f>
        <v>23.1325</v>
      </c>
      <c r="D665">
        <f>22.72</f>
        <v>22.72</v>
      </c>
      <c r="E665">
        <f>18.13</f>
        <v>18.13</v>
      </c>
    </row>
    <row r="666" spans="1:5" x14ac:dyDescent="0.2">
      <c r="A666" s="1">
        <v>44249</v>
      </c>
      <c r="B666">
        <f>23.45</f>
        <v>23.45</v>
      </c>
      <c r="C666">
        <f>21.6934</f>
        <v>21.6934</v>
      </c>
      <c r="D666">
        <f>22.13</f>
        <v>22.13</v>
      </c>
      <c r="E666">
        <f>18.44</f>
        <v>18.440000000000001</v>
      </c>
    </row>
    <row r="667" spans="1:5" x14ac:dyDescent="0.2">
      <c r="A667" s="1">
        <v>44246</v>
      </c>
      <c r="B667">
        <f>22.05</f>
        <v>22.05</v>
      </c>
      <c r="C667">
        <f>20.4844</f>
        <v>20.484400000000001</v>
      </c>
      <c r="D667">
        <f>21.25</f>
        <v>21.25</v>
      </c>
      <c r="E667">
        <f>18.52</f>
        <v>18.52</v>
      </c>
    </row>
    <row r="668" spans="1:5" x14ac:dyDescent="0.2">
      <c r="A668" s="1">
        <v>44245</v>
      </c>
      <c r="B668">
        <f>22.49</f>
        <v>22.49</v>
      </c>
      <c r="C668">
        <f>22.5234</f>
        <v>22.523399999999999</v>
      </c>
      <c r="D668">
        <f>22.19</f>
        <v>22.19</v>
      </c>
      <c r="E668">
        <f>18.55</f>
        <v>18.55</v>
      </c>
    </row>
    <row r="669" spans="1:5" x14ac:dyDescent="0.2">
      <c r="A669" s="1">
        <v>44244</v>
      </c>
      <c r="B669">
        <f>21.5</f>
        <v>21.5</v>
      </c>
      <c r="C669">
        <f>21.829</f>
        <v>21.829000000000001</v>
      </c>
      <c r="D669">
        <f>21.19</f>
        <v>21.19</v>
      </c>
      <c r="E669">
        <f>18.36</f>
        <v>18.36</v>
      </c>
    </row>
    <row r="670" spans="1:5" x14ac:dyDescent="0.2">
      <c r="A670" s="1">
        <v>44243</v>
      </c>
      <c r="B670">
        <f>21.46</f>
        <v>21.46</v>
      </c>
      <c r="C670">
        <f>20.9294</f>
        <v>20.929400000000001</v>
      </c>
      <c r="D670">
        <f>20.36</f>
        <v>20.36</v>
      </c>
      <c r="E670">
        <f>17.22</f>
        <v>17.22</v>
      </c>
    </row>
    <row r="671" spans="1:5" x14ac:dyDescent="0.2">
      <c r="A671" s="1">
        <v>44242</v>
      </c>
      <c r="B671" t="e">
        <f>NA()</f>
        <v>#N/A</v>
      </c>
      <c r="C671">
        <f>20.1531</f>
        <v>20.153099999999998</v>
      </c>
      <c r="D671">
        <f>19.56</f>
        <v>19.559999999999999</v>
      </c>
      <c r="E671">
        <f>17.41</f>
        <v>17.41</v>
      </c>
    </row>
    <row r="672" spans="1:5" x14ac:dyDescent="0.2">
      <c r="A672" s="1">
        <v>44239</v>
      </c>
      <c r="B672">
        <f>19.97</f>
        <v>19.97</v>
      </c>
      <c r="C672">
        <f>20.0616</f>
        <v>20.061599999999999</v>
      </c>
      <c r="D672">
        <f>18.98</f>
        <v>18.98</v>
      </c>
      <c r="E672">
        <f>18.33</f>
        <v>18.329999999999998</v>
      </c>
    </row>
    <row r="673" spans="1:5" x14ac:dyDescent="0.2">
      <c r="A673" s="1">
        <v>44238</v>
      </c>
      <c r="B673">
        <f>21.25</f>
        <v>21.25</v>
      </c>
      <c r="C673">
        <f>21.2082</f>
        <v>21.208200000000001</v>
      </c>
      <c r="D673">
        <f>19.83</f>
        <v>19.829999999999998</v>
      </c>
      <c r="E673">
        <f>17.58</f>
        <v>17.579999999999998</v>
      </c>
    </row>
    <row r="674" spans="1:5" x14ac:dyDescent="0.2">
      <c r="A674" s="1">
        <v>44237</v>
      </c>
      <c r="B674">
        <f>21.99</f>
        <v>21.99</v>
      </c>
      <c r="C674">
        <f>22.4678</f>
        <v>22.4678</v>
      </c>
      <c r="D674">
        <f>20.65</f>
        <v>20.65</v>
      </c>
      <c r="E674">
        <f>17.38</f>
        <v>17.38</v>
      </c>
    </row>
    <row r="675" spans="1:5" x14ac:dyDescent="0.2">
      <c r="A675" s="1">
        <v>44236</v>
      </c>
      <c r="B675">
        <f>21.63</f>
        <v>21.63</v>
      </c>
      <c r="C675">
        <f>21.1232</f>
        <v>21.123200000000001</v>
      </c>
      <c r="D675">
        <f>19.86</f>
        <v>19.86</v>
      </c>
      <c r="E675">
        <f>17.88</f>
        <v>17.88</v>
      </c>
    </row>
    <row r="676" spans="1:5" x14ac:dyDescent="0.2">
      <c r="A676" s="1">
        <v>44235</v>
      </c>
      <c r="B676">
        <f>21.24</f>
        <v>21.24</v>
      </c>
      <c r="C676">
        <f>20.4375</f>
        <v>20.4375</v>
      </c>
      <c r="D676">
        <f>19.56</f>
        <v>19.559999999999999</v>
      </c>
      <c r="E676">
        <f>17.37</f>
        <v>17.37</v>
      </c>
    </row>
    <row r="677" spans="1:5" x14ac:dyDescent="0.2">
      <c r="A677" s="1">
        <v>44232</v>
      </c>
      <c r="B677">
        <f>20.87</f>
        <v>20.87</v>
      </c>
      <c r="C677">
        <f>20.6436</f>
        <v>20.643599999999999</v>
      </c>
      <c r="D677">
        <f>19.79</f>
        <v>19.79</v>
      </c>
      <c r="E677">
        <f>18.23</f>
        <v>18.23</v>
      </c>
    </row>
    <row r="678" spans="1:5" x14ac:dyDescent="0.2">
      <c r="A678" s="1">
        <v>44231</v>
      </c>
      <c r="B678">
        <f>21.77</f>
        <v>21.77</v>
      </c>
      <c r="C678">
        <f>21.3727</f>
        <v>21.372699999999998</v>
      </c>
      <c r="D678">
        <f>20.59</f>
        <v>20.59</v>
      </c>
      <c r="E678">
        <f>18.2</f>
        <v>18.2</v>
      </c>
    </row>
    <row r="679" spans="1:5" x14ac:dyDescent="0.2">
      <c r="A679" s="1">
        <v>44230</v>
      </c>
      <c r="B679">
        <f>22.91</f>
        <v>22.91</v>
      </c>
      <c r="C679">
        <f>22.7195</f>
        <v>22.7195</v>
      </c>
      <c r="D679">
        <f>21.67</f>
        <v>21.67</v>
      </c>
      <c r="E679">
        <f>18.5</f>
        <v>18.5</v>
      </c>
    </row>
    <row r="680" spans="1:5" x14ac:dyDescent="0.2">
      <c r="A680" s="1">
        <v>44229</v>
      </c>
      <c r="B680">
        <f>25.56</f>
        <v>25.56</v>
      </c>
      <c r="C680">
        <f>24.0219</f>
        <v>24.021899999999999</v>
      </c>
      <c r="D680">
        <f>22.26</f>
        <v>22.26</v>
      </c>
      <c r="E680">
        <f>18.42</f>
        <v>18.420000000000002</v>
      </c>
    </row>
    <row r="681" spans="1:5" x14ac:dyDescent="0.2">
      <c r="A681" s="1">
        <v>44228</v>
      </c>
      <c r="B681">
        <f>30.24</f>
        <v>30.24</v>
      </c>
      <c r="C681">
        <f>27.3261</f>
        <v>27.3261</v>
      </c>
      <c r="D681">
        <f>24.81</f>
        <v>24.81</v>
      </c>
      <c r="E681">
        <f>18.19</f>
        <v>18.190000000000001</v>
      </c>
    </row>
    <row r="682" spans="1:5" x14ac:dyDescent="0.2">
      <c r="A682" s="1">
        <v>44225</v>
      </c>
      <c r="B682">
        <f>33.09</f>
        <v>33.090000000000003</v>
      </c>
      <c r="C682">
        <f>29.0082</f>
        <v>29.008199999999999</v>
      </c>
      <c r="D682">
        <f>26.2</f>
        <v>26.2</v>
      </c>
      <c r="E682">
        <f>18.46</f>
        <v>18.46</v>
      </c>
    </row>
    <row r="683" spans="1:5" x14ac:dyDescent="0.2">
      <c r="A683" s="1">
        <v>44224</v>
      </c>
      <c r="B683">
        <f>30.21</f>
        <v>30.21</v>
      </c>
      <c r="C683">
        <f>25.9287</f>
        <v>25.928699999999999</v>
      </c>
      <c r="D683">
        <f>23.27</f>
        <v>23.27</v>
      </c>
      <c r="E683">
        <f>18.04</f>
        <v>18.04</v>
      </c>
    </row>
    <row r="684" spans="1:5" x14ac:dyDescent="0.2">
      <c r="A684" s="1">
        <v>44223</v>
      </c>
      <c r="B684">
        <f>37.21</f>
        <v>37.21</v>
      </c>
      <c r="C684">
        <f>26.7698</f>
        <v>26.7698</v>
      </c>
      <c r="D684">
        <f>23.91</f>
        <v>23.91</v>
      </c>
      <c r="E684">
        <f>18.24</f>
        <v>18.239999999999998</v>
      </c>
    </row>
    <row r="685" spans="1:5" x14ac:dyDescent="0.2">
      <c r="A685" s="1">
        <v>44222</v>
      </c>
      <c r="B685">
        <f>23.02</f>
        <v>23.02</v>
      </c>
      <c r="C685">
        <f>23.0994</f>
        <v>23.099399999999999</v>
      </c>
      <c r="D685">
        <f>20.86</f>
        <v>20.86</v>
      </c>
      <c r="E685">
        <f>17.69</f>
        <v>17.690000000000001</v>
      </c>
    </row>
    <row r="686" spans="1:5" x14ac:dyDescent="0.2">
      <c r="A686" s="1">
        <v>44221</v>
      </c>
      <c r="B686">
        <f>23.19</f>
        <v>23.19</v>
      </c>
      <c r="C686">
        <f>26.0059</f>
        <v>26.0059</v>
      </c>
      <c r="D686">
        <f>23.1</f>
        <v>23.1</v>
      </c>
      <c r="E686">
        <f>16.95</f>
        <v>16.95</v>
      </c>
    </row>
    <row r="687" spans="1:5" x14ac:dyDescent="0.2">
      <c r="A687" s="1">
        <v>44218</v>
      </c>
      <c r="B687">
        <f>21.91</f>
        <v>21.91</v>
      </c>
      <c r="C687">
        <f>21.317</f>
        <v>21.317</v>
      </c>
      <c r="D687">
        <f>19.74</f>
        <v>19.739999999999998</v>
      </c>
      <c r="E687">
        <f>17.7</f>
        <v>17.7</v>
      </c>
    </row>
    <row r="688" spans="1:5" x14ac:dyDescent="0.2">
      <c r="A688" s="1">
        <v>44217</v>
      </c>
      <c r="B688">
        <f>21.32</f>
        <v>21.32</v>
      </c>
      <c r="C688">
        <f>19.9362</f>
        <v>19.936199999999999</v>
      </c>
      <c r="D688">
        <f>18.83</f>
        <v>18.829999999999998</v>
      </c>
      <c r="E688">
        <f>17.64</f>
        <v>17.64</v>
      </c>
    </row>
    <row r="689" spans="1:5" x14ac:dyDescent="0.2">
      <c r="A689" s="1">
        <v>44216</v>
      </c>
      <c r="B689">
        <f>21.58</f>
        <v>21.58</v>
      </c>
      <c r="C689">
        <f>20.2772</f>
        <v>20.277200000000001</v>
      </c>
      <c r="D689">
        <f>18.85</f>
        <v>18.850000000000001</v>
      </c>
      <c r="E689">
        <f>17.62</f>
        <v>17.62</v>
      </c>
    </row>
    <row r="690" spans="1:5" x14ac:dyDescent="0.2">
      <c r="A690" s="1">
        <v>44215</v>
      </c>
      <c r="B690">
        <f>23.24</f>
        <v>23.24</v>
      </c>
      <c r="C690">
        <f>21.749</f>
        <v>21.748999999999999</v>
      </c>
      <c r="D690">
        <f>20.28</f>
        <v>20.28</v>
      </c>
      <c r="E690">
        <f>17.64</f>
        <v>17.64</v>
      </c>
    </row>
    <row r="691" spans="1:5" x14ac:dyDescent="0.2">
      <c r="A691" s="1">
        <v>44214</v>
      </c>
      <c r="B691" t="e">
        <f>NA()</f>
        <v>#N/A</v>
      </c>
      <c r="C691">
        <f>21.9473</f>
        <v>21.947299999999998</v>
      </c>
      <c r="D691">
        <f>20.41</f>
        <v>20.41</v>
      </c>
      <c r="E691">
        <f>17.66</f>
        <v>17.66</v>
      </c>
    </row>
    <row r="692" spans="1:5" x14ac:dyDescent="0.2">
      <c r="A692" s="1">
        <v>44211</v>
      </c>
      <c r="B692">
        <f>24.34</f>
        <v>24.34</v>
      </c>
      <c r="C692">
        <f>22.4344</f>
        <v>22.4344</v>
      </c>
      <c r="D692">
        <f>20.72</f>
        <v>20.72</v>
      </c>
      <c r="E692">
        <f>16.99</f>
        <v>16.989999999999998</v>
      </c>
    </row>
    <row r="693" spans="1:5" x14ac:dyDescent="0.2">
      <c r="A693" s="1">
        <v>44210</v>
      </c>
      <c r="B693">
        <f>23.25</f>
        <v>23.25</v>
      </c>
      <c r="C693">
        <f>19.6932</f>
        <v>19.693200000000001</v>
      </c>
      <c r="D693">
        <f>18.88</f>
        <v>18.88</v>
      </c>
      <c r="E693">
        <f>16.31</f>
        <v>16.309999999999999</v>
      </c>
    </row>
    <row r="694" spans="1:5" x14ac:dyDescent="0.2">
      <c r="A694" s="1">
        <v>44209</v>
      </c>
      <c r="B694">
        <f>22.21</f>
        <v>22.21</v>
      </c>
      <c r="C694">
        <f>21.0937</f>
        <v>21.093699999999998</v>
      </c>
      <c r="D694">
        <f>19.79</f>
        <v>19.79</v>
      </c>
      <c r="E694">
        <f>16.38</f>
        <v>16.38</v>
      </c>
    </row>
    <row r="695" spans="1:5" x14ac:dyDescent="0.2">
      <c r="A695" s="1">
        <v>44208</v>
      </c>
      <c r="B695">
        <f>23.33</f>
        <v>23.33</v>
      </c>
      <c r="C695">
        <f>21.9516</f>
        <v>21.951599999999999</v>
      </c>
      <c r="D695">
        <f>20.47</f>
        <v>20.47</v>
      </c>
      <c r="E695">
        <f>16.4</f>
        <v>16.399999999999999</v>
      </c>
    </row>
    <row r="696" spans="1:5" x14ac:dyDescent="0.2">
      <c r="A696" s="1">
        <v>44207</v>
      </c>
      <c r="B696">
        <f>24.08</f>
        <v>24.08</v>
      </c>
      <c r="C696">
        <f>21.9797</f>
        <v>21.979700000000001</v>
      </c>
      <c r="D696">
        <f>20.92</f>
        <v>20.92</v>
      </c>
      <c r="E696">
        <f>16.7</f>
        <v>16.7</v>
      </c>
    </row>
    <row r="697" spans="1:5" x14ac:dyDescent="0.2">
      <c r="A697" s="1">
        <v>44204</v>
      </c>
      <c r="B697">
        <f>21.56</f>
        <v>21.56</v>
      </c>
      <c r="C697">
        <f>20.5276</f>
        <v>20.5276</v>
      </c>
      <c r="D697">
        <f>19.53</f>
        <v>19.53</v>
      </c>
      <c r="E697">
        <f>16.79</f>
        <v>16.79</v>
      </c>
    </row>
    <row r="698" spans="1:5" x14ac:dyDescent="0.2">
      <c r="A698" s="1">
        <v>44203</v>
      </c>
      <c r="B698">
        <f>22.37</f>
        <v>22.37</v>
      </c>
      <c r="C698">
        <f>21.0154</f>
        <v>21.0154</v>
      </c>
      <c r="D698">
        <f>20.55</f>
        <v>20.55</v>
      </c>
      <c r="E698">
        <f>16.42</f>
        <v>16.420000000000002</v>
      </c>
    </row>
    <row r="699" spans="1:5" x14ac:dyDescent="0.2">
      <c r="A699" s="1">
        <v>44202</v>
      </c>
      <c r="B699">
        <f>25.07</f>
        <v>25.07</v>
      </c>
      <c r="C699">
        <f>21.4423</f>
        <v>21.442299999999999</v>
      </c>
      <c r="D699">
        <f>21.69</f>
        <v>21.69</v>
      </c>
      <c r="E699">
        <f>17.17</f>
        <v>17.170000000000002</v>
      </c>
    </row>
    <row r="700" spans="1:5" x14ac:dyDescent="0.2">
      <c r="A700" s="1">
        <v>44201</v>
      </c>
      <c r="B700">
        <f>25.34</f>
        <v>25.34</v>
      </c>
      <c r="C700">
        <f>25.1986</f>
        <v>25.198599999999999</v>
      </c>
      <c r="D700">
        <f>25.33</f>
        <v>25.33</v>
      </c>
      <c r="E700">
        <f>18.17</f>
        <v>18.170000000000002</v>
      </c>
    </row>
    <row r="701" spans="1:5" x14ac:dyDescent="0.2">
      <c r="A701" s="1">
        <v>44200</v>
      </c>
      <c r="B701">
        <f>26.97</f>
        <v>26.97</v>
      </c>
      <c r="C701">
        <f>24.8416</f>
        <v>24.8416</v>
      </c>
      <c r="D701">
        <f>25.12</f>
        <v>25.12</v>
      </c>
      <c r="E701">
        <f>18.3</f>
        <v>18.3</v>
      </c>
    </row>
    <row r="702" spans="1:5" x14ac:dyDescent="0.2">
      <c r="A702" s="1">
        <v>44196</v>
      </c>
      <c r="B702">
        <f>22.75</f>
        <v>22.75</v>
      </c>
      <c r="C702" t="e">
        <f>NA()</f>
        <v>#N/A</v>
      </c>
      <c r="D702">
        <f>24.35</f>
        <v>24.35</v>
      </c>
      <c r="E702">
        <f>18.44</f>
        <v>18.440000000000001</v>
      </c>
    </row>
    <row r="703" spans="1:5" x14ac:dyDescent="0.2">
      <c r="A703" s="1">
        <v>44195</v>
      </c>
      <c r="B703">
        <f>22.77</f>
        <v>22.77</v>
      </c>
      <c r="C703">
        <f>23.369</f>
        <v>23.369</v>
      </c>
      <c r="D703">
        <f>22.88</f>
        <v>22.88</v>
      </c>
      <c r="E703">
        <f>18.41</f>
        <v>18.41</v>
      </c>
    </row>
    <row r="704" spans="1:5" x14ac:dyDescent="0.2">
      <c r="A704" s="1">
        <v>44194</v>
      </c>
      <c r="B704">
        <f>23.08</f>
        <v>23.08</v>
      </c>
      <c r="C704">
        <f>22.3828</f>
        <v>22.3828</v>
      </c>
      <c r="D704">
        <f>22.02</f>
        <v>22.02</v>
      </c>
      <c r="E704">
        <f>18.44</f>
        <v>18.440000000000001</v>
      </c>
    </row>
    <row r="705" spans="1:5" x14ac:dyDescent="0.2">
      <c r="A705" s="1">
        <v>44193</v>
      </c>
      <c r="B705">
        <f>21.7</f>
        <v>21.7</v>
      </c>
      <c r="C705">
        <f>21.7054</f>
        <v>21.705400000000001</v>
      </c>
      <c r="D705" t="e">
        <f>NA()</f>
        <v>#N/A</v>
      </c>
      <c r="E705">
        <f>19.15</f>
        <v>19.149999999999999</v>
      </c>
    </row>
    <row r="706" spans="1:5" x14ac:dyDescent="0.2">
      <c r="A706" s="1">
        <v>44189</v>
      </c>
      <c r="B706">
        <f>21.53</f>
        <v>21.53</v>
      </c>
      <c r="C706" t="e">
        <f>NA()</f>
        <v>#N/A</v>
      </c>
      <c r="D706">
        <f>22.02</f>
        <v>22.02</v>
      </c>
      <c r="E706">
        <f>18.68</f>
        <v>18.68</v>
      </c>
    </row>
    <row r="707" spans="1:5" x14ac:dyDescent="0.2">
      <c r="A707" s="1">
        <v>44188</v>
      </c>
      <c r="B707">
        <f>23.31</f>
        <v>23.31</v>
      </c>
      <c r="C707">
        <f>23.1531</f>
        <v>23.153099999999998</v>
      </c>
      <c r="D707">
        <f>22.38</f>
        <v>22.38</v>
      </c>
      <c r="E707">
        <f>18.86</f>
        <v>18.86</v>
      </c>
    </row>
    <row r="708" spans="1:5" x14ac:dyDescent="0.2">
      <c r="A708" s="1">
        <v>44187</v>
      </c>
      <c r="B708">
        <f>24.23</f>
        <v>24.23</v>
      </c>
      <c r="C708">
        <f>25.2067</f>
        <v>25.206700000000001</v>
      </c>
      <c r="D708">
        <f>24.69</f>
        <v>24.69</v>
      </c>
      <c r="E708">
        <f>19.58</f>
        <v>19.579999999999998</v>
      </c>
    </row>
    <row r="709" spans="1:5" x14ac:dyDescent="0.2">
      <c r="A709" s="1">
        <v>44186</v>
      </c>
      <c r="B709">
        <f>25.16</f>
        <v>25.16</v>
      </c>
      <c r="C709">
        <f>27.2641</f>
        <v>27.264099999999999</v>
      </c>
      <c r="D709">
        <f>26.76</f>
        <v>26.76</v>
      </c>
      <c r="E709">
        <f>20.22</f>
        <v>20.22</v>
      </c>
    </row>
    <row r="710" spans="1:5" x14ac:dyDescent="0.2">
      <c r="A710" s="1">
        <v>44183</v>
      </c>
      <c r="B710">
        <f>21.57</f>
        <v>21.57</v>
      </c>
      <c r="C710">
        <f>21.6252</f>
        <v>21.6252</v>
      </c>
      <c r="D710">
        <f>22.38</f>
        <v>22.38</v>
      </c>
      <c r="E710">
        <f>18.68</f>
        <v>18.68</v>
      </c>
    </row>
    <row r="711" spans="1:5" x14ac:dyDescent="0.2">
      <c r="A711" s="1">
        <v>44182</v>
      </c>
      <c r="B711">
        <f>21.93</f>
        <v>21.93</v>
      </c>
      <c r="C711">
        <f>20.5099</f>
        <v>20.509899999999998</v>
      </c>
      <c r="D711">
        <f>22</f>
        <v>22</v>
      </c>
      <c r="E711">
        <f>18.84</f>
        <v>18.84</v>
      </c>
    </row>
    <row r="712" spans="1:5" x14ac:dyDescent="0.2">
      <c r="A712" s="1">
        <v>44181</v>
      </c>
      <c r="B712">
        <f>22.5</f>
        <v>22.5</v>
      </c>
      <c r="C712">
        <f>21.1372</f>
        <v>21.1372</v>
      </c>
      <c r="D712">
        <f>22.93</f>
        <v>22.93</v>
      </c>
      <c r="E712" t="e">
        <f>NA()</f>
        <v>#N/A</v>
      </c>
    </row>
    <row r="713" spans="1:5" x14ac:dyDescent="0.2">
      <c r="A713" s="1">
        <v>44180</v>
      </c>
      <c r="B713">
        <f>22.89</f>
        <v>22.89</v>
      </c>
      <c r="C713">
        <f>21.7301</f>
        <v>21.7301</v>
      </c>
      <c r="D713">
        <f>23.52</f>
        <v>23.52</v>
      </c>
      <c r="E713">
        <f>19.21</f>
        <v>19.21</v>
      </c>
    </row>
    <row r="714" spans="1:5" x14ac:dyDescent="0.2">
      <c r="A714" s="1">
        <v>44179</v>
      </c>
      <c r="B714">
        <f>24.72</f>
        <v>24.72</v>
      </c>
      <c r="C714">
        <f>22.521</f>
        <v>22.521000000000001</v>
      </c>
      <c r="D714">
        <f>23.38</f>
        <v>23.38</v>
      </c>
      <c r="E714">
        <f>18.78</f>
        <v>18.78</v>
      </c>
    </row>
    <row r="715" spans="1:5" x14ac:dyDescent="0.2">
      <c r="A715" s="1">
        <v>44176</v>
      </c>
      <c r="B715">
        <f>23.31</f>
        <v>23.31</v>
      </c>
      <c r="C715">
        <f>23.6144</f>
        <v>23.6144</v>
      </c>
      <c r="D715">
        <f>23.88</f>
        <v>23.88</v>
      </c>
      <c r="E715">
        <f>20.28</f>
        <v>20.28</v>
      </c>
    </row>
    <row r="716" spans="1:5" x14ac:dyDescent="0.2">
      <c r="A716" s="1">
        <v>44175</v>
      </c>
      <c r="B716">
        <f>22.52</f>
        <v>22.52</v>
      </c>
      <c r="C716">
        <f>20.6617</f>
        <v>20.6617</v>
      </c>
      <c r="D716">
        <f>21.88</f>
        <v>21.88</v>
      </c>
      <c r="E716">
        <f>20.03</f>
        <v>20.03</v>
      </c>
    </row>
    <row r="717" spans="1:5" x14ac:dyDescent="0.2">
      <c r="A717" s="1">
        <v>44174</v>
      </c>
      <c r="B717">
        <f>22.27</f>
        <v>22.27</v>
      </c>
      <c r="C717">
        <f>20.0186</f>
        <v>20.018599999999999</v>
      </c>
      <c r="D717">
        <f>21.86</f>
        <v>21.86</v>
      </c>
      <c r="E717">
        <f>19.57</f>
        <v>19.57</v>
      </c>
    </row>
    <row r="718" spans="1:5" x14ac:dyDescent="0.2">
      <c r="A718" s="1">
        <v>44173</v>
      </c>
      <c r="B718">
        <f>20.68</f>
        <v>20.68</v>
      </c>
      <c r="C718">
        <f>20.5353</f>
        <v>20.535299999999999</v>
      </c>
      <c r="D718">
        <f>21.71</f>
        <v>21.71</v>
      </c>
      <c r="E718">
        <f>17.48</f>
        <v>17.48</v>
      </c>
    </row>
    <row r="719" spans="1:5" x14ac:dyDescent="0.2">
      <c r="A719" s="1">
        <v>44172</v>
      </c>
      <c r="B719">
        <f>21.3</f>
        <v>21.3</v>
      </c>
      <c r="C719">
        <f>21.4355</f>
        <v>21.435500000000001</v>
      </c>
      <c r="D719">
        <f>23.08</f>
        <v>23.08</v>
      </c>
      <c r="E719">
        <f>17.5</f>
        <v>17.5</v>
      </c>
    </row>
    <row r="720" spans="1:5" x14ac:dyDescent="0.2">
      <c r="A720" s="1">
        <v>44169</v>
      </c>
      <c r="B720">
        <f>20.79</f>
        <v>20.79</v>
      </c>
      <c r="C720">
        <f>20.8186</f>
        <v>20.8186</v>
      </c>
      <c r="D720">
        <f>22.76</f>
        <v>22.76</v>
      </c>
      <c r="E720">
        <f>17.35</f>
        <v>17.350000000000001</v>
      </c>
    </row>
    <row r="721" spans="1:5" x14ac:dyDescent="0.2">
      <c r="A721" s="1">
        <v>44168</v>
      </c>
      <c r="B721">
        <f>21.28</f>
        <v>21.28</v>
      </c>
      <c r="C721">
        <f>21.3172</f>
        <v>21.3172</v>
      </c>
      <c r="D721">
        <f>22.84</f>
        <v>22.84</v>
      </c>
      <c r="E721">
        <f>17.11</f>
        <v>17.11</v>
      </c>
    </row>
    <row r="722" spans="1:5" x14ac:dyDescent="0.2">
      <c r="A722" s="1">
        <v>44167</v>
      </c>
      <c r="B722">
        <f>21.17</f>
        <v>21.17</v>
      </c>
      <c r="C722">
        <f>21.694</f>
        <v>21.693999999999999</v>
      </c>
      <c r="D722">
        <f>22.91</f>
        <v>22.91</v>
      </c>
      <c r="E722">
        <f>18.34</f>
        <v>18.34</v>
      </c>
    </row>
    <row r="723" spans="1:5" x14ac:dyDescent="0.2">
      <c r="A723" s="1">
        <v>44166</v>
      </c>
      <c r="B723">
        <f>20.77</f>
        <v>20.77</v>
      </c>
      <c r="C723">
        <f>21.3014</f>
        <v>21.301400000000001</v>
      </c>
      <c r="D723">
        <f>22.47</f>
        <v>22.47</v>
      </c>
      <c r="E723">
        <f>19.45</f>
        <v>19.45</v>
      </c>
    </row>
    <row r="724" spans="1:5" x14ac:dyDescent="0.2">
      <c r="A724" s="1">
        <v>44165</v>
      </c>
      <c r="B724">
        <f>20.57</f>
        <v>20.57</v>
      </c>
      <c r="C724">
        <f>22.9149</f>
        <v>22.914899999999999</v>
      </c>
      <c r="D724">
        <f>23.8</f>
        <v>23.8</v>
      </c>
      <c r="E724">
        <f>20.49</f>
        <v>20.49</v>
      </c>
    </row>
    <row r="725" spans="1:5" x14ac:dyDescent="0.2">
      <c r="A725" s="1">
        <v>44162</v>
      </c>
      <c r="B725">
        <f>20.84</f>
        <v>20.84</v>
      </c>
      <c r="C725">
        <f>20.0788</f>
        <v>20.078800000000001</v>
      </c>
      <c r="D725">
        <f>20.45</f>
        <v>20.45</v>
      </c>
      <c r="E725">
        <f>19.9</f>
        <v>19.899999999999999</v>
      </c>
    </row>
    <row r="726" spans="1:5" x14ac:dyDescent="0.2">
      <c r="A726" s="1">
        <v>44161</v>
      </c>
      <c r="B726" t="e">
        <f>NA()</f>
        <v>#N/A</v>
      </c>
      <c r="C726">
        <f>20.2346</f>
        <v>20.2346</v>
      </c>
      <c r="D726">
        <f>20.29</f>
        <v>20.29</v>
      </c>
      <c r="E726">
        <f>21.83</f>
        <v>21.83</v>
      </c>
    </row>
    <row r="727" spans="1:5" x14ac:dyDescent="0.2">
      <c r="A727" s="1">
        <v>44160</v>
      </c>
      <c r="B727">
        <f>21.25</f>
        <v>21.25</v>
      </c>
      <c r="C727">
        <f>20.7778</f>
        <v>20.777799999999999</v>
      </c>
      <c r="D727">
        <f>20.67</f>
        <v>20.67</v>
      </c>
      <c r="E727">
        <f>21.6</f>
        <v>21.6</v>
      </c>
    </row>
    <row r="728" spans="1:5" x14ac:dyDescent="0.2">
      <c r="A728" s="1">
        <v>44159</v>
      </c>
      <c r="B728">
        <f>21.64</f>
        <v>21.64</v>
      </c>
      <c r="C728">
        <f>21.3674</f>
        <v>21.3674</v>
      </c>
      <c r="D728">
        <f>20.81</f>
        <v>20.81</v>
      </c>
      <c r="E728">
        <f>21.39</f>
        <v>21.39</v>
      </c>
    </row>
    <row r="729" spans="1:5" x14ac:dyDescent="0.2">
      <c r="A729" s="1">
        <v>44158</v>
      </c>
      <c r="B729">
        <f>22.66</f>
        <v>22.66</v>
      </c>
      <c r="C729">
        <f>22.4894</f>
        <v>22.4894</v>
      </c>
      <c r="D729">
        <f>21.84</f>
        <v>21.84</v>
      </c>
      <c r="E729">
        <f>21.78</f>
        <v>21.78</v>
      </c>
    </row>
    <row r="730" spans="1:5" x14ac:dyDescent="0.2">
      <c r="A730" s="1">
        <v>44155</v>
      </c>
      <c r="B730">
        <f>23.7</f>
        <v>23.7</v>
      </c>
      <c r="C730">
        <f>21.4393</f>
        <v>21.439299999999999</v>
      </c>
      <c r="D730">
        <f>21.08</f>
        <v>21.08</v>
      </c>
      <c r="E730">
        <f>21.8</f>
        <v>21.8</v>
      </c>
    </row>
    <row r="731" spans="1:5" x14ac:dyDescent="0.2">
      <c r="A731" s="1">
        <v>44154</v>
      </c>
      <c r="B731">
        <f>23.11</f>
        <v>23.11</v>
      </c>
      <c r="C731">
        <f>21.9714</f>
        <v>21.971399999999999</v>
      </c>
      <c r="D731">
        <f>21.75</f>
        <v>21.75</v>
      </c>
      <c r="E731">
        <f>21.7</f>
        <v>21.7</v>
      </c>
    </row>
    <row r="732" spans="1:5" x14ac:dyDescent="0.2">
      <c r="A732" s="1">
        <v>44153</v>
      </c>
      <c r="B732">
        <f>23.84</f>
        <v>23.84</v>
      </c>
      <c r="C732">
        <f>20.9029</f>
        <v>20.902899999999999</v>
      </c>
      <c r="D732">
        <f>21.3</f>
        <v>21.3</v>
      </c>
      <c r="E732">
        <f>20.08</f>
        <v>20.079999999999998</v>
      </c>
    </row>
    <row r="733" spans="1:5" x14ac:dyDescent="0.2">
      <c r="A733" s="1">
        <v>44152</v>
      </c>
      <c r="B733">
        <f>22.71</f>
        <v>22.71</v>
      </c>
      <c r="C733">
        <f>22.2529</f>
        <v>22.2529</v>
      </c>
      <c r="D733">
        <f>22.52</f>
        <v>22.52</v>
      </c>
      <c r="E733">
        <f>20.58</f>
        <v>20.58</v>
      </c>
    </row>
    <row r="734" spans="1:5" x14ac:dyDescent="0.2">
      <c r="A734" s="1">
        <v>44151</v>
      </c>
      <c r="B734">
        <f>22.45</f>
        <v>22.45</v>
      </c>
      <c r="C734">
        <f>22.3849</f>
        <v>22.384899999999998</v>
      </c>
      <c r="D734">
        <f>22.81</f>
        <v>22.81</v>
      </c>
      <c r="E734">
        <f>20.28</f>
        <v>20.28</v>
      </c>
    </row>
    <row r="735" spans="1:5" x14ac:dyDescent="0.2">
      <c r="A735" s="1">
        <v>44148</v>
      </c>
      <c r="B735">
        <f>23.1</f>
        <v>23.1</v>
      </c>
      <c r="C735">
        <f>23.1431</f>
        <v>23.1431</v>
      </c>
      <c r="D735">
        <f>22.22</f>
        <v>22.22</v>
      </c>
      <c r="E735">
        <f>20.46</f>
        <v>20.46</v>
      </c>
    </row>
    <row r="736" spans="1:5" x14ac:dyDescent="0.2">
      <c r="A736" s="1">
        <v>44147</v>
      </c>
      <c r="B736">
        <f>25.35</f>
        <v>25.35</v>
      </c>
      <c r="C736">
        <f>23.3023</f>
        <v>23.302299999999999</v>
      </c>
      <c r="D736">
        <f>22.21</f>
        <v>22.21</v>
      </c>
      <c r="E736">
        <f>21.34</f>
        <v>21.34</v>
      </c>
    </row>
    <row r="737" spans="1:5" x14ac:dyDescent="0.2">
      <c r="A737" s="1">
        <v>44146</v>
      </c>
      <c r="B737">
        <f>23.45</f>
        <v>23.45</v>
      </c>
      <c r="C737">
        <f>23.1256</f>
        <v>23.125599999999999</v>
      </c>
      <c r="D737">
        <f>21.86</f>
        <v>21.86</v>
      </c>
      <c r="E737">
        <f>21.09</f>
        <v>21.09</v>
      </c>
    </row>
    <row r="738" spans="1:5" x14ac:dyDescent="0.2">
      <c r="A738" s="1">
        <v>44145</v>
      </c>
      <c r="B738">
        <f>24.8</f>
        <v>24.8</v>
      </c>
      <c r="C738">
        <f>25.0803</f>
        <v>25.080300000000001</v>
      </c>
      <c r="D738">
        <f>23.25</f>
        <v>23.25</v>
      </c>
      <c r="E738">
        <f>21.27</f>
        <v>21.27</v>
      </c>
    </row>
    <row r="739" spans="1:5" x14ac:dyDescent="0.2">
      <c r="A739" s="1">
        <v>44144</v>
      </c>
      <c r="B739">
        <f>25.75</f>
        <v>25.75</v>
      </c>
      <c r="C739">
        <f>23.8631</f>
        <v>23.863099999999999</v>
      </c>
      <c r="D739">
        <f>22.6</f>
        <v>22.6</v>
      </c>
      <c r="E739">
        <f>20.23</f>
        <v>20.23</v>
      </c>
    </row>
    <row r="740" spans="1:5" x14ac:dyDescent="0.2">
      <c r="A740" s="1">
        <v>44141</v>
      </c>
      <c r="B740">
        <f>24.86</f>
        <v>24.86</v>
      </c>
      <c r="C740">
        <f>25.6153</f>
        <v>25.615300000000001</v>
      </c>
      <c r="D740">
        <f>23.49</f>
        <v>23.49</v>
      </c>
      <c r="E740">
        <f>21.52</f>
        <v>21.52</v>
      </c>
    </row>
    <row r="741" spans="1:5" x14ac:dyDescent="0.2">
      <c r="A741" s="1">
        <v>44140</v>
      </c>
      <c r="B741">
        <f>27.58</f>
        <v>27.58</v>
      </c>
      <c r="C741">
        <f>26.3725</f>
        <v>26.372499999999999</v>
      </c>
      <c r="D741">
        <f>24.05</f>
        <v>24.05</v>
      </c>
      <c r="E741">
        <f>22.43</f>
        <v>22.43</v>
      </c>
    </row>
    <row r="742" spans="1:5" x14ac:dyDescent="0.2">
      <c r="A742" s="1">
        <v>44139</v>
      </c>
      <c r="B742">
        <f>29.57</f>
        <v>29.57</v>
      </c>
      <c r="C742">
        <f>28.0023</f>
        <v>28.002300000000002</v>
      </c>
      <c r="D742">
        <f>25.02</f>
        <v>25.02</v>
      </c>
      <c r="E742">
        <f>26.32</f>
        <v>26.32</v>
      </c>
    </row>
    <row r="743" spans="1:5" x14ac:dyDescent="0.2">
      <c r="A743" s="1">
        <v>44138</v>
      </c>
      <c r="B743">
        <f>35.55</f>
        <v>35.549999999999997</v>
      </c>
      <c r="C743">
        <f>32.763</f>
        <v>32.762999999999998</v>
      </c>
      <c r="D743">
        <f>28.91</f>
        <v>28.91</v>
      </c>
      <c r="E743">
        <f>26.23</f>
        <v>26.23</v>
      </c>
    </row>
    <row r="744" spans="1:5" x14ac:dyDescent="0.2">
      <c r="A744" s="1">
        <v>44137</v>
      </c>
      <c r="B744">
        <f>37.13</f>
        <v>37.130000000000003</v>
      </c>
      <c r="C744">
        <f>35.233</f>
        <v>35.232999999999997</v>
      </c>
      <c r="D744">
        <f>31</f>
        <v>31</v>
      </c>
      <c r="E744">
        <f>25.99</f>
        <v>25.99</v>
      </c>
    </row>
    <row r="745" spans="1:5" x14ac:dyDescent="0.2">
      <c r="A745" s="1">
        <v>44134</v>
      </c>
      <c r="B745">
        <f>38.02</f>
        <v>38.020000000000003</v>
      </c>
      <c r="C745">
        <f>35.3472</f>
        <v>35.347200000000001</v>
      </c>
      <c r="D745">
        <f>31.82</f>
        <v>31.82</v>
      </c>
      <c r="E745">
        <f>25.65</f>
        <v>25.65</v>
      </c>
    </row>
    <row r="746" spans="1:5" x14ac:dyDescent="0.2">
      <c r="A746" s="1">
        <v>44133</v>
      </c>
      <c r="B746">
        <f>37.59</f>
        <v>37.590000000000003</v>
      </c>
      <c r="C746">
        <f>37.5504</f>
        <v>37.550400000000003</v>
      </c>
      <c r="D746">
        <f>33.48</f>
        <v>33.479999999999997</v>
      </c>
      <c r="E746">
        <f>25.8</f>
        <v>25.8</v>
      </c>
    </row>
    <row r="747" spans="1:5" x14ac:dyDescent="0.2">
      <c r="A747" s="1">
        <v>44132</v>
      </c>
      <c r="B747">
        <f>40.28</f>
        <v>40.28</v>
      </c>
      <c r="C747">
        <f>38.2587</f>
        <v>38.258699999999997</v>
      </c>
      <c r="D747">
        <f>34.09</f>
        <v>34.090000000000003</v>
      </c>
      <c r="E747">
        <f>24.6</f>
        <v>24.6</v>
      </c>
    </row>
    <row r="748" spans="1:5" x14ac:dyDescent="0.2">
      <c r="A748" s="1">
        <v>44131</v>
      </c>
      <c r="B748">
        <f>33.35</f>
        <v>33.35</v>
      </c>
      <c r="C748">
        <f>32.7397</f>
        <v>32.739699999999999</v>
      </c>
      <c r="D748">
        <f>29.19</f>
        <v>29.19</v>
      </c>
      <c r="E748">
        <f>23.28</f>
        <v>23.28</v>
      </c>
    </row>
    <row r="749" spans="1:5" x14ac:dyDescent="0.2">
      <c r="A749" s="1">
        <v>44130</v>
      </c>
      <c r="B749">
        <f>32.46</f>
        <v>32.46</v>
      </c>
      <c r="C749">
        <f>31.7557</f>
        <v>31.755700000000001</v>
      </c>
      <c r="D749">
        <f>28.45</f>
        <v>28.45</v>
      </c>
      <c r="E749">
        <f>22.95</f>
        <v>22.95</v>
      </c>
    </row>
    <row r="750" spans="1:5" x14ac:dyDescent="0.2">
      <c r="A750" s="1">
        <v>44127</v>
      </c>
      <c r="B750">
        <f>27.55</f>
        <v>27.55</v>
      </c>
      <c r="C750">
        <f>28.157</f>
        <v>28.157</v>
      </c>
      <c r="D750">
        <f>25.9</f>
        <v>25.9</v>
      </c>
      <c r="E750">
        <f>23.85</f>
        <v>23.85</v>
      </c>
    </row>
    <row r="751" spans="1:5" x14ac:dyDescent="0.2">
      <c r="A751" s="1">
        <v>44126</v>
      </c>
      <c r="B751">
        <f>28.11</f>
        <v>28.11</v>
      </c>
      <c r="C751">
        <f>28.9879</f>
        <v>28.9879</v>
      </c>
      <c r="D751">
        <f>26.58</f>
        <v>26.58</v>
      </c>
      <c r="E751">
        <f>23.7</f>
        <v>23.7</v>
      </c>
    </row>
    <row r="752" spans="1:5" x14ac:dyDescent="0.2">
      <c r="A752" s="1">
        <v>44125</v>
      </c>
      <c r="B752">
        <f>28.65</f>
        <v>28.65</v>
      </c>
      <c r="C752">
        <f>29.4488</f>
        <v>29.448799999999999</v>
      </c>
      <c r="D752">
        <f>26.86</f>
        <v>26.86</v>
      </c>
      <c r="E752">
        <f>23.43</f>
        <v>23.43</v>
      </c>
    </row>
    <row r="753" spans="1:5" x14ac:dyDescent="0.2">
      <c r="A753" s="1">
        <v>44124</v>
      </c>
      <c r="B753">
        <f>29.35</f>
        <v>29.35</v>
      </c>
      <c r="C753">
        <f>27.6293</f>
        <v>27.629300000000001</v>
      </c>
      <c r="D753">
        <f>25.44</f>
        <v>25.44</v>
      </c>
      <c r="E753">
        <f>22.93</f>
        <v>22.93</v>
      </c>
    </row>
    <row r="754" spans="1:5" x14ac:dyDescent="0.2">
      <c r="A754" s="1">
        <v>44123</v>
      </c>
      <c r="B754">
        <f>29.18</f>
        <v>29.18</v>
      </c>
      <c r="C754">
        <f>26.6186</f>
        <v>26.618600000000001</v>
      </c>
      <c r="D754">
        <f>25.03</f>
        <v>25.03</v>
      </c>
      <c r="E754">
        <f>24.15</f>
        <v>24.15</v>
      </c>
    </row>
    <row r="755" spans="1:5" x14ac:dyDescent="0.2">
      <c r="A755" s="1">
        <v>44120</v>
      </c>
      <c r="B755">
        <f>27.41</f>
        <v>27.41</v>
      </c>
      <c r="C755">
        <f>25.3165</f>
        <v>25.316500000000001</v>
      </c>
      <c r="D755">
        <f>23.74</f>
        <v>23.74</v>
      </c>
      <c r="E755">
        <f>24.45</f>
        <v>24.45</v>
      </c>
    </row>
    <row r="756" spans="1:5" x14ac:dyDescent="0.2">
      <c r="A756" s="1">
        <v>44119</v>
      </c>
      <c r="B756">
        <f>26.97</f>
        <v>26.97</v>
      </c>
      <c r="C756">
        <f>26.8422</f>
        <v>26.842199999999998</v>
      </c>
      <c r="D756">
        <f>25.08</f>
        <v>25.08</v>
      </c>
      <c r="E756">
        <f>25.62</f>
        <v>25.62</v>
      </c>
    </row>
    <row r="757" spans="1:5" x14ac:dyDescent="0.2">
      <c r="A757" s="1">
        <v>44118</v>
      </c>
      <c r="B757">
        <f>26.4</f>
        <v>26.4</v>
      </c>
      <c r="C757">
        <f>23.2425</f>
        <v>23.2425</v>
      </c>
      <c r="D757">
        <f>21.72</f>
        <v>21.72</v>
      </c>
      <c r="E757">
        <f>24.63</f>
        <v>24.63</v>
      </c>
    </row>
    <row r="758" spans="1:5" x14ac:dyDescent="0.2">
      <c r="A758" s="1">
        <v>44117</v>
      </c>
      <c r="B758">
        <f>26.07</f>
        <v>26.07</v>
      </c>
      <c r="C758">
        <f>22.9397</f>
        <v>22.939699999999998</v>
      </c>
      <c r="D758">
        <f>20.45</f>
        <v>20.45</v>
      </c>
      <c r="E758">
        <f>22.56</f>
        <v>22.56</v>
      </c>
    </row>
    <row r="759" spans="1:5" x14ac:dyDescent="0.2">
      <c r="A759" s="1">
        <v>44116</v>
      </c>
      <c r="B759">
        <f>25.07</f>
        <v>25.07</v>
      </c>
      <c r="C759">
        <f>22.2531</f>
        <v>22.2531</v>
      </c>
      <c r="D759">
        <f>19.96</f>
        <v>19.96</v>
      </c>
      <c r="E759">
        <f>23.12</f>
        <v>23.12</v>
      </c>
    </row>
    <row r="760" spans="1:5" x14ac:dyDescent="0.2">
      <c r="A760" s="1">
        <v>44113</v>
      </c>
      <c r="B760">
        <f>25</f>
        <v>25</v>
      </c>
      <c r="C760">
        <f>22.2369</f>
        <v>22.236899999999999</v>
      </c>
      <c r="D760">
        <f>20.03</f>
        <v>20.03</v>
      </c>
      <c r="E760">
        <f>24.16</f>
        <v>24.16</v>
      </c>
    </row>
    <row r="761" spans="1:5" x14ac:dyDescent="0.2">
      <c r="A761" s="1">
        <v>44112</v>
      </c>
      <c r="B761">
        <f>26.36</f>
        <v>26.36</v>
      </c>
      <c r="C761">
        <f>23.98</f>
        <v>23.98</v>
      </c>
      <c r="D761">
        <f>20.75</f>
        <v>20.75</v>
      </c>
      <c r="E761">
        <f>23.46</f>
        <v>23.46</v>
      </c>
    </row>
    <row r="762" spans="1:5" x14ac:dyDescent="0.2">
      <c r="A762" s="1">
        <v>44111</v>
      </c>
      <c r="B762">
        <f>28.06</f>
        <v>28.06</v>
      </c>
      <c r="C762">
        <f>24.9744</f>
        <v>24.974399999999999</v>
      </c>
      <c r="D762">
        <f>23.78</f>
        <v>23.78</v>
      </c>
      <c r="E762">
        <f>24.83</f>
        <v>24.83</v>
      </c>
    </row>
    <row r="763" spans="1:5" x14ac:dyDescent="0.2">
      <c r="A763" s="1">
        <v>44110</v>
      </c>
      <c r="B763">
        <f>29.48</f>
        <v>29.48</v>
      </c>
      <c r="C763">
        <f>25.2128</f>
        <v>25.212800000000001</v>
      </c>
      <c r="D763">
        <f>24.2</f>
        <v>24.2</v>
      </c>
      <c r="E763">
        <f>25.24</f>
        <v>25.24</v>
      </c>
    </row>
    <row r="764" spans="1:5" x14ac:dyDescent="0.2">
      <c r="A764" s="1">
        <v>44109</v>
      </c>
      <c r="B764">
        <f>27.96</f>
        <v>27.96</v>
      </c>
      <c r="C764">
        <f>26.2763</f>
        <v>26.276299999999999</v>
      </c>
      <c r="D764">
        <f>25.35</f>
        <v>25.35</v>
      </c>
      <c r="E764">
        <f>24.8</f>
        <v>24.8</v>
      </c>
    </row>
    <row r="765" spans="1:5" x14ac:dyDescent="0.2">
      <c r="A765" s="1">
        <v>44106</v>
      </c>
      <c r="B765">
        <f>27.63</f>
        <v>27.63</v>
      </c>
      <c r="C765">
        <f>26.8168</f>
        <v>26.816800000000001</v>
      </c>
      <c r="D765">
        <f>25.87</f>
        <v>25.87</v>
      </c>
      <c r="E765">
        <f>24.72</f>
        <v>24.72</v>
      </c>
    </row>
    <row r="766" spans="1:5" x14ac:dyDescent="0.2">
      <c r="A766" s="1">
        <v>44105</v>
      </c>
      <c r="B766">
        <f>26.7</f>
        <v>26.7</v>
      </c>
      <c r="C766">
        <f>26.5374</f>
        <v>26.537400000000002</v>
      </c>
      <c r="D766">
        <f>25.61</f>
        <v>25.61</v>
      </c>
      <c r="E766">
        <f>24.74</f>
        <v>24.74</v>
      </c>
    </row>
    <row r="767" spans="1:5" x14ac:dyDescent="0.2">
      <c r="A767" s="1">
        <v>44104</v>
      </c>
      <c r="B767">
        <f>26.37</f>
        <v>26.37</v>
      </c>
      <c r="C767">
        <f>26.0598</f>
        <v>26.059799999999999</v>
      </c>
      <c r="D767">
        <f>25.34</f>
        <v>25.34</v>
      </c>
      <c r="E767">
        <f>24.92</f>
        <v>24.92</v>
      </c>
    </row>
    <row r="768" spans="1:5" x14ac:dyDescent="0.2">
      <c r="A768" s="1">
        <v>44103</v>
      </c>
      <c r="B768">
        <f>26.27</f>
        <v>26.27</v>
      </c>
      <c r="C768">
        <f>26.9026</f>
        <v>26.9026</v>
      </c>
      <c r="D768">
        <f>25.73</f>
        <v>25.73</v>
      </c>
      <c r="E768">
        <f>24.57</f>
        <v>24.57</v>
      </c>
    </row>
    <row r="769" spans="1:5" x14ac:dyDescent="0.2">
      <c r="A769" s="1">
        <v>44102</v>
      </c>
      <c r="B769">
        <f>26.19</f>
        <v>26.19</v>
      </c>
      <c r="C769">
        <f>26.8241</f>
        <v>26.824100000000001</v>
      </c>
      <c r="D769">
        <f>25.86</f>
        <v>25.86</v>
      </c>
      <c r="E769">
        <f>26.21</f>
        <v>26.21</v>
      </c>
    </row>
    <row r="770" spans="1:5" x14ac:dyDescent="0.2">
      <c r="A770" s="1">
        <v>44099</v>
      </c>
      <c r="B770">
        <f>26.38</f>
        <v>26.38</v>
      </c>
      <c r="C770">
        <f>27.8075</f>
        <v>27.807500000000001</v>
      </c>
      <c r="D770">
        <f>27.08</f>
        <v>27.08</v>
      </c>
      <c r="E770">
        <f>27.15</f>
        <v>27.15</v>
      </c>
    </row>
    <row r="771" spans="1:5" x14ac:dyDescent="0.2">
      <c r="A771" s="1">
        <v>44098</v>
      </c>
      <c r="B771">
        <f>28.51</f>
        <v>28.51</v>
      </c>
      <c r="C771">
        <f>28.3437</f>
        <v>28.343699999999998</v>
      </c>
      <c r="D771">
        <f>27.67</f>
        <v>27.67</v>
      </c>
      <c r="E771" t="e">
        <f>NA()</f>
        <v>#N/A</v>
      </c>
    </row>
    <row r="772" spans="1:5" x14ac:dyDescent="0.2">
      <c r="A772" s="1">
        <v>44097</v>
      </c>
      <c r="B772">
        <f>28.58</f>
        <v>28.58</v>
      </c>
      <c r="C772">
        <f>27.1669</f>
        <v>27.166899999999998</v>
      </c>
      <c r="D772">
        <f>26.35</f>
        <v>26.35</v>
      </c>
      <c r="E772">
        <f>27.51</f>
        <v>27.51</v>
      </c>
    </row>
    <row r="773" spans="1:5" x14ac:dyDescent="0.2">
      <c r="A773" s="1">
        <v>44096</v>
      </c>
      <c r="B773">
        <f>26.86</f>
        <v>26.86</v>
      </c>
      <c r="C773">
        <f>28.1097</f>
        <v>28.1097</v>
      </c>
      <c r="D773">
        <f>27.05</f>
        <v>27.05</v>
      </c>
      <c r="E773">
        <f>27.1</f>
        <v>27.1</v>
      </c>
    </row>
    <row r="774" spans="1:5" x14ac:dyDescent="0.2">
      <c r="A774" s="1">
        <v>44095</v>
      </c>
      <c r="B774">
        <f>27.78</f>
        <v>27.78</v>
      </c>
      <c r="C774">
        <f>29.8809</f>
        <v>29.8809</v>
      </c>
      <c r="D774">
        <f>28.91</f>
        <v>28.91</v>
      </c>
      <c r="E774">
        <f>25.12</f>
        <v>25.12</v>
      </c>
    </row>
    <row r="775" spans="1:5" x14ac:dyDescent="0.2">
      <c r="A775" s="1">
        <v>44092</v>
      </c>
      <c r="B775">
        <f>25.83</f>
        <v>25.83</v>
      </c>
      <c r="C775">
        <f>22.6496</f>
        <v>22.6496</v>
      </c>
      <c r="D775">
        <f>22.38</f>
        <v>22.38</v>
      </c>
      <c r="E775">
        <f>24.81</f>
        <v>24.81</v>
      </c>
    </row>
    <row r="776" spans="1:5" x14ac:dyDescent="0.2">
      <c r="A776" s="1">
        <v>44091</v>
      </c>
      <c r="B776">
        <f>26.46</f>
        <v>26.46</v>
      </c>
      <c r="C776">
        <f>22.5468</f>
        <v>22.546800000000001</v>
      </c>
      <c r="D776">
        <f>22.71</f>
        <v>22.71</v>
      </c>
      <c r="E776">
        <f>23.3</f>
        <v>23.3</v>
      </c>
    </row>
    <row r="777" spans="1:5" x14ac:dyDescent="0.2">
      <c r="A777" s="1">
        <v>44090</v>
      </c>
      <c r="B777">
        <f>26.04</f>
        <v>26.04</v>
      </c>
      <c r="C777">
        <f>21.9927</f>
        <v>21.992699999999999</v>
      </c>
      <c r="D777">
        <f>22.23</f>
        <v>22.23</v>
      </c>
      <c r="E777">
        <f>23.05</f>
        <v>23.05</v>
      </c>
    </row>
    <row r="778" spans="1:5" x14ac:dyDescent="0.2">
      <c r="A778" s="1">
        <v>44089</v>
      </c>
      <c r="B778">
        <f>25.59</f>
        <v>25.59</v>
      </c>
      <c r="C778">
        <f>22.1155</f>
        <v>22.115500000000001</v>
      </c>
      <c r="D778">
        <f>21.84</f>
        <v>21.84</v>
      </c>
      <c r="E778">
        <f>22.89</f>
        <v>22.89</v>
      </c>
    </row>
    <row r="779" spans="1:5" x14ac:dyDescent="0.2">
      <c r="A779" s="1">
        <v>44088</v>
      </c>
      <c r="B779">
        <f>25.85</f>
        <v>25.85</v>
      </c>
      <c r="C779">
        <f>22.5682</f>
        <v>22.568200000000001</v>
      </c>
      <c r="D779">
        <f>22.42</f>
        <v>22.42</v>
      </c>
      <c r="E779">
        <f>20.51</f>
        <v>20.51</v>
      </c>
    </row>
    <row r="780" spans="1:5" x14ac:dyDescent="0.2">
      <c r="A780" s="1">
        <v>44085</v>
      </c>
      <c r="B780">
        <f>26.87</f>
        <v>26.87</v>
      </c>
      <c r="C780">
        <f>23.7249</f>
        <v>23.724900000000002</v>
      </c>
      <c r="D780">
        <f>23.24</f>
        <v>23.24</v>
      </c>
      <c r="E780">
        <f>20.76</f>
        <v>20.76</v>
      </c>
    </row>
    <row r="781" spans="1:5" x14ac:dyDescent="0.2">
      <c r="A781" s="1">
        <v>44084</v>
      </c>
      <c r="B781">
        <f>29.71</f>
        <v>29.71</v>
      </c>
      <c r="C781">
        <f>25.0052</f>
        <v>25.005199999999999</v>
      </c>
      <c r="D781">
        <f>23.1</f>
        <v>23.1</v>
      </c>
      <c r="E781">
        <f>22.02</f>
        <v>22.02</v>
      </c>
    </row>
    <row r="782" spans="1:5" x14ac:dyDescent="0.2">
      <c r="A782" s="1">
        <v>44083</v>
      </c>
      <c r="B782">
        <f>28.81</f>
        <v>28.81</v>
      </c>
      <c r="C782">
        <f>25.8888</f>
        <v>25.8888</v>
      </c>
      <c r="D782">
        <f>25.02</f>
        <v>25.02</v>
      </c>
      <c r="E782">
        <f>22.79</f>
        <v>22.79</v>
      </c>
    </row>
    <row r="783" spans="1:5" x14ac:dyDescent="0.2">
      <c r="A783" s="1">
        <v>44082</v>
      </c>
      <c r="B783">
        <f>31.46</f>
        <v>31.46</v>
      </c>
      <c r="C783">
        <f>28.4501</f>
        <v>28.450099999999999</v>
      </c>
      <c r="D783">
        <f>26.95</f>
        <v>26.95</v>
      </c>
      <c r="E783">
        <f>21.79</f>
        <v>21.79</v>
      </c>
    </row>
    <row r="784" spans="1:5" x14ac:dyDescent="0.2">
      <c r="A784" s="1">
        <v>44081</v>
      </c>
      <c r="B784" t="e">
        <f>NA()</f>
        <v>#N/A</v>
      </c>
      <c r="C784">
        <f>27.922</f>
        <v>27.922000000000001</v>
      </c>
      <c r="D784">
        <f>25.8</f>
        <v>25.8</v>
      </c>
      <c r="E784">
        <f>22.31</f>
        <v>22.31</v>
      </c>
    </row>
    <row r="785" spans="1:5" x14ac:dyDescent="0.2">
      <c r="A785" s="1">
        <v>44078</v>
      </c>
      <c r="B785">
        <f>30.75</f>
        <v>30.75</v>
      </c>
      <c r="C785">
        <f>31.7117</f>
        <v>31.7117</v>
      </c>
      <c r="D785">
        <f>28.77</f>
        <v>28.77</v>
      </c>
      <c r="E785">
        <f>21.57</f>
        <v>21.57</v>
      </c>
    </row>
    <row r="786" spans="1:5" x14ac:dyDescent="0.2">
      <c r="A786" s="1">
        <v>44077</v>
      </c>
      <c r="B786">
        <f>33.6</f>
        <v>33.6</v>
      </c>
      <c r="C786">
        <f>29.0121</f>
        <v>29.0121</v>
      </c>
      <c r="D786">
        <f>26.76</f>
        <v>26.76</v>
      </c>
      <c r="E786">
        <f>20.03</f>
        <v>20.03</v>
      </c>
    </row>
    <row r="787" spans="1:5" x14ac:dyDescent="0.2">
      <c r="A787" s="1">
        <v>44076</v>
      </c>
      <c r="B787">
        <f>26.57</f>
        <v>26.57</v>
      </c>
      <c r="C787">
        <f>26.6145</f>
        <v>26.6145</v>
      </c>
      <c r="D787">
        <f>24.63</f>
        <v>24.63</v>
      </c>
      <c r="E787">
        <f>20.04</f>
        <v>20.04</v>
      </c>
    </row>
    <row r="788" spans="1:5" x14ac:dyDescent="0.2">
      <c r="A788" s="1">
        <v>44075</v>
      </c>
      <c r="B788">
        <f>26.12</f>
        <v>26.12</v>
      </c>
      <c r="C788">
        <f>27.1192</f>
        <v>27.119199999999999</v>
      </c>
      <c r="D788">
        <f>25.26</f>
        <v>25.26</v>
      </c>
      <c r="E788">
        <f>20.57</f>
        <v>20.57</v>
      </c>
    </row>
    <row r="789" spans="1:5" x14ac:dyDescent="0.2">
      <c r="A789" s="1">
        <v>44074</v>
      </c>
      <c r="B789">
        <f>26.41</f>
        <v>26.41</v>
      </c>
      <c r="C789">
        <f>26.7213</f>
        <v>26.721299999999999</v>
      </c>
      <c r="D789" t="e">
        <f>NA()</f>
        <v>#N/A</v>
      </c>
      <c r="E789">
        <f>20.07</f>
        <v>20.07</v>
      </c>
    </row>
    <row r="790" spans="1:5" x14ac:dyDescent="0.2">
      <c r="A790" s="1">
        <v>44071</v>
      </c>
      <c r="B790">
        <f>22.96</f>
        <v>22.96</v>
      </c>
      <c r="C790">
        <f>25.1579</f>
        <v>25.157900000000001</v>
      </c>
      <c r="D790">
        <f>23.68</f>
        <v>23.68</v>
      </c>
      <c r="E790">
        <f>22.22</f>
        <v>22.22</v>
      </c>
    </row>
    <row r="791" spans="1:5" x14ac:dyDescent="0.2">
      <c r="A791" s="1">
        <v>44070</v>
      </c>
      <c r="B791">
        <f>24.47</f>
        <v>24.47</v>
      </c>
      <c r="C791">
        <f>23.5584</f>
        <v>23.558399999999999</v>
      </c>
      <c r="D791">
        <f>22.78</f>
        <v>22.78</v>
      </c>
      <c r="E791">
        <f>22.47</f>
        <v>22.47</v>
      </c>
    </row>
    <row r="792" spans="1:5" x14ac:dyDescent="0.2">
      <c r="A792" s="1">
        <v>44069</v>
      </c>
      <c r="B792">
        <f>23.27</f>
        <v>23.27</v>
      </c>
      <c r="C792">
        <f>22.0013</f>
        <v>22.001300000000001</v>
      </c>
      <c r="D792">
        <f>21.43</f>
        <v>21.43</v>
      </c>
      <c r="E792">
        <f>22.99</f>
        <v>22.99</v>
      </c>
    </row>
    <row r="793" spans="1:5" x14ac:dyDescent="0.2">
      <c r="A793" s="1">
        <v>44068</v>
      </c>
      <c r="B793">
        <f>22.03</f>
        <v>22.03</v>
      </c>
      <c r="C793">
        <f>23.3594</f>
        <v>23.359400000000001</v>
      </c>
      <c r="D793">
        <f>22.77</f>
        <v>22.77</v>
      </c>
      <c r="E793">
        <f>22.47</f>
        <v>22.47</v>
      </c>
    </row>
    <row r="794" spans="1:5" x14ac:dyDescent="0.2">
      <c r="A794" s="1">
        <v>44067</v>
      </c>
      <c r="B794">
        <f>22.37</f>
        <v>22.37</v>
      </c>
      <c r="C794">
        <f>23.1101</f>
        <v>23.110099999999999</v>
      </c>
      <c r="D794">
        <f>22.29</f>
        <v>22.29</v>
      </c>
      <c r="E794">
        <f>23.94</f>
        <v>23.94</v>
      </c>
    </row>
    <row r="795" spans="1:5" x14ac:dyDescent="0.2">
      <c r="A795" s="1">
        <v>44064</v>
      </c>
      <c r="B795">
        <f>22.54</f>
        <v>22.54</v>
      </c>
      <c r="C795">
        <f>24.3375</f>
        <v>24.337499999999999</v>
      </c>
      <c r="D795">
        <f>23.79</f>
        <v>23.79</v>
      </c>
      <c r="E795">
        <f>23.23</f>
        <v>23.23</v>
      </c>
    </row>
    <row r="796" spans="1:5" x14ac:dyDescent="0.2">
      <c r="A796" s="1">
        <v>44063</v>
      </c>
      <c r="B796">
        <f>22.72</f>
        <v>22.72</v>
      </c>
      <c r="C796">
        <f>24.0354</f>
        <v>24.035399999999999</v>
      </c>
      <c r="D796">
        <f>23.61</f>
        <v>23.61</v>
      </c>
      <c r="E796">
        <f>22.44</f>
        <v>22.44</v>
      </c>
    </row>
    <row r="797" spans="1:5" x14ac:dyDescent="0.2">
      <c r="A797" s="1">
        <v>44062</v>
      </c>
      <c r="B797">
        <f>22.54</f>
        <v>22.54</v>
      </c>
      <c r="C797">
        <f>21.9882</f>
        <v>21.988199999999999</v>
      </c>
      <c r="D797">
        <f>21.87</f>
        <v>21.87</v>
      </c>
      <c r="E797" t="e">
        <f>NA()</f>
        <v>#N/A</v>
      </c>
    </row>
    <row r="798" spans="1:5" x14ac:dyDescent="0.2">
      <c r="A798" s="1">
        <v>44061</v>
      </c>
      <c r="B798">
        <f>21.51</f>
        <v>21.51</v>
      </c>
      <c r="C798">
        <f>23.269</f>
        <v>23.268999999999998</v>
      </c>
      <c r="D798">
        <f>22.91</f>
        <v>22.91</v>
      </c>
      <c r="E798" t="e">
        <f>NA()</f>
        <v>#N/A</v>
      </c>
    </row>
    <row r="799" spans="1:5" x14ac:dyDescent="0.2">
      <c r="A799" s="1">
        <v>44060</v>
      </c>
      <c r="B799">
        <f>21.35</f>
        <v>21.35</v>
      </c>
      <c r="C799">
        <f>22.7835</f>
        <v>22.7835</v>
      </c>
      <c r="D799">
        <f>22.31</f>
        <v>22.31</v>
      </c>
      <c r="E799" t="e">
        <f>NA()</f>
        <v>#N/A</v>
      </c>
    </row>
    <row r="800" spans="1:5" x14ac:dyDescent="0.2">
      <c r="A800" s="1">
        <v>44057</v>
      </c>
      <c r="B800">
        <f>22.05</f>
        <v>22.05</v>
      </c>
      <c r="C800">
        <f>23.8671</f>
        <v>23.867100000000001</v>
      </c>
      <c r="D800">
        <f>23.12</f>
        <v>23.12</v>
      </c>
      <c r="E800" t="e">
        <f>NA()</f>
        <v>#N/A</v>
      </c>
    </row>
    <row r="801" spans="1:5" x14ac:dyDescent="0.2">
      <c r="A801" s="1">
        <v>44056</v>
      </c>
      <c r="B801">
        <f>22.13</f>
        <v>22.13</v>
      </c>
      <c r="C801">
        <f>22.691</f>
        <v>22.690999999999999</v>
      </c>
      <c r="D801">
        <f>21.46</f>
        <v>21.46</v>
      </c>
      <c r="E801" t="e">
        <f>NA()</f>
        <v>#N/A</v>
      </c>
    </row>
    <row r="802" spans="1:5" x14ac:dyDescent="0.2">
      <c r="A802" s="1">
        <v>44055</v>
      </c>
      <c r="B802">
        <f>22.28</f>
        <v>22.28</v>
      </c>
      <c r="C802">
        <f>22.4674</f>
        <v>22.467400000000001</v>
      </c>
      <c r="D802">
        <f>21.37</f>
        <v>21.37</v>
      </c>
      <c r="E802" t="e">
        <f>NA()</f>
        <v>#N/A</v>
      </c>
    </row>
    <row r="803" spans="1:5" x14ac:dyDescent="0.2">
      <c r="A803" s="1">
        <v>44054</v>
      </c>
      <c r="B803">
        <f>24.03</f>
        <v>24.03</v>
      </c>
      <c r="C803">
        <f>23.3863</f>
        <v>23.386299999999999</v>
      </c>
      <c r="D803">
        <f>21.61</f>
        <v>21.61</v>
      </c>
      <c r="E803" t="e">
        <f>NA()</f>
        <v>#N/A</v>
      </c>
    </row>
    <row r="804" spans="1:5" x14ac:dyDescent="0.2">
      <c r="A804" s="1">
        <v>44053</v>
      </c>
      <c r="B804">
        <f>22.13</f>
        <v>22.13</v>
      </c>
      <c r="C804">
        <f>24.1127</f>
        <v>24.1127</v>
      </c>
      <c r="D804">
        <f>22.63</f>
        <v>22.63</v>
      </c>
      <c r="E804" t="e">
        <f>NA()</f>
        <v>#N/A</v>
      </c>
    </row>
    <row r="805" spans="1:5" x14ac:dyDescent="0.2">
      <c r="A805" s="1">
        <v>44050</v>
      </c>
      <c r="B805">
        <f>22.21</f>
        <v>22.21</v>
      </c>
      <c r="C805">
        <f>24.1977</f>
        <v>24.197700000000001</v>
      </c>
      <c r="D805">
        <f>22.71</f>
        <v>22.71</v>
      </c>
      <c r="E805">
        <f>23.08</f>
        <v>23.08</v>
      </c>
    </row>
    <row r="806" spans="1:5" x14ac:dyDescent="0.2">
      <c r="A806" s="1">
        <v>44049</v>
      </c>
      <c r="B806">
        <f>22.65</f>
        <v>22.65</v>
      </c>
      <c r="C806">
        <f>24.9371</f>
        <v>24.937100000000001</v>
      </c>
      <c r="D806">
        <f>22.93</f>
        <v>22.93</v>
      </c>
      <c r="E806">
        <f>23.12</f>
        <v>23.12</v>
      </c>
    </row>
    <row r="807" spans="1:5" x14ac:dyDescent="0.2">
      <c r="A807" s="1">
        <v>44048</v>
      </c>
      <c r="B807">
        <f>22.99</f>
        <v>22.99</v>
      </c>
      <c r="C807">
        <f>23.9421</f>
        <v>23.9421</v>
      </c>
      <c r="D807">
        <f>22.23</f>
        <v>22.23</v>
      </c>
      <c r="E807">
        <f>24.63</f>
        <v>24.63</v>
      </c>
    </row>
    <row r="808" spans="1:5" x14ac:dyDescent="0.2">
      <c r="A808" s="1">
        <v>44047</v>
      </c>
      <c r="B808">
        <f>23.76</f>
        <v>23.76</v>
      </c>
      <c r="C808">
        <f>25.087</f>
        <v>25.087</v>
      </c>
      <c r="D808">
        <f>23.41</f>
        <v>23.41</v>
      </c>
      <c r="E808">
        <f>24.72</f>
        <v>24.72</v>
      </c>
    </row>
    <row r="809" spans="1:5" x14ac:dyDescent="0.2">
      <c r="A809" s="1">
        <v>44046</v>
      </c>
      <c r="B809">
        <f>24.28</f>
        <v>24.28</v>
      </c>
      <c r="C809">
        <f>25.7571</f>
        <v>25.757100000000001</v>
      </c>
      <c r="D809">
        <f>23.89</f>
        <v>23.89</v>
      </c>
      <c r="E809">
        <f>24.57</f>
        <v>24.57</v>
      </c>
    </row>
    <row r="810" spans="1:5" x14ac:dyDescent="0.2">
      <c r="A810" s="1">
        <v>44043</v>
      </c>
      <c r="B810">
        <f>24.46</f>
        <v>24.46</v>
      </c>
      <c r="C810">
        <f>26.6625</f>
        <v>26.662500000000001</v>
      </c>
      <c r="D810">
        <f>25.12</f>
        <v>25.12</v>
      </c>
      <c r="E810">
        <f>24.67</f>
        <v>24.67</v>
      </c>
    </row>
    <row r="811" spans="1:5" x14ac:dyDescent="0.2">
      <c r="A811" s="1">
        <v>44042</v>
      </c>
      <c r="B811">
        <f>24.76</f>
        <v>24.76</v>
      </c>
      <c r="C811">
        <f>28.024</f>
        <v>28.024000000000001</v>
      </c>
      <c r="D811">
        <f>26.18</f>
        <v>26.18</v>
      </c>
      <c r="E811">
        <f>24.63</f>
        <v>24.63</v>
      </c>
    </row>
    <row r="812" spans="1:5" x14ac:dyDescent="0.2">
      <c r="A812" s="1">
        <v>44041</v>
      </c>
      <c r="B812">
        <f>24.1</f>
        <v>24.1</v>
      </c>
      <c r="C812">
        <f>24.2316</f>
        <v>24.2316</v>
      </c>
      <c r="D812">
        <f>23.17</f>
        <v>23.17</v>
      </c>
      <c r="E812">
        <f>24.66</f>
        <v>24.66</v>
      </c>
    </row>
    <row r="813" spans="1:5" x14ac:dyDescent="0.2">
      <c r="A813" s="1">
        <v>44040</v>
      </c>
      <c r="B813">
        <f>25.44</f>
        <v>25.44</v>
      </c>
      <c r="C813">
        <f>24.3987</f>
        <v>24.398700000000002</v>
      </c>
      <c r="D813">
        <f>23.22</f>
        <v>23.22</v>
      </c>
      <c r="E813">
        <f>23.05</f>
        <v>23.05</v>
      </c>
    </row>
    <row r="814" spans="1:5" x14ac:dyDescent="0.2">
      <c r="A814" s="1">
        <v>44039</v>
      </c>
      <c r="B814">
        <f>24.74</f>
        <v>24.74</v>
      </c>
      <c r="C814">
        <f>25.238</f>
        <v>25.238</v>
      </c>
      <c r="D814">
        <f>23.88</f>
        <v>23.88</v>
      </c>
      <c r="E814">
        <f>23.37</f>
        <v>23.37</v>
      </c>
    </row>
    <row r="815" spans="1:5" x14ac:dyDescent="0.2">
      <c r="A815" s="1">
        <v>44036</v>
      </c>
      <c r="B815">
        <f>25.84</f>
        <v>25.84</v>
      </c>
      <c r="C815">
        <f>25.5773</f>
        <v>25.577300000000001</v>
      </c>
      <c r="D815">
        <f>24.77</f>
        <v>24.77</v>
      </c>
      <c r="E815">
        <f>22.46</f>
        <v>22.46</v>
      </c>
    </row>
    <row r="816" spans="1:5" x14ac:dyDescent="0.2">
      <c r="A816" s="1">
        <v>44035</v>
      </c>
      <c r="B816">
        <f>26.08</f>
        <v>26.08</v>
      </c>
      <c r="C816">
        <f>23.3144</f>
        <v>23.314399999999999</v>
      </c>
      <c r="D816">
        <f>22.03</f>
        <v>22.03</v>
      </c>
      <c r="E816">
        <f>24.14</f>
        <v>24.14</v>
      </c>
    </row>
    <row r="817" spans="1:5" x14ac:dyDescent="0.2">
      <c r="A817" s="1">
        <v>44034</v>
      </c>
      <c r="B817">
        <f>24.32</f>
        <v>24.32</v>
      </c>
      <c r="C817">
        <f>24.2123</f>
        <v>24.212299999999999</v>
      </c>
      <c r="D817">
        <f>23.12</f>
        <v>23.12</v>
      </c>
      <c r="E817">
        <f>24.04</f>
        <v>24.04</v>
      </c>
    </row>
    <row r="818" spans="1:5" x14ac:dyDescent="0.2">
      <c r="A818" s="1">
        <v>44033</v>
      </c>
      <c r="B818">
        <f>24.84</f>
        <v>24.84</v>
      </c>
      <c r="C818">
        <f>23.4879</f>
        <v>23.4879</v>
      </c>
      <c r="D818">
        <f>22.51</f>
        <v>22.51</v>
      </c>
      <c r="E818">
        <f>22.96</f>
        <v>22.96</v>
      </c>
    </row>
    <row r="819" spans="1:5" x14ac:dyDescent="0.2">
      <c r="A819" s="1">
        <v>44032</v>
      </c>
      <c r="B819">
        <f>24.46</f>
        <v>24.46</v>
      </c>
      <c r="C819">
        <f>24.2112</f>
        <v>24.211200000000002</v>
      </c>
      <c r="D819">
        <f>23.63</f>
        <v>23.63</v>
      </c>
      <c r="E819">
        <f>23</f>
        <v>23</v>
      </c>
    </row>
    <row r="820" spans="1:5" x14ac:dyDescent="0.2">
      <c r="A820" s="1">
        <v>44029</v>
      </c>
      <c r="B820">
        <f>25.68</f>
        <v>25.68</v>
      </c>
      <c r="C820">
        <f>25.5762</f>
        <v>25.5762</v>
      </c>
      <c r="D820">
        <f>23.87</f>
        <v>23.87</v>
      </c>
      <c r="E820">
        <f>23.1</f>
        <v>23.1</v>
      </c>
    </row>
    <row r="821" spans="1:5" x14ac:dyDescent="0.2">
      <c r="A821" s="1">
        <v>44028</v>
      </c>
      <c r="B821">
        <f>28</f>
        <v>28</v>
      </c>
      <c r="C821">
        <f>26.8067</f>
        <v>26.806699999999999</v>
      </c>
      <c r="D821">
        <f>25.13</f>
        <v>25.13</v>
      </c>
      <c r="E821">
        <f>21.76</f>
        <v>21.76</v>
      </c>
    </row>
    <row r="822" spans="1:5" x14ac:dyDescent="0.2">
      <c r="A822" s="1">
        <v>44027</v>
      </c>
      <c r="B822">
        <f>27.76</f>
        <v>27.76</v>
      </c>
      <c r="C822">
        <f>27.5724</f>
        <v>27.572399999999998</v>
      </c>
      <c r="D822">
        <f>25.17</f>
        <v>25.17</v>
      </c>
      <c r="E822">
        <f>23.43</f>
        <v>23.43</v>
      </c>
    </row>
    <row r="823" spans="1:5" x14ac:dyDescent="0.2">
      <c r="A823" s="1">
        <v>44026</v>
      </c>
      <c r="B823">
        <f>29.52</f>
        <v>29.52</v>
      </c>
      <c r="C823">
        <f>28.9278</f>
        <v>28.927800000000001</v>
      </c>
      <c r="D823">
        <f>26.4</f>
        <v>26.4</v>
      </c>
      <c r="E823">
        <f>22.54</f>
        <v>22.54</v>
      </c>
    </row>
    <row r="824" spans="1:5" x14ac:dyDescent="0.2">
      <c r="A824" s="1">
        <v>44025</v>
      </c>
      <c r="B824">
        <f>32.19</f>
        <v>32.19</v>
      </c>
      <c r="C824">
        <f>27.1352</f>
        <v>27.135200000000001</v>
      </c>
      <c r="D824">
        <f>24.83</f>
        <v>24.83</v>
      </c>
      <c r="E824">
        <f>23.01</f>
        <v>23.01</v>
      </c>
    </row>
    <row r="825" spans="1:5" x14ac:dyDescent="0.2">
      <c r="A825" s="1">
        <v>44022</v>
      </c>
      <c r="B825">
        <f>27.29</f>
        <v>27.29</v>
      </c>
      <c r="C825">
        <f>28.4276</f>
        <v>28.427600000000002</v>
      </c>
      <c r="D825">
        <f>25.82</f>
        <v>25.82</v>
      </c>
      <c r="E825">
        <f>22.99</f>
        <v>22.99</v>
      </c>
    </row>
    <row r="826" spans="1:5" x14ac:dyDescent="0.2">
      <c r="A826" s="1">
        <v>44021</v>
      </c>
      <c r="B826">
        <f>29.26</f>
        <v>29.26</v>
      </c>
      <c r="C826">
        <f>30.4505</f>
        <v>30.450500000000002</v>
      </c>
      <c r="D826">
        <f>27.24</f>
        <v>27.24</v>
      </c>
      <c r="E826">
        <f>23.89</f>
        <v>23.89</v>
      </c>
    </row>
    <row r="827" spans="1:5" x14ac:dyDescent="0.2">
      <c r="A827" s="1">
        <v>44020</v>
      </c>
      <c r="B827">
        <f>28.08</f>
        <v>28.08</v>
      </c>
      <c r="C827">
        <f>29.5725</f>
        <v>29.572500000000002</v>
      </c>
      <c r="D827">
        <f>27.13</f>
        <v>27.13</v>
      </c>
      <c r="E827">
        <f>24.7</f>
        <v>24.7</v>
      </c>
    </row>
    <row r="828" spans="1:5" x14ac:dyDescent="0.2">
      <c r="A828" s="1">
        <v>44019</v>
      </c>
      <c r="B828">
        <f>29.43</f>
        <v>29.43</v>
      </c>
      <c r="C828">
        <f>27.9345</f>
        <v>27.9345</v>
      </c>
      <c r="D828">
        <f>26.16</f>
        <v>26.16</v>
      </c>
      <c r="E828">
        <f>24.74</f>
        <v>24.74</v>
      </c>
    </row>
    <row r="829" spans="1:5" x14ac:dyDescent="0.2">
      <c r="A829" s="1">
        <v>44018</v>
      </c>
      <c r="B829">
        <f>27.94</f>
        <v>27.94</v>
      </c>
      <c r="C829">
        <f>27.6015</f>
        <v>27.601500000000001</v>
      </c>
      <c r="D829">
        <f>25.14</f>
        <v>25.14</v>
      </c>
      <c r="E829">
        <f>25.13</f>
        <v>25.13</v>
      </c>
    </row>
    <row r="830" spans="1:5" x14ac:dyDescent="0.2">
      <c r="A830" s="1">
        <v>44015</v>
      </c>
      <c r="B830" t="e">
        <f>NA()</f>
        <v>#N/A</v>
      </c>
      <c r="C830">
        <f>28.2699</f>
        <v>28.2699</v>
      </c>
      <c r="D830">
        <f>26.03</f>
        <v>26.03</v>
      </c>
      <c r="E830">
        <f>25.2</f>
        <v>25.2</v>
      </c>
    </row>
    <row r="831" spans="1:5" x14ac:dyDescent="0.2">
      <c r="A831" s="1">
        <v>44014</v>
      </c>
      <c r="B831">
        <f>27.68</f>
        <v>27.68</v>
      </c>
      <c r="C831">
        <f>27.5942</f>
        <v>27.594200000000001</v>
      </c>
      <c r="D831">
        <f>25.25</f>
        <v>25.25</v>
      </c>
      <c r="E831">
        <f>25.47</f>
        <v>25.47</v>
      </c>
    </row>
    <row r="832" spans="1:5" x14ac:dyDescent="0.2">
      <c r="A832" s="1">
        <v>44013</v>
      </c>
      <c r="B832">
        <f>28.62</f>
        <v>28.62</v>
      </c>
      <c r="C832">
        <f>30.1305</f>
        <v>30.130500000000001</v>
      </c>
      <c r="D832">
        <f>28.24</f>
        <v>28.24</v>
      </c>
      <c r="E832">
        <f>25.25</f>
        <v>25.25</v>
      </c>
    </row>
    <row r="833" spans="1:5" x14ac:dyDescent="0.2">
      <c r="A833" s="1">
        <v>44012</v>
      </c>
      <c r="B833">
        <f>30.43</f>
        <v>30.43</v>
      </c>
      <c r="C833">
        <f>31.7179</f>
        <v>31.7179</v>
      </c>
      <c r="D833">
        <f>29.37</f>
        <v>29.37</v>
      </c>
      <c r="E833">
        <f>24.57</f>
        <v>24.57</v>
      </c>
    </row>
    <row r="834" spans="1:5" x14ac:dyDescent="0.2">
      <c r="A834" s="1">
        <v>44011</v>
      </c>
      <c r="B834">
        <f>31.78</f>
        <v>31.78</v>
      </c>
      <c r="C834">
        <f>34.4922</f>
        <v>34.492199999999997</v>
      </c>
      <c r="D834">
        <f>31.24</f>
        <v>31.24</v>
      </c>
      <c r="E834">
        <f>23.8</f>
        <v>23.8</v>
      </c>
    </row>
    <row r="835" spans="1:5" x14ac:dyDescent="0.2">
      <c r="A835" s="1">
        <v>44008</v>
      </c>
      <c r="B835">
        <f>34.73</f>
        <v>34.729999999999997</v>
      </c>
      <c r="C835">
        <f>35.1735</f>
        <v>35.173499999999997</v>
      </c>
      <c r="D835">
        <f>31.66</f>
        <v>31.66</v>
      </c>
      <c r="E835">
        <f>23.05</f>
        <v>23.05</v>
      </c>
    </row>
    <row r="836" spans="1:5" x14ac:dyDescent="0.2">
      <c r="A836" s="1">
        <v>44007</v>
      </c>
      <c r="B836">
        <f>32.22</f>
        <v>32.22</v>
      </c>
      <c r="C836">
        <f>34.6839</f>
        <v>34.683900000000001</v>
      </c>
      <c r="D836">
        <f>30.92</f>
        <v>30.92</v>
      </c>
      <c r="E836">
        <f>23.03</f>
        <v>23.03</v>
      </c>
    </row>
    <row r="837" spans="1:5" x14ac:dyDescent="0.2">
      <c r="A837" s="1">
        <v>44006</v>
      </c>
      <c r="B837">
        <f>33.84</f>
        <v>33.840000000000003</v>
      </c>
      <c r="C837">
        <f>36.8071</f>
        <v>36.807099999999998</v>
      </c>
      <c r="D837">
        <f>33.13</f>
        <v>33.130000000000003</v>
      </c>
      <c r="E837">
        <f>26.55</f>
        <v>26.55</v>
      </c>
    </row>
    <row r="838" spans="1:5" x14ac:dyDescent="0.2">
      <c r="A838" s="1">
        <v>44005</v>
      </c>
      <c r="B838">
        <f>31.37</f>
        <v>31.37</v>
      </c>
      <c r="C838">
        <f>31.3419</f>
        <v>31.341899999999999</v>
      </c>
      <c r="D838">
        <f>28.25</f>
        <v>28.25</v>
      </c>
      <c r="E838">
        <f>26.55</f>
        <v>26.55</v>
      </c>
    </row>
    <row r="839" spans="1:5" x14ac:dyDescent="0.2">
      <c r="A839" s="1">
        <v>44004</v>
      </c>
      <c r="B839">
        <f>31.77</f>
        <v>31.77</v>
      </c>
      <c r="C839">
        <f>33.781</f>
        <v>33.780999999999999</v>
      </c>
      <c r="D839">
        <f>30.19</f>
        <v>30.19</v>
      </c>
      <c r="E839">
        <f>26.55</f>
        <v>26.55</v>
      </c>
    </row>
    <row r="840" spans="1:5" x14ac:dyDescent="0.2">
      <c r="A840" s="1">
        <v>44001</v>
      </c>
      <c r="B840">
        <f>35.12</f>
        <v>35.119999999999997</v>
      </c>
      <c r="C840">
        <f>32.2142</f>
        <v>32.214199999999998</v>
      </c>
      <c r="D840">
        <f>29.08</f>
        <v>29.08</v>
      </c>
      <c r="E840">
        <f>26.56</f>
        <v>26.56</v>
      </c>
    </row>
    <row r="841" spans="1:5" x14ac:dyDescent="0.2">
      <c r="A841" s="1">
        <v>44000</v>
      </c>
      <c r="B841">
        <f>32.94</f>
        <v>32.94</v>
      </c>
      <c r="C841">
        <f>35.0461</f>
        <v>35.046100000000003</v>
      </c>
      <c r="D841">
        <f>32.17</f>
        <v>32.17</v>
      </c>
      <c r="E841">
        <f>27.81</f>
        <v>27.81</v>
      </c>
    </row>
    <row r="842" spans="1:5" x14ac:dyDescent="0.2">
      <c r="A842" s="1">
        <v>43999</v>
      </c>
      <c r="B842">
        <f>33.47</f>
        <v>33.47</v>
      </c>
      <c r="C842">
        <f>35.3603</f>
        <v>35.360300000000002</v>
      </c>
      <c r="D842">
        <f>32.61</f>
        <v>32.61</v>
      </c>
      <c r="E842">
        <f>27.81</f>
        <v>27.81</v>
      </c>
    </row>
    <row r="843" spans="1:5" x14ac:dyDescent="0.2">
      <c r="A843" s="1">
        <v>43998</v>
      </c>
      <c r="B843">
        <f>33.67</f>
        <v>33.67</v>
      </c>
      <c r="C843">
        <f>36.0977</f>
        <v>36.097700000000003</v>
      </c>
      <c r="D843">
        <f>33.69</f>
        <v>33.69</v>
      </c>
      <c r="E843" t="e">
        <f>NA()</f>
        <v>#N/A</v>
      </c>
    </row>
    <row r="844" spans="1:5" x14ac:dyDescent="0.2">
      <c r="A844" s="1">
        <v>43997</v>
      </c>
      <c r="B844">
        <f>34.4</f>
        <v>34.4</v>
      </c>
      <c r="C844">
        <f>38.4135</f>
        <v>38.413499999999999</v>
      </c>
      <c r="D844">
        <f>35.45</f>
        <v>35.450000000000003</v>
      </c>
      <c r="E844">
        <f>27.8</f>
        <v>27.8</v>
      </c>
    </row>
    <row r="845" spans="1:5" x14ac:dyDescent="0.2">
      <c r="A845" s="1">
        <v>43994</v>
      </c>
      <c r="B845">
        <f>36.09</f>
        <v>36.090000000000003</v>
      </c>
      <c r="C845">
        <f>41.4116</f>
        <v>41.4116</v>
      </c>
      <c r="D845">
        <f>37.24</f>
        <v>37.24</v>
      </c>
      <c r="E845">
        <f>24.05</f>
        <v>24.05</v>
      </c>
    </row>
    <row r="846" spans="1:5" x14ac:dyDescent="0.2">
      <c r="A846" s="1">
        <v>43993</v>
      </c>
      <c r="B846">
        <f>40.79</f>
        <v>40.79</v>
      </c>
      <c r="C846">
        <f>36.0215</f>
        <v>36.021500000000003</v>
      </c>
      <c r="D846">
        <f>33.2</f>
        <v>33.200000000000003</v>
      </c>
      <c r="E846">
        <f>24.06</f>
        <v>24.06</v>
      </c>
    </row>
    <row r="847" spans="1:5" x14ac:dyDescent="0.2">
      <c r="A847" s="1">
        <v>43992</v>
      </c>
      <c r="B847">
        <f>27.57</f>
        <v>27.57</v>
      </c>
      <c r="C847">
        <f>30.0524</f>
        <v>30.052399999999999</v>
      </c>
      <c r="D847">
        <f>27.8</f>
        <v>27.8</v>
      </c>
      <c r="E847">
        <f>24.07</f>
        <v>24.07</v>
      </c>
    </row>
    <row r="848" spans="1:5" x14ac:dyDescent="0.2">
      <c r="A848" s="1">
        <v>43991</v>
      </c>
      <c r="B848">
        <f>27.57</f>
        <v>27.57</v>
      </c>
      <c r="C848">
        <f>29.7453</f>
        <v>29.7453</v>
      </c>
      <c r="D848">
        <f>27.89</f>
        <v>27.89</v>
      </c>
      <c r="E848">
        <f>24.07</f>
        <v>24.07</v>
      </c>
    </row>
    <row r="849" spans="1:5" x14ac:dyDescent="0.2">
      <c r="A849" s="1">
        <v>43990</v>
      </c>
      <c r="B849">
        <f>25.81</f>
        <v>25.81</v>
      </c>
      <c r="C849">
        <f>28.1197</f>
        <v>28.119700000000002</v>
      </c>
      <c r="D849">
        <f>26.31</f>
        <v>26.31</v>
      </c>
      <c r="E849">
        <f>24.8</f>
        <v>24.8</v>
      </c>
    </row>
    <row r="850" spans="1:5" x14ac:dyDescent="0.2">
      <c r="A850" s="1">
        <v>43987</v>
      </c>
      <c r="B850">
        <f>24.52</f>
        <v>24.52</v>
      </c>
      <c r="C850">
        <f>27.8909</f>
        <v>27.890899999999998</v>
      </c>
      <c r="D850">
        <f>25.61</f>
        <v>25.61</v>
      </c>
      <c r="E850">
        <f>25.13</f>
        <v>25.13</v>
      </c>
    </row>
    <row r="851" spans="1:5" x14ac:dyDescent="0.2">
      <c r="A851" s="1">
        <v>43986</v>
      </c>
      <c r="B851">
        <f>25.81</f>
        <v>25.81</v>
      </c>
      <c r="C851">
        <f>27.6617</f>
        <v>27.6617</v>
      </c>
      <c r="D851">
        <f>26.05</f>
        <v>26.05</v>
      </c>
      <c r="E851">
        <f>22.64</f>
        <v>22.64</v>
      </c>
    </row>
    <row r="852" spans="1:5" x14ac:dyDescent="0.2">
      <c r="A852" s="1">
        <v>43985</v>
      </c>
      <c r="B852">
        <f>25.66</f>
        <v>25.66</v>
      </c>
      <c r="C852">
        <f>29.6082</f>
        <v>29.6082</v>
      </c>
      <c r="D852">
        <f>27.66</f>
        <v>27.66</v>
      </c>
      <c r="E852">
        <f>23.64</f>
        <v>23.64</v>
      </c>
    </row>
    <row r="853" spans="1:5" x14ac:dyDescent="0.2">
      <c r="A853" s="1">
        <v>43984</v>
      </c>
      <c r="B853">
        <f>26.84</f>
        <v>26.84</v>
      </c>
      <c r="C853">
        <f>30.678</f>
        <v>30.678000000000001</v>
      </c>
      <c r="D853">
        <f>28.46</f>
        <v>28.46</v>
      </c>
      <c r="E853">
        <f>23.66</f>
        <v>23.66</v>
      </c>
    </row>
    <row r="854" spans="1:5" x14ac:dyDescent="0.2">
      <c r="A854" s="1">
        <v>43983</v>
      </c>
      <c r="B854">
        <f>28.23</f>
        <v>28.23</v>
      </c>
      <c r="C854">
        <f>30.099</f>
        <v>30.099</v>
      </c>
      <c r="D854">
        <f>28.47</f>
        <v>28.47</v>
      </c>
      <c r="E854">
        <f>27.37</f>
        <v>27.37</v>
      </c>
    </row>
    <row r="855" spans="1:5" x14ac:dyDescent="0.2">
      <c r="A855" s="1">
        <v>43980</v>
      </c>
      <c r="B855">
        <f>27.51</f>
        <v>27.51</v>
      </c>
      <c r="C855">
        <f>31.1263</f>
        <v>31.126300000000001</v>
      </c>
      <c r="D855">
        <f>29.75</f>
        <v>29.75</v>
      </c>
      <c r="E855">
        <f>27.4</f>
        <v>27.4</v>
      </c>
    </row>
    <row r="856" spans="1:5" x14ac:dyDescent="0.2">
      <c r="A856" s="1">
        <v>43979</v>
      </c>
      <c r="B856">
        <f>28.59</f>
        <v>28.59</v>
      </c>
      <c r="C856">
        <f>29.0063</f>
        <v>29.0063</v>
      </c>
      <c r="D856">
        <f>27.19</f>
        <v>27.19</v>
      </c>
      <c r="E856">
        <f>27.14</f>
        <v>27.14</v>
      </c>
    </row>
    <row r="857" spans="1:5" x14ac:dyDescent="0.2">
      <c r="A857" s="1">
        <v>43978</v>
      </c>
      <c r="B857">
        <f>27.62</f>
        <v>27.62</v>
      </c>
      <c r="C857">
        <f>29.3988</f>
        <v>29.398800000000001</v>
      </c>
      <c r="D857">
        <f>27.41</f>
        <v>27.41</v>
      </c>
      <c r="E857">
        <f>27.4</f>
        <v>27.4</v>
      </c>
    </row>
    <row r="858" spans="1:5" x14ac:dyDescent="0.2">
      <c r="A858" s="1">
        <v>43977</v>
      </c>
      <c r="B858">
        <f>28.01</f>
        <v>28.01</v>
      </c>
      <c r="C858">
        <f>28.0385</f>
        <v>28.038499999999999</v>
      </c>
      <c r="D858">
        <f>26.23</f>
        <v>26.23</v>
      </c>
      <c r="E858">
        <f>27.04</f>
        <v>27.04</v>
      </c>
    </row>
    <row r="859" spans="1:5" x14ac:dyDescent="0.2">
      <c r="A859" s="1">
        <v>43976</v>
      </c>
      <c r="B859" t="e">
        <f>NA()</f>
        <v>#N/A</v>
      </c>
      <c r="C859">
        <f>29.1565</f>
        <v>29.156500000000001</v>
      </c>
      <c r="D859" t="e">
        <f>NA()</f>
        <v>#N/A</v>
      </c>
      <c r="E859">
        <f>27.04</f>
        <v>27.04</v>
      </c>
    </row>
    <row r="860" spans="1:5" x14ac:dyDescent="0.2">
      <c r="A860" s="1">
        <v>43973</v>
      </c>
      <c r="B860">
        <f>28.16</f>
        <v>28.16</v>
      </c>
      <c r="C860">
        <f>31.4161</f>
        <v>31.4161</v>
      </c>
      <c r="D860">
        <f>28.69</f>
        <v>28.69</v>
      </c>
      <c r="E860">
        <f>26.9</f>
        <v>26.9</v>
      </c>
    </row>
    <row r="861" spans="1:5" x14ac:dyDescent="0.2">
      <c r="A861" s="1">
        <v>43972</v>
      </c>
      <c r="B861">
        <f>29.53</f>
        <v>29.53</v>
      </c>
      <c r="C861">
        <f>32.315</f>
        <v>32.314999999999998</v>
      </c>
      <c r="D861">
        <f>28.26</f>
        <v>28.26</v>
      </c>
      <c r="E861">
        <f>26.91</f>
        <v>26.91</v>
      </c>
    </row>
    <row r="862" spans="1:5" x14ac:dyDescent="0.2">
      <c r="A862" s="1">
        <v>43971</v>
      </c>
      <c r="B862">
        <f>27.99</f>
        <v>27.99</v>
      </c>
      <c r="C862">
        <f>29.1093</f>
        <v>29.109300000000001</v>
      </c>
      <c r="D862">
        <f>26.4</f>
        <v>26.4</v>
      </c>
      <c r="E862">
        <f>26.72</f>
        <v>26.72</v>
      </c>
    </row>
    <row r="863" spans="1:5" x14ac:dyDescent="0.2">
      <c r="A863" s="1">
        <v>43970</v>
      </c>
      <c r="B863">
        <f>30.53</f>
        <v>30.53</v>
      </c>
      <c r="C863">
        <f>30.1699</f>
        <v>30.169899999999998</v>
      </c>
      <c r="D863">
        <f>27.14</f>
        <v>27.14</v>
      </c>
      <c r="E863">
        <f>27.2</f>
        <v>27.2</v>
      </c>
    </row>
    <row r="864" spans="1:5" x14ac:dyDescent="0.2">
      <c r="A864" s="1">
        <v>43969</v>
      </c>
      <c r="B864">
        <f>29.3</f>
        <v>29.3</v>
      </c>
      <c r="C864">
        <f>29.0582</f>
        <v>29.058199999999999</v>
      </c>
      <c r="D864">
        <f>26.04</f>
        <v>26.04</v>
      </c>
      <c r="E864">
        <f>27.21</f>
        <v>27.21</v>
      </c>
    </row>
    <row r="865" spans="1:5" x14ac:dyDescent="0.2">
      <c r="A865" s="1">
        <v>43966</v>
      </c>
      <c r="B865">
        <f>31.89</f>
        <v>31.89</v>
      </c>
      <c r="C865">
        <f>34.4706</f>
        <v>34.470599999999997</v>
      </c>
      <c r="D865">
        <f>30.32</f>
        <v>30.32</v>
      </c>
      <c r="E865">
        <f>27.28</f>
        <v>27.28</v>
      </c>
    </row>
    <row r="866" spans="1:5" x14ac:dyDescent="0.2">
      <c r="A866" s="1">
        <v>43965</v>
      </c>
      <c r="B866">
        <f>32.61</f>
        <v>32.61</v>
      </c>
      <c r="C866">
        <f>36.3219</f>
        <v>36.321899999999999</v>
      </c>
      <c r="D866">
        <f>32.75</f>
        <v>32.75</v>
      </c>
      <c r="E866">
        <f>27.75</f>
        <v>27.75</v>
      </c>
    </row>
    <row r="867" spans="1:5" x14ac:dyDescent="0.2">
      <c r="A867" s="1">
        <v>43964</v>
      </c>
      <c r="B867">
        <f>35.28</f>
        <v>35.28</v>
      </c>
      <c r="C867">
        <f>33.4196</f>
        <v>33.419600000000003</v>
      </c>
      <c r="D867">
        <f>29.14</f>
        <v>29.14</v>
      </c>
      <c r="E867">
        <f>27.51</f>
        <v>27.51</v>
      </c>
    </row>
    <row r="868" spans="1:5" x14ac:dyDescent="0.2">
      <c r="A868" s="1">
        <v>43963</v>
      </c>
      <c r="B868">
        <f>33.04</f>
        <v>33.04</v>
      </c>
      <c r="C868">
        <f>27.6697</f>
        <v>27.669699999999999</v>
      </c>
      <c r="D868">
        <f>24.45</f>
        <v>24.45</v>
      </c>
      <c r="E868">
        <f>27.45</f>
        <v>27.45</v>
      </c>
    </row>
    <row r="869" spans="1:5" x14ac:dyDescent="0.2">
      <c r="A869" s="1">
        <v>43962</v>
      </c>
      <c r="B869">
        <f>27.57</f>
        <v>27.57</v>
      </c>
      <c r="C869">
        <f>29.9068</f>
        <v>29.9068</v>
      </c>
      <c r="D869">
        <f>26.87</f>
        <v>26.87</v>
      </c>
      <c r="E869">
        <f>27.47</f>
        <v>27.47</v>
      </c>
    </row>
    <row r="870" spans="1:5" x14ac:dyDescent="0.2">
      <c r="A870" s="1">
        <v>43959</v>
      </c>
      <c r="B870">
        <f>27.98</f>
        <v>27.98</v>
      </c>
      <c r="C870">
        <f>29.6643</f>
        <v>29.664300000000001</v>
      </c>
      <c r="D870" t="e">
        <f>NA()</f>
        <v>#N/A</v>
      </c>
      <c r="E870">
        <f>27.54</f>
        <v>27.54</v>
      </c>
    </row>
    <row r="871" spans="1:5" x14ac:dyDescent="0.2">
      <c r="A871" s="1">
        <v>43958</v>
      </c>
      <c r="B871">
        <f>31.44</f>
        <v>31.44</v>
      </c>
      <c r="C871">
        <f>32.4312</f>
        <v>32.431199999999997</v>
      </c>
      <c r="D871">
        <f>29.13</f>
        <v>29.13</v>
      </c>
      <c r="E871">
        <f>29.77</f>
        <v>29.77</v>
      </c>
    </row>
    <row r="872" spans="1:5" x14ac:dyDescent="0.2">
      <c r="A872" s="1">
        <v>43957</v>
      </c>
      <c r="B872">
        <f>34.12</f>
        <v>34.119999999999997</v>
      </c>
      <c r="C872">
        <f>34.8075</f>
        <v>34.807499999999997</v>
      </c>
      <c r="D872">
        <f>31.48</f>
        <v>31.48</v>
      </c>
      <c r="E872">
        <f>29.81</f>
        <v>29.81</v>
      </c>
    </row>
    <row r="873" spans="1:5" x14ac:dyDescent="0.2">
      <c r="A873" s="1">
        <v>43956</v>
      </c>
      <c r="B873">
        <f>33.61</f>
        <v>33.61</v>
      </c>
      <c r="C873">
        <f>34.5055</f>
        <v>34.505499999999998</v>
      </c>
      <c r="D873">
        <f>32.16</f>
        <v>32.159999999999997</v>
      </c>
      <c r="E873">
        <f>30.82</f>
        <v>30.82</v>
      </c>
    </row>
    <row r="874" spans="1:5" x14ac:dyDescent="0.2">
      <c r="A874" s="1">
        <v>43955</v>
      </c>
      <c r="B874">
        <f>35.97</f>
        <v>35.97</v>
      </c>
      <c r="C874">
        <f>38.322</f>
        <v>38.322000000000003</v>
      </c>
      <c r="D874">
        <f>35.12</f>
        <v>35.119999999999997</v>
      </c>
      <c r="E874">
        <f>30.3</f>
        <v>30.3</v>
      </c>
    </row>
    <row r="875" spans="1:5" x14ac:dyDescent="0.2">
      <c r="A875" s="1">
        <v>43952</v>
      </c>
      <c r="B875">
        <f>37.19</f>
        <v>37.19</v>
      </c>
      <c r="C875" t="e">
        <f>NA()</f>
        <v>#N/A</v>
      </c>
      <c r="D875">
        <f>34.49</f>
        <v>34.49</v>
      </c>
      <c r="E875" t="e">
        <f>NA()</f>
        <v>#N/A</v>
      </c>
    </row>
    <row r="876" spans="1:5" x14ac:dyDescent="0.2">
      <c r="A876" s="1">
        <v>43951</v>
      </c>
      <c r="B876">
        <f>34.15</f>
        <v>34.15</v>
      </c>
      <c r="C876">
        <f>33.9105</f>
        <v>33.910499999999999</v>
      </c>
      <c r="D876">
        <f>31.75</f>
        <v>31.75</v>
      </c>
      <c r="E876">
        <f>30.39</f>
        <v>30.39</v>
      </c>
    </row>
    <row r="877" spans="1:5" x14ac:dyDescent="0.2">
      <c r="A877" s="1">
        <v>43950</v>
      </c>
      <c r="B877">
        <f>31.23</f>
        <v>31.23</v>
      </c>
      <c r="C877">
        <f>30.7205</f>
        <v>30.720500000000001</v>
      </c>
      <c r="D877">
        <f>28.18</f>
        <v>28.18</v>
      </c>
      <c r="E877">
        <f>30.41</f>
        <v>30.41</v>
      </c>
    </row>
    <row r="878" spans="1:5" x14ac:dyDescent="0.2">
      <c r="A878" s="1">
        <v>43949</v>
      </c>
      <c r="B878">
        <f>33.57</f>
        <v>33.57</v>
      </c>
      <c r="C878">
        <f>33.012</f>
        <v>33.012</v>
      </c>
      <c r="D878">
        <f>29.19</f>
        <v>29.19</v>
      </c>
      <c r="E878">
        <f>30.52</f>
        <v>30.52</v>
      </c>
    </row>
    <row r="879" spans="1:5" x14ac:dyDescent="0.2">
      <c r="A879" s="1">
        <v>43948</v>
      </c>
      <c r="B879">
        <f>33.29</f>
        <v>33.29</v>
      </c>
      <c r="C879">
        <f>34.7193</f>
        <v>34.719299999999997</v>
      </c>
      <c r="D879">
        <f>31.5</f>
        <v>31.5</v>
      </c>
      <c r="E879" t="e">
        <f>NA()</f>
        <v>#N/A</v>
      </c>
    </row>
    <row r="880" spans="1:5" x14ac:dyDescent="0.2">
      <c r="A880" s="1">
        <v>43945</v>
      </c>
      <c r="B880">
        <f>35.93</f>
        <v>35.93</v>
      </c>
      <c r="C880">
        <f>40.1744</f>
        <v>40.174399999999999</v>
      </c>
      <c r="D880">
        <f>36.08</f>
        <v>36.08</v>
      </c>
      <c r="E880">
        <f>30.88</f>
        <v>30.88</v>
      </c>
    </row>
    <row r="881" spans="1:5" x14ac:dyDescent="0.2">
      <c r="A881" s="1">
        <v>43944</v>
      </c>
      <c r="B881">
        <f>41.38</f>
        <v>41.38</v>
      </c>
      <c r="C881">
        <f>40.3534</f>
        <v>40.353400000000001</v>
      </c>
      <c r="D881">
        <f>36.54</f>
        <v>36.54</v>
      </c>
      <c r="E881">
        <f>31.06</f>
        <v>31.06</v>
      </c>
    </row>
    <row r="882" spans="1:5" x14ac:dyDescent="0.2">
      <c r="A882" s="1">
        <v>43943</v>
      </c>
      <c r="B882">
        <f>41.98</f>
        <v>41.98</v>
      </c>
      <c r="C882">
        <f>43.9569</f>
        <v>43.956899999999997</v>
      </c>
      <c r="D882">
        <f>39.06</f>
        <v>39.06</v>
      </c>
      <c r="E882">
        <f>31.43</f>
        <v>31.43</v>
      </c>
    </row>
    <row r="883" spans="1:5" x14ac:dyDescent="0.2">
      <c r="A883" s="1">
        <v>43942</v>
      </c>
      <c r="B883">
        <f>45.41</f>
        <v>45.41</v>
      </c>
      <c r="C883">
        <f>48.2215</f>
        <v>48.221499999999999</v>
      </c>
      <c r="D883">
        <f>42.34</f>
        <v>42.34</v>
      </c>
      <c r="E883">
        <f>31.3</f>
        <v>31.3</v>
      </c>
    </row>
    <row r="884" spans="1:5" x14ac:dyDescent="0.2">
      <c r="A884" s="1">
        <v>43941</v>
      </c>
      <c r="B884">
        <f>43.83</f>
        <v>43.83</v>
      </c>
      <c r="C884">
        <f>41.2975</f>
        <v>41.297499999999999</v>
      </c>
      <c r="D884">
        <f>37.26</f>
        <v>37.26</v>
      </c>
      <c r="E884" t="e">
        <f>NA()</f>
        <v>#N/A</v>
      </c>
    </row>
    <row r="885" spans="1:5" x14ac:dyDescent="0.2">
      <c r="A885" s="1">
        <v>43938</v>
      </c>
      <c r="B885">
        <f>38.15</f>
        <v>38.15</v>
      </c>
      <c r="C885">
        <f>41.201</f>
        <v>41.201000000000001</v>
      </c>
      <c r="D885">
        <f>37.56</f>
        <v>37.56</v>
      </c>
      <c r="E885">
        <f>29.87</f>
        <v>29.87</v>
      </c>
    </row>
    <row r="886" spans="1:5" x14ac:dyDescent="0.2">
      <c r="A886" s="1">
        <v>43937</v>
      </c>
      <c r="B886">
        <f>40.11</f>
        <v>40.11</v>
      </c>
      <c r="C886">
        <f>43.2623</f>
        <v>43.262300000000003</v>
      </c>
      <c r="D886">
        <f>39</f>
        <v>39</v>
      </c>
      <c r="E886">
        <f>29.92</f>
        <v>29.92</v>
      </c>
    </row>
    <row r="887" spans="1:5" x14ac:dyDescent="0.2">
      <c r="A887" s="1">
        <v>43936</v>
      </c>
      <c r="B887">
        <f>40.84</f>
        <v>40.840000000000003</v>
      </c>
      <c r="C887">
        <f>44.9575</f>
        <v>44.957500000000003</v>
      </c>
      <c r="D887">
        <f>41.66</f>
        <v>41.66</v>
      </c>
      <c r="E887">
        <f>33.42</f>
        <v>33.42</v>
      </c>
    </row>
    <row r="888" spans="1:5" x14ac:dyDescent="0.2">
      <c r="A888" s="1">
        <v>43935</v>
      </c>
      <c r="B888">
        <f>37.76</f>
        <v>37.76</v>
      </c>
      <c r="C888">
        <f>40.4768</f>
        <v>40.476799999999997</v>
      </c>
      <c r="D888">
        <f>37.93</f>
        <v>37.93</v>
      </c>
      <c r="E888">
        <f>33.42</f>
        <v>33.42</v>
      </c>
    </row>
    <row r="889" spans="1:5" x14ac:dyDescent="0.2">
      <c r="A889" s="1">
        <v>43934</v>
      </c>
      <c r="B889">
        <f>41.17</f>
        <v>41.17</v>
      </c>
      <c r="C889" t="e">
        <f>NA()</f>
        <v>#N/A</v>
      </c>
      <c r="D889" t="e">
        <f>NA()</f>
        <v>#N/A</v>
      </c>
      <c r="E889" t="e">
        <f>NA()</f>
        <v>#N/A</v>
      </c>
    </row>
    <row r="890" spans="1:5" x14ac:dyDescent="0.2">
      <c r="A890" s="1">
        <v>43930</v>
      </c>
      <c r="B890">
        <f>41.67</f>
        <v>41.67</v>
      </c>
      <c r="C890">
        <f>44.7106</f>
        <v>44.710599999999999</v>
      </c>
      <c r="D890">
        <f>41.01</f>
        <v>41.01</v>
      </c>
      <c r="E890">
        <f>31.54</f>
        <v>31.54</v>
      </c>
    </row>
    <row r="891" spans="1:5" x14ac:dyDescent="0.2">
      <c r="A891" s="1">
        <v>43929</v>
      </c>
      <c r="B891">
        <f>43.35</f>
        <v>43.35</v>
      </c>
      <c r="C891">
        <f>45.2972</f>
        <v>45.297199999999997</v>
      </c>
      <c r="D891">
        <f>41.06</f>
        <v>41.06</v>
      </c>
      <c r="E891">
        <f>35.05</f>
        <v>35.049999999999997</v>
      </c>
    </row>
    <row r="892" spans="1:5" x14ac:dyDescent="0.2">
      <c r="A892" s="1">
        <v>43928</v>
      </c>
      <c r="B892">
        <f>46.7</f>
        <v>46.7</v>
      </c>
      <c r="C892">
        <f>46.2871</f>
        <v>46.287100000000002</v>
      </c>
      <c r="D892">
        <f>40.94</f>
        <v>40.94</v>
      </c>
      <c r="E892">
        <f>35.24</f>
        <v>35.24</v>
      </c>
    </row>
    <row r="893" spans="1:5" x14ac:dyDescent="0.2">
      <c r="A893" s="1">
        <v>43927</v>
      </c>
      <c r="B893">
        <f>45.24</f>
        <v>45.24</v>
      </c>
      <c r="C893">
        <f>43.0301</f>
        <v>43.030099999999997</v>
      </c>
      <c r="D893">
        <f>38.7</f>
        <v>38.700000000000003</v>
      </c>
      <c r="E893">
        <f>37.57</f>
        <v>37.57</v>
      </c>
    </row>
    <row r="894" spans="1:5" x14ac:dyDescent="0.2">
      <c r="A894" s="1">
        <v>43924</v>
      </c>
      <c r="B894">
        <f>46.8</f>
        <v>46.8</v>
      </c>
      <c r="C894">
        <f>45.8806</f>
        <v>45.880600000000001</v>
      </c>
      <c r="D894">
        <f>42.74</f>
        <v>42.74</v>
      </c>
      <c r="E894">
        <f>38.32</f>
        <v>38.32</v>
      </c>
    </row>
    <row r="895" spans="1:5" x14ac:dyDescent="0.2">
      <c r="A895" s="1">
        <v>43923</v>
      </c>
      <c r="B895">
        <f>50.91</f>
        <v>50.91</v>
      </c>
      <c r="C895">
        <f>49.9156</f>
        <v>49.915599999999998</v>
      </c>
      <c r="D895">
        <f>46.09</f>
        <v>46.09</v>
      </c>
      <c r="E895">
        <f>38.5</f>
        <v>38.5</v>
      </c>
    </row>
    <row r="896" spans="1:5" x14ac:dyDescent="0.2">
      <c r="A896" s="1">
        <v>43922</v>
      </c>
      <c r="B896">
        <f>57.06</f>
        <v>57.06</v>
      </c>
      <c r="C896">
        <f>51.1408</f>
        <v>51.140799999999999</v>
      </c>
      <c r="D896">
        <f>47.64</f>
        <v>47.64</v>
      </c>
      <c r="E896">
        <f>38.75</f>
        <v>38.75</v>
      </c>
    </row>
    <row r="897" spans="1:5" x14ac:dyDescent="0.2">
      <c r="A897" s="1">
        <v>43921</v>
      </c>
      <c r="B897">
        <f>53.54</f>
        <v>53.54</v>
      </c>
      <c r="C897">
        <f>48.5926</f>
        <v>48.592599999999997</v>
      </c>
      <c r="D897">
        <f>46.25</f>
        <v>46.25</v>
      </c>
      <c r="E897">
        <f>37.93</f>
        <v>37.93</v>
      </c>
    </row>
    <row r="898" spans="1:5" x14ac:dyDescent="0.2">
      <c r="A898" s="1">
        <v>43920</v>
      </c>
      <c r="B898">
        <f>57.08</f>
        <v>57.08</v>
      </c>
      <c r="C898">
        <f>55.6324</f>
        <v>55.632399999999997</v>
      </c>
      <c r="D898">
        <f>51.51</f>
        <v>51.51</v>
      </c>
      <c r="E898">
        <f>48.34</f>
        <v>48.34</v>
      </c>
    </row>
    <row r="899" spans="1:5" x14ac:dyDescent="0.2">
      <c r="A899" s="1">
        <v>43917</v>
      </c>
      <c r="B899">
        <f>65.54</f>
        <v>65.540000000000006</v>
      </c>
      <c r="C899">
        <f>60.9948</f>
        <v>60.994799999999998</v>
      </c>
      <c r="D899">
        <f>56.09</f>
        <v>56.09</v>
      </c>
      <c r="E899">
        <f>49.04</f>
        <v>49.04</v>
      </c>
    </row>
    <row r="900" spans="1:5" x14ac:dyDescent="0.2">
      <c r="A900" s="1">
        <v>43916</v>
      </c>
      <c r="B900">
        <f>61</f>
        <v>61</v>
      </c>
      <c r="C900">
        <f>54.3148</f>
        <v>54.314799999999998</v>
      </c>
      <c r="D900">
        <f>49.37</f>
        <v>49.37</v>
      </c>
      <c r="E900">
        <f>48.02</f>
        <v>48.02</v>
      </c>
    </row>
    <row r="901" spans="1:5" x14ac:dyDescent="0.2">
      <c r="A901" s="1">
        <v>43915</v>
      </c>
      <c r="B901">
        <f>63.95</f>
        <v>63.95</v>
      </c>
      <c r="C901">
        <f>57.1305</f>
        <v>57.130499999999998</v>
      </c>
      <c r="D901">
        <f>50.67</f>
        <v>50.67</v>
      </c>
      <c r="E901">
        <f>45</f>
        <v>45</v>
      </c>
    </row>
    <row r="902" spans="1:5" x14ac:dyDescent="0.2">
      <c r="A902" s="1">
        <v>43914</v>
      </c>
      <c r="B902">
        <f>61.67</f>
        <v>61.67</v>
      </c>
      <c r="C902">
        <f>52.5304</f>
        <v>52.5304</v>
      </c>
      <c r="D902">
        <f>46.28</f>
        <v>46.28</v>
      </c>
      <c r="E902">
        <f>46</f>
        <v>46</v>
      </c>
    </row>
    <row r="903" spans="1:5" x14ac:dyDescent="0.2">
      <c r="A903" s="1">
        <v>43913</v>
      </c>
      <c r="B903">
        <f>61.59</f>
        <v>61.59</v>
      </c>
      <c r="C903">
        <f>64.4283</f>
        <v>64.428299999999993</v>
      </c>
      <c r="D903">
        <f>54.71</f>
        <v>54.71</v>
      </c>
      <c r="E903">
        <f>46.35</f>
        <v>46.35</v>
      </c>
    </row>
    <row r="904" spans="1:5" x14ac:dyDescent="0.2">
      <c r="A904" s="1">
        <v>43910</v>
      </c>
      <c r="B904">
        <f>66.04</f>
        <v>66.040000000000006</v>
      </c>
      <c r="C904">
        <f>68.2146</f>
        <v>68.214600000000004</v>
      </c>
      <c r="D904">
        <f>56.57</f>
        <v>56.57</v>
      </c>
      <c r="E904">
        <f>47.12</f>
        <v>47.12</v>
      </c>
    </row>
    <row r="905" spans="1:5" x14ac:dyDescent="0.2">
      <c r="A905" s="1">
        <v>43909</v>
      </c>
      <c r="B905">
        <f>72</f>
        <v>72</v>
      </c>
      <c r="C905">
        <f>78.3461</f>
        <v>78.346100000000007</v>
      </c>
      <c r="D905">
        <f>62.6</f>
        <v>62.6</v>
      </c>
      <c r="E905">
        <f>47.11</f>
        <v>47.11</v>
      </c>
    </row>
    <row r="906" spans="1:5" x14ac:dyDescent="0.2">
      <c r="A906" s="1">
        <v>43908</v>
      </c>
      <c r="B906">
        <f>76.45</f>
        <v>76.45</v>
      </c>
      <c r="C906">
        <f>84.7969</f>
        <v>84.796899999999994</v>
      </c>
      <c r="D906">
        <f>68.47</f>
        <v>68.47</v>
      </c>
      <c r="E906">
        <f>45</f>
        <v>45</v>
      </c>
    </row>
    <row r="907" spans="1:5" x14ac:dyDescent="0.2">
      <c r="A907" s="1">
        <v>43907</v>
      </c>
      <c r="B907">
        <f>75.91</f>
        <v>75.91</v>
      </c>
      <c r="C907">
        <f>77.2625</f>
        <v>77.262500000000003</v>
      </c>
      <c r="D907">
        <f>64.38</f>
        <v>64.38</v>
      </c>
      <c r="E907">
        <f>42.86</f>
        <v>42.86</v>
      </c>
    </row>
    <row r="908" spans="1:5" x14ac:dyDescent="0.2">
      <c r="A908" s="1">
        <v>43906</v>
      </c>
      <c r="B908">
        <f>82.69</f>
        <v>82.69</v>
      </c>
      <c r="C908">
        <f>85.6206</f>
        <v>85.620599999999996</v>
      </c>
      <c r="D908">
        <f>69.73</f>
        <v>69.73</v>
      </c>
      <c r="E908" t="e">
        <f>NA()</f>
        <v>#N/A</v>
      </c>
    </row>
    <row r="909" spans="1:5" x14ac:dyDescent="0.2">
      <c r="A909" s="1">
        <v>43903</v>
      </c>
      <c r="B909">
        <f>57.83</f>
        <v>57.83</v>
      </c>
      <c r="C909">
        <f>74.3321</f>
        <v>74.332099999999997</v>
      </c>
      <c r="D909">
        <f>64.93</f>
        <v>64.930000000000007</v>
      </c>
      <c r="E909">
        <f>41.85</f>
        <v>41.85</v>
      </c>
    </row>
    <row r="910" spans="1:5" x14ac:dyDescent="0.2">
      <c r="A910" s="1">
        <v>43902</v>
      </c>
      <c r="B910">
        <f>75.47</f>
        <v>75.47</v>
      </c>
      <c r="C910">
        <f>71.5196</f>
        <v>71.519599999999997</v>
      </c>
      <c r="D910">
        <f>62</f>
        <v>62</v>
      </c>
      <c r="E910">
        <f>41.45</f>
        <v>41.45</v>
      </c>
    </row>
    <row r="911" spans="1:5" x14ac:dyDescent="0.2">
      <c r="A911" s="1">
        <v>43901</v>
      </c>
      <c r="B911">
        <f>53.9</f>
        <v>53.9</v>
      </c>
      <c r="C911">
        <f>53.7615</f>
        <v>53.761499999999998</v>
      </c>
      <c r="D911">
        <f>51.44</f>
        <v>51.44</v>
      </c>
      <c r="E911">
        <f>40.02</f>
        <v>40.020000000000003</v>
      </c>
    </row>
    <row r="912" spans="1:5" x14ac:dyDescent="0.2">
      <c r="A912" s="1">
        <v>43900</v>
      </c>
      <c r="B912">
        <f>47.3</f>
        <v>47.3</v>
      </c>
      <c r="C912">
        <f>53.8031</f>
        <v>53.803100000000001</v>
      </c>
      <c r="D912">
        <f>52.65</f>
        <v>52.65</v>
      </c>
      <c r="E912">
        <f>39.1</f>
        <v>39.1</v>
      </c>
    </row>
    <row r="913" spans="1:5" x14ac:dyDescent="0.2">
      <c r="A913" s="1">
        <v>43899</v>
      </c>
      <c r="B913">
        <f>54.46</f>
        <v>54.46</v>
      </c>
      <c r="C913">
        <f>54.0993</f>
        <v>54.099299999999999</v>
      </c>
      <c r="D913">
        <f>54.42</f>
        <v>54.42</v>
      </c>
      <c r="E913">
        <f>39.12</f>
        <v>39.119999999999997</v>
      </c>
    </row>
    <row r="914" spans="1:5" x14ac:dyDescent="0.2">
      <c r="A914" s="1">
        <v>43896</v>
      </c>
      <c r="B914">
        <f>41.94</f>
        <v>41.94</v>
      </c>
      <c r="C914">
        <f>43.0212</f>
        <v>43.0212</v>
      </c>
      <c r="D914">
        <f>42.52</f>
        <v>42.52</v>
      </c>
      <c r="E914">
        <f>26.54</f>
        <v>26.54</v>
      </c>
    </row>
    <row r="915" spans="1:5" x14ac:dyDescent="0.2">
      <c r="A915" s="1">
        <v>43895</v>
      </c>
      <c r="B915">
        <f>39.62</f>
        <v>39.619999999999997</v>
      </c>
      <c r="C915">
        <f>33.1404</f>
        <v>33.1404</v>
      </c>
      <c r="D915">
        <f>30.96</f>
        <v>30.96</v>
      </c>
      <c r="E915">
        <f>25.87</f>
        <v>25.87</v>
      </c>
    </row>
    <row r="916" spans="1:5" x14ac:dyDescent="0.2">
      <c r="A916" s="1">
        <v>43894</v>
      </c>
      <c r="B916">
        <f>31.99</f>
        <v>31.99</v>
      </c>
      <c r="C916">
        <f>29.7565</f>
        <v>29.756499999999999</v>
      </c>
      <c r="D916">
        <f>28.08</f>
        <v>28.08</v>
      </c>
      <c r="E916">
        <f>22.45</f>
        <v>22.45</v>
      </c>
    </row>
    <row r="917" spans="1:5" x14ac:dyDescent="0.2">
      <c r="A917" s="1">
        <v>43893</v>
      </c>
      <c r="B917">
        <f>36.82</f>
        <v>36.82</v>
      </c>
      <c r="C917">
        <f>33.4532</f>
        <v>33.453200000000002</v>
      </c>
      <c r="D917">
        <f>32.41</f>
        <v>32.409999999999997</v>
      </c>
      <c r="E917" t="e">
        <f>NA()</f>
        <v>#N/A</v>
      </c>
    </row>
    <row r="918" spans="1:5" x14ac:dyDescent="0.2">
      <c r="A918" s="1">
        <v>43892</v>
      </c>
      <c r="B918">
        <f>33.42</f>
        <v>33.42</v>
      </c>
      <c r="C918">
        <f>36.1186</f>
        <v>36.118600000000001</v>
      </c>
      <c r="D918">
        <f>35.51</f>
        <v>35.51</v>
      </c>
      <c r="E918">
        <f>21.23</f>
        <v>21.23</v>
      </c>
    </row>
    <row r="919" spans="1:5" x14ac:dyDescent="0.2">
      <c r="A919" s="1">
        <v>43889</v>
      </c>
      <c r="B919">
        <f>40.11</f>
        <v>40.11</v>
      </c>
      <c r="C919">
        <f>42.2369</f>
        <v>42.236899999999999</v>
      </c>
      <c r="D919">
        <f>42.95</f>
        <v>42.95</v>
      </c>
      <c r="E919" t="e">
        <f>NA()</f>
        <v>#N/A</v>
      </c>
    </row>
    <row r="920" spans="1:5" x14ac:dyDescent="0.2">
      <c r="A920" s="1">
        <v>43888</v>
      </c>
      <c r="B920">
        <f>39.16</f>
        <v>39.159999999999997</v>
      </c>
      <c r="C920">
        <f>34.6989</f>
        <v>34.698900000000002</v>
      </c>
      <c r="D920">
        <f>30.94</f>
        <v>30.94</v>
      </c>
      <c r="E920">
        <f>19.42</f>
        <v>19.420000000000002</v>
      </c>
    </row>
    <row r="921" spans="1:5" x14ac:dyDescent="0.2">
      <c r="A921" s="1">
        <v>43887</v>
      </c>
      <c r="B921">
        <f>27.56</f>
        <v>27.56</v>
      </c>
      <c r="C921">
        <f>24.5403</f>
        <v>24.540299999999998</v>
      </c>
      <c r="D921">
        <f>21.78</f>
        <v>21.78</v>
      </c>
      <c r="E921">
        <f>18.86</f>
        <v>18.86</v>
      </c>
    </row>
    <row r="922" spans="1:5" x14ac:dyDescent="0.2">
      <c r="A922" s="1">
        <v>43886</v>
      </c>
      <c r="B922">
        <f>27.85</f>
        <v>27.85</v>
      </c>
      <c r="C922">
        <f>27.4449</f>
        <v>27.444900000000001</v>
      </c>
      <c r="D922">
        <f>23.91</f>
        <v>23.91</v>
      </c>
      <c r="E922">
        <f>18.86</f>
        <v>18.86</v>
      </c>
    </row>
    <row r="923" spans="1:5" x14ac:dyDescent="0.2">
      <c r="A923" s="1">
        <v>43885</v>
      </c>
      <c r="B923">
        <f>25.03</f>
        <v>25.03</v>
      </c>
      <c r="C923">
        <f>22.6584</f>
        <v>22.6584</v>
      </c>
      <c r="D923">
        <f>20.54</f>
        <v>20.54</v>
      </c>
      <c r="E923">
        <f>16.94</f>
        <v>16.940000000000001</v>
      </c>
    </row>
    <row r="924" spans="1:5" x14ac:dyDescent="0.2">
      <c r="A924" s="1">
        <v>43882</v>
      </c>
      <c r="B924">
        <f>17.08</f>
        <v>17.079999999999998</v>
      </c>
      <c r="C924">
        <f>15.7536</f>
        <v>15.7536</v>
      </c>
      <c r="D924">
        <f>14.46</f>
        <v>14.46</v>
      </c>
      <c r="E924">
        <f>15.3</f>
        <v>15.3</v>
      </c>
    </row>
    <row r="925" spans="1:5" x14ac:dyDescent="0.2">
      <c r="A925" s="1">
        <v>43881</v>
      </c>
      <c r="B925">
        <f>15.56</f>
        <v>15.56</v>
      </c>
      <c r="C925">
        <f>14.09</f>
        <v>14.09</v>
      </c>
      <c r="D925">
        <f>12.98</f>
        <v>12.98</v>
      </c>
      <c r="E925">
        <f>15.02</f>
        <v>15.02</v>
      </c>
    </row>
    <row r="926" spans="1:5" x14ac:dyDescent="0.2">
      <c r="A926" s="1">
        <v>43880</v>
      </c>
      <c r="B926">
        <f>14.38</f>
        <v>14.38</v>
      </c>
      <c r="C926">
        <f>12.8829</f>
        <v>12.882899999999999</v>
      </c>
      <c r="D926">
        <f>12.65</f>
        <v>12.65</v>
      </c>
      <c r="E926">
        <f>15.01</f>
        <v>15.01</v>
      </c>
    </row>
    <row r="927" spans="1:5" x14ac:dyDescent="0.2">
      <c r="A927" s="1">
        <v>43879</v>
      </c>
      <c r="B927">
        <f>14.83</f>
        <v>14.83</v>
      </c>
      <c r="C927">
        <f>13.8431</f>
        <v>13.8431</v>
      </c>
      <c r="D927">
        <f>14.02</f>
        <v>14.02</v>
      </c>
      <c r="E927" t="e">
        <f>NA()</f>
        <v>#N/A</v>
      </c>
    </row>
    <row r="928" spans="1:5" x14ac:dyDescent="0.2">
      <c r="A928" s="1">
        <v>43878</v>
      </c>
      <c r="B928" t="e">
        <f>NA()</f>
        <v>#N/A</v>
      </c>
      <c r="C928">
        <f>12.9654</f>
        <v>12.965400000000001</v>
      </c>
      <c r="D928">
        <f>13.02</f>
        <v>13.02</v>
      </c>
      <c r="E928">
        <f>14.77</f>
        <v>14.77</v>
      </c>
    </row>
    <row r="929" spans="1:5" x14ac:dyDescent="0.2">
      <c r="A929" s="1">
        <v>43875</v>
      </c>
      <c r="B929">
        <f>13.68</f>
        <v>13.68</v>
      </c>
      <c r="C929">
        <f>13.0625</f>
        <v>13.0625</v>
      </c>
      <c r="D929">
        <f>13.15</f>
        <v>13.15</v>
      </c>
      <c r="E929">
        <f>14.76</f>
        <v>14.76</v>
      </c>
    </row>
    <row r="930" spans="1:5" x14ac:dyDescent="0.2">
      <c r="A930" s="1">
        <v>43874</v>
      </c>
      <c r="B930">
        <f>14.15</f>
        <v>14.15</v>
      </c>
      <c r="C930">
        <f>13.2476</f>
        <v>13.2476</v>
      </c>
      <c r="D930">
        <f>13.47</f>
        <v>13.47</v>
      </c>
      <c r="E930">
        <f>15.85</f>
        <v>15.85</v>
      </c>
    </row>
    <row r="931" spans="1:5" x14ac:dyDescent="0.2">
      <c r="A931" s="1">
        <v>43873</v>
      </c>
      <c r="B931">
        <f>13.74</f>
        <v>13.74</v>
      </c>
      <c r="C931">
        <f>12.4526</f>
        <v>12.4526</v>
      </c>
      <c r="D931">
        <f>11.92</f>
        <v>11.92</v>
      </c>
      <c r="E931">
        <f>15.85</f>
        <v>15.85</v>
      </c>
    </row>
    <row r="932" spans="1:5" x14ac:dyDescent="0.2">
      <c r="A932" s="1">
        <v>43872</v>
      </c>
      <c r="B932">
        <f>15.18</f>
        <v>15.18</v>
      </c>
      <c r="C932">
        <f>12.9201</f>
        <v>12.9201</v>
      </c>
      <c r="D932">
        <f>12.3</f>
        <v>12.3</v>
      </c>
      <c r="E932">
        <f>15.9</f>
        <v>15.9</v>
      </c>
    </row>
    <row r="933" spans="1:5" x14ac:dyDescent="0.2">
      <c r="A933" s="1">
        <v>43871</v>
      </c>
      <c r="B933">
        <f>15.04</f>
        <v>15.04</v>
      </c>
      <c r="C933">
        <f>13.7034</f>
        <v>13.7034</v>
      </c>
      <c r="D933">
        <f>13.12</f>
        <v>13.12</v>
      </c>
      <c r="E933">
        <f>15.69</f>
        <v>15.69</v>
      </c>
    </row>
    <row r="934" spans="1:5" x14ac:dyDescent="0.2">
      <c r="A934" s="1">
        <v>43868</v>
      </c>
      <c r="B934">
        <f>15.47</f>
        <v>15.47</v>
      </c>
      <c r="C934">
        <f>13.3241</f>
        <v>13.3241</v>
      </c>
      <c r="D934">
        <f>12.73</f>
        <v>12.73</v>
      </c>
      <c r="E934">
        <f>15.65</f>
        <v>15.65</v>
      </c>
    </row>
    <row r="935" spans="1:5" x14ac:dyDescent="0.2">
      <c r="A935" s="1">
        <v>43867</v>
      </c>
      <c r="B935">
        <f>14.96</f>
        <v>14.96</v>
      </c>
      <c r="C935">
        <f>12.9889</f>
        <v>12.988899999999999</v>
      </c>
      <c r="D935">
        <f>12.05</f>
        <v>12.05</v>
      </c>
      <c r="E935" t="e">
        <f>NA()</f>
        <v>#N/A</v>
      </c>
    </row>
    <row r="936" spans="1:5" x14ac:dyDescent="0.2">
      <c r="A936" s="1">
        <v>43866</v>
      </c>
      <c r="B936">
        <f>15.15</f>
        <v>15.15</v>
      </c>
      <c r="C936">
        <f>13.6052</f>
        <v>13.6052</v>
      </c>
      <c r="D936">
        <f>12.74</f>
        <v>12.74</v>
      </c>
      <c r="E936">
        <f>15.59</f>
        <v>15.59</v>
      </c>
    </row>
    <row r="937" spans="1:5" x14ac:dyDescent="0.2">
      <c r="A937" s="1">
        <v>43865</v>
      </c>
      <c r="B937">
        <f>16.05</f>
        <v>16.05</v>
      </c>
      <c r="C937">
        <f>14.4971</f>
        <v>14.4971</v>
      </c>
      <c r="D937">
        <f>13.41</f>
        <v>13.41</v>
      </c>
      <c r="E937">
        <f>16.03</f>
        <v>16.03</v>
      </c>
    </row>
    <row r="938" spans="1:5" x14ac:dyDescent="0.2">
      <c r="A938" s="1">
        <v>43864</v>
      </c>
      <c r="B938">
        <f>17.97</f>
        <v>17.97</v>
      </c>
      <c r="C938">
        <f>16.2837</f>
        <v>16.2837</v>
      </c>
      <c r="D938">
        <f>15</f>
        <v>15</v>
      </c>
      <c r="E938">
        <f>16.68</f>
        <v>16.68</v>
      </c>
    </row>
    <row r="939" spans="1:5" x14ac:dyDescent="0.2">
      <c r="A939" s="1">
        <v>43861</v>
      </c>
      <c r="B939">
        <f>18.84</f>
        <v>18.84</v>
      </c>
      <c r="C939">
        <f>17.1542</f>
        <v>17.154199999999999</v>
      </c>
      <c r="D939">
        <f>15.78</f>
        <v>15.78</v>
      </c>
      <c r="E939">
        <f>16.27</f>
        <v>16.27</v>
      </c>
    </row>
    <row r="940" spans="1:5" x14ac:dyDescent="0.2">
      <c r="A940" s="1">
        <v>43860</v>
      </c>
      <c r="B940">
        <f>15.49</f>
        <v>15.49</v>
      </c>
      <c r="C940">
        <f>16.4174</f>
        <v>16.417400000000001</v>
      </c>
      <c r="D940">
        <f>15.12</f>
        <v>15.12</v>
      </c>
      <c r="E940" t="e">
        <f>NA()</f>
        <v>#N/A</v>
      </c>
    </row>
    <row r="941" spans="1:5" x14ac:dyDescent="0.2">
      <c r="A941" s="1">
        <v>43859</v>
      </c>
      <c r="B941">
        <f>16.39</f>
        <v>16.39</v>
      </c>
      <c r="C941">
        <f>14.4199</f>
        <v>14.4199</v>
      </c>
      <c r="D941">
        <f>13.49</f>
        <v>13.49</v>
      </c>
      <c r="E941">
        <f>16.06</f>
        <v>16.059999999999999</v>
      </c>
    </row>
    <row r="942" spans="1:5" x14ac:dyDescent="0.2">
      <c r="A942" s="1">
        <v>43858</v>
      </c>
      <c r="B942">
        <f>16.28</f>
        <v>16.28</v>
      </c>
      <c r="C942">
        <f>15.1979</f>
        <v>15.197900000000001</v>
      </c>
      <c r="D942">
        <f>14.13</f>
        <v>14.13</v>
      </c>
      <c r="E942">
        <f>15.67</f>
        <v>15.67</v>
      </c>
    </row>
    <row r="943" spans="1:5" x14ac:dyDescent="0.2">
      <c r="A943" s="1">
        <v>43857</v>
      </c>
      <c r="B943">
        <f>18.23</f>
        <v>18.23</v>
      </c>
      <c r="C943">
        <f>17.1711</f>
        <v>17.171099999999999</v>
      </c>
      <c r="D943">
        <f>15.61</f>
        <v>15.61</v>
      </c>
      <c r="E943" t="e">
        <f>NA()</f>
        <v>#N/A</v>
      </c>
    </row>
    <row r="944" spans="1:5" x14ac:dyDescent="0.2">
      <c r="A944" s="1">
        <v>43854</v>
      </c>
      <c r="B944">
        <f>14.56</f>
        <v>14.56</v>
      </c>
      <c r="C944">
        <f>12.6665</f>
        <v>12.666499999999999</v>
      </c>
      <c r="D944" t="e">
        <f>NA()</f>
        <v>#N/A</v>
      </c>
      <c r="E944">
        <f>15.07</f>
        <v>15.07</v>
      </c>
    </row>
    <row r="945" spans="1:5" x14ac:dyDescent="0.2">
      <c r="A945" s="1">
        <v>43853</v>
      </c>
      <c r="B945">
        <f>12.98</f>
        <v>12.98</v>
      </c>
      <c r="C945">
        <f>13.164</f>
        <v>13.164</v>
      </c>
      <c r="D945">
        <f>12.51</f>
        <v>12.51</v>
      </c>
      <c r="E945">
        <f>15.23</f>
        <v>15.23</v>
      </c>
    </row>
    <row r="946" spans="1:5" x14ac:dyDescent="0.2">
      <c r="A946" s="1">
        <v>43852</v>
      </c>
      <c r="B946">
        <f>12.91</f>
        <v>12.91</v>
      </c>
      <c r="C946">
        <f>12.2389</f>
        <v>12.238899999999999</v>
      </c>
      <c r="D946">
        <f>11.65</f>
        <v>11.65</v>
      </c>
      <c r="E946">
        <f>14.87</f>
        <v>14.87</v>
      </c>
    </row>
    <row r="947" spans="1:5" x14ac:dyDescent="0.2">
      <c r="A947" s="1">
        <v>43851</v>
      </c>
      <c r="B947">
        <f>12.85</f>
        <v>12.85</v>
      </c>
      <c r="C947">
        <f>11.8141</f>
        <v>11.8141</v>
      </c>
      <c r="D947">
        <f>11.14</f>
        <v>11.14</v>
      </c>
      <c r="E947">
        <f>14.76</f>
        <v>14.76</v>
      </c>
    </row>
    <row r="948" spans="1:5" x14ac:dyDescent="0.2">
      <c r="A948" s="1">
        <v>43850</v>
      </c>
      <c r="B948" t="e">
        <f>NA()</f>
        <v>#N/A</v>
      </c>
      <c r="C948">
        <f>11.2522</f>
        <v>11.2522</v>
      </c>
      <c r="D948">
        <f>10.52</f>
        <v>10.52</v>
      </c>
      <c r="E948">
        <f>14.38</f>
        <v>14.38</v>
      </c>
    </row>
    <row r="949" spans="1:5" x14ac:dyDescent="0.2">
      <c r="A949" s="1">
        <v>43847</v>
      </c>
      <c r="B949">
        <f>12.1</f>
        <v>12.1</v>
      </c>
      <c r="C949">
        <f>10.6899</f>
        <v>10.6899</v>
      </c>
      <c r="D949">
        <f>10.08</f>
        <v>10.08</v>
      </c>
      <c r="E949">
        <f>14.33</f>
        <v>14.33</v>
      </c>
    </row>
    <row r="950" spans="1:5" x14ac:dyDescent="0.2">
      <c r="A950" s="1">
        <v>43846</v>
      </c>
      <c r="B950">
        <f>12.32</f>
        <v>12.32</v>
      </c>
      <c r="C950">
        <f>11.0223</f>
        <v>11.0223</v>
      </c>
      <c r="D950">
        <f>10.22</f>
        <v>10.220000000000001</v>
      </c>
      <c r="E950">
        <f>15</f>
        <v>15</v>
      </c>
    </row>
    <row r="951" spans="1:5" x14ac:dyDescent="0.2">
      <c r="A951" s="1">
        <v>43845</v>
      </c>
      <c r="B951">
        <f>12.42</f>
        <v>12.42</v>
      </c>
      <c r="C951">
        <f>12.0408</f>
        <v>12.040800000000001</v>
      </c>
      <c r="D951">
        <f>10.44</f>
        <v>10.44</v>
      </c>
      <c r="E951">
        <f>14.44</f>
        <v>14.44</v>
      </c>
    </row>
    <row r="952" spans="1:5" x14ac:dyDescent="0.2">
      <c r="A952" s="1">
        <v>43844</v>
      </c>
      <c r="B952">
        <f>12.39</f>
        <v>12.39</v>
      </c>
      <c r="C952">
        <f>12.4099</f>
        <v>12.4099</v>
      </c>
      <c r="D952">
        <f>10.78</f>
        <v>10.78</v>
      </c>
      <c r="E952">
        <f>14.94</f>
        <v>14.94</v>
      </c>
    </row>
    <row r="953" spans="1:5" x14ac:dyDescent="0.2">
      <c r="A953" s="1">
        <v>43843</v>
      </c>
      <c r="B953">
        <f>12.32</f>
        <v>12.32</v>
      </c>
      <c r="C953">
        <f>12.7138</f>
        <v>12.713800000000001</v>
      </c>
      <c r="D953">
        <f>11.36</f>
        <v>11.36</v>
      </c>
      <c r="E953">
        <f>15.69</f>
        <v>15.69</v>
      </c>
    </row>
    <row r="954" spans="1:5" x14ac:dyDescent="0.2">
      <c r="A954" s="1">
        <v>43840</v>
      </c>
      <c r="B954">
        <f>12.56</f>
        <v>12.56</v>
      </c>
      <c r="C954">
        <f>12.3886</f>
        <v>12.3886</v>
      </c>
      <c r="D954">
        <f>10.14</f>
        <v>10.14</v>
      </c>
      <c r="E954">
        <f>15.1</f>
        <v>15.1</v>
      </c>
    </row>
    <row r="955" spans="1:5" x14ac:dyDescent="0.2">
      <c r="A955" s="1">
        <v>43839</v>
      </c>
      <c r="B955">
        <f>12.54</f>
        <v>12.54</v>
      </c>
      <c r="C955">
        <f>13.0363</f>
        <v>13.036300000000001</v>
      </c>
      <c r="D955">
        <f>10.19</f>
        <v>10.19</v>
      </c>
      <c r="E955">
        <f>15.19</f>
        <v>15.19</v>
      </c>
    </row>
    <row r="956" spans="1:5" x14ac:dyDescent="0.2">
      <c r="A956" s="1">
        <v>43838</v>
      </c>
      <c r="B956">
        <f>13.45</f>
        <v>13.45</v>
      </c>
      <c r="C956">
        <f>14.0401</f>
        <v>14.040100000000001</v>
      </c>
      <c r="D956">
        <f>12.05</f>
        <v>12.05</v>
      </c>
      <c r="E956" t="e">
        <f>NA()</f>
        <v>#N/A</v>
      </c>
    </row>
    <row r="957" spans="1:5" x14ac:dyDescent="0.2">
      <c r="A957" s="1">
        <v>43837</v>
      </c>
      <c r="B957">
        <f>13.79</f>
        <v>13.79</v>
      </c>
      <c r="C957">
        <f>14.2117</f>
        <v>14.2117</v>
      </c>
      <c r="D957">
        <f>12.46</f>
        <v>12.46</v>
      </c>
      <c r="E957">
        <f>15.76</f>
        <v>15.76</v>
      </c>
    </row>
    <row r="958" spans="1:5" x14ac:dyDescent="0.2">
      <c r="A958" s="1">
        <v>43836</v>
      </c>
      <c r="B958">
        <f>13.85</f>
        <v>13.85</v>
      </c>
      <c r="C958">
        <f>15.1404</f>
        <v>15.1404</v>
      </c>
      <c r="D958">
        <f>13.08</f>
        <v>13.08</v>
      </c>
      <c r="E958" t="e">
        <f>NA()</f>
        <v>#N/A</v>
      </c>
    </row>
    <row r="959" spans="1:5" x14ac:dyDescent="0.2">
      <c r="A959" s="1">
        <v>43833</v>
      </c>
      <c r="B959">
        <f>14.02</f>
        <v>14.02</v>
      </c>
      <c r="C959">
        <f>13.9588</f>
        <v>13.9588</v>
      </c>
      <c r="D959">
        <f>12.07</f>
        <v>12.07</v>
      </c>
      <c r="E959">
        <f>15.9</f>
        <v>15.9</v>
      </c>
    </row>
    <row r="960" spans="1:5" x14ac:dyDescent="0.2">
      <c r="A960" s="1">
        <v>43832</v>
      </c>
      <c r="B960">
        <f>12.47</f>
        <v>12.47</v>
      </c>
      <c r="C960">
        <f>12.6736</f>
        <v>12.6736</v>
      </c>
      <c r="D960">
        <f>11.6</f>
        <v>11.6</v>
      </c>
      <c r="E960">
        <f>15.89</f>
        <v>15.89</v>
      </c>
    </row>
    <row r="961" spans="1:5" x14ac:dyDescent="0.2">
      <c r="A961" s="1">
        <v>43830</v>
      </c>
      <c r="B961">
        <f>13.78</f>
        <v>13.78</v>
      </c>
      <c r="C961" t="e">
        <f>NA()</f>
        <v>#N/A</v>
      </c>
      <c r="D961">
        <f>12.88</f>
        <v>12.88</v>
      </c>
      <c r="E961">
        <f>15.81</f>
        <v>15.81</v>
      </c>
    </row>
    <row r="962" spans="1:5" x14ac:dyDescent="0.2">
      <c r="A962" s="1">
        <v>43829</v>
      </c>
      <c r="B962">
        <f>14.82</f>
        <v>14.82</v>
      </c>
      <c r="C962">
        <f>13.9548</f>
        <v>13.954800000000001</v>
      </c>
      <c r="D962">
        <f>12.78</f>
        <v>12.78</v>
      </c>
      <c r="E962">
        <f>15.81</f>
        <v>15.81</v>
      </c>
    </row>
    <row r="963" spans="1:5" x14ac:dyDescent="0.2">
      <c r="A963" s="1">
        <v>43826</v>
      </c>
      <c r="B963">
        <f>13.43</f>
        <v>13.43</v>
      </c>
      <c r="C963">
        <f>12.0913</f>
        <v>12.0913</v>
      </c>
      <c r="D963">
        <f>11.33</f>
        <v>11.33</v>
      </c>
      <c r="E963">
        <f>15.81</f>
        <v>15.81</v>
      </c>
    </row>
    <row r="964" spans="1:5" x14ac:dyDescent="0.2">
      <c r="A964" s="1">
        <v>43825</v>
      </c>
      <c r="B964">
        <f>12.65</f>
        <v>12.65</v>
      </c>
      <c r="C964" t="e">
        <f>NA()</f>
        <v>#N/A</v>
      </c>
      <c r="D964" t="e">
        <f>NA()</f>
        <v>#N/A</v>
      </c>
      <c r="E964" t="e">
        <f>NA()</f>
        <v>#N/A</v>
      </c>
    </row>
    <row r="965" spans="1:5" x14ac:dyDescent="0.2">
      <c r="A965" s="1">
        <v>43823</v>
      </c>
      <c r="B965">
        <f>12.67</f>
        <v>12.67</v>
      </c>
      <c r="C965" t="e">
        <f>NA()</f>
        <v>#N/A</v>
      </c>
      <c r="D965">
        <f>11.06</f>
        <v>11.06</v>
      </c>
      <c r="E965" t="e">
        <f>NA()</f>
        <v>#N/A</v>
      </c>
    </row>
    <row r="966" spans="1:5" x14ac:dyDescent="0.2">
      <c r="A966" s="1">
        <v>43822</v>
      </c>
      <c r="B966">
        <f>12.61</f>
        <v>12.61</v>
      </c>
      <c r="C966">
        <f>11.6482</f>
        <v>11.648199999999999</v>
      </c>
      <c r="D966">
        <f>11.15</f>
        <v>11.15</v>
      </c>
      <c r="E966">
        <f>15.8</f>
        <v>15.8</v>
      </c>
    </row>
    <row r="967" spans="1:5" x14ac:dyDescent="0.2">
      <c r="A967" s="1">
        <v>43819</v>
      </c>
      <c r="B967">
        <f>12.51</f>
        <v>12.51</v>
      </c>
      <c r="C967">
        <f>11.0774</f>
        <v>11.077400000000001</v>
      </c>
      <c r="D967">
        <f>10.67</f>
        <v>10.67</v>
      </c>
      <c r="E967" t="e">
        <f>NA()</f>
        <v>#N/A</v>
      </c>
    </row>
    <row r="968" spans="1:5" x14ac:dyDescent="0.2">
      <c r="A968" s="1">
        <v>43818</v>
      </c>
      <c r="B968">
        <f>12.5</f>
        <v>12.5</v>
      </c>
      <c r="C968">
        <f>12.1761</f>
        <v>12.1761</v>
      </c>
      <c r="D968">
        <f>11.69</f>
        <v>11.69</v>
      </c>
      <c r="E968">
        <f>15.35</f>
        <v>15.35</v>
      </c>
    </row>
    <row r="969" spans="1:5" x14ac:dyDescent="0.2">
      <c r="A969" s="1">
        <v>43817</v>
      </c>
      <c r="B969">
        <f>12.58</f>
        <v>12.58</v>
      </c>
      <c r="C969">
        <f>11.8244</f>
        <v>11.824400000000001</v>
      </c>
      <c r="D969">
        <f>12.39</f>
        <v>12.39</v>
      </c>
      <c r="E969" t="e">
        <f>NA()</f>
        <v>#N/A</v>
      </c>
    </row>
    <row r="970" spans="1:5" x14ac:dyDescent="0.2">
      <c r="A970" s="1">
        <v>43816</v>
      </c>
      <c r="B970">
        <f>12.29</f>
        <v>12.29</v>
      </c>
      <c r="C970">
        <f>12.1489</f>
        <v>12.148899999999999</v>
      </c>
      <c r="D970">
        <f>12.67</f>
        <v>12.67</v>
      </c>
      <c r="E970">
        <f>18.17</f>
        <v>18.170000000000002</v>
      </c>
    </row>
    <row r="971" spans="1:5" x14ac:dyDescent="0.2">
      <c r="A971" s="1">
        <v>43815</v>
      </c>
      <c r="B971">
        <f>12.14</f>
        <v>12.14</v>
      </c>
      <c r="C971">
        <f>11.644</f>
        <v>11.644</v>
      </c>
      <c r="D971">
        <f>12.12</f>
        <v>12.12</v>
      </c>
      <c r="E971" t="e">
        <f>NA()</f>
        <v>#N/A</v>
      </c>
    </row>
    <row r="972" spans="1:5" x14ac:dyDescent="0.2">
      <c r="A972" s="1">
        <v>43812</v>
      </c>
      <c r="B972">
        <f>12.63</f>
        <v>12.63</v>
      </c>
      <c r="C972">
        <f>13.1174</f>
        <v>13.1174</v>
      </c>
      <c r="D972">
        <f>12.77</f>
        <v>12.77</v>
      </c>
      <c r="E972">
        <f>18.42</f>
        <v>18.420000000000002</v>
      </c>
    </row>
    <row r="973" spans="1:5" x14ac:dyDescent="0.2">
      <c r="A973" s="1">
        <v>43811</v>
      </c>
      <c r="B973">
        <f>13.94</f>
        <v>13.94</v>
      </c>
      <c r="C973">
        <f>14.6631</f>
        <v>14.6631</v>
      </c>
      <c r="D973">
        <f>14.71</f>
        <v>14.71</v>
      </c>
      <c r="E973" t="e">
        <f>NA()</f>
        <v>#N/A</v>
      </c>
    </row>
    <row r="974" spans="1:5" x14ac:dyDescent="0.2">
      <c r="A974" s="1">
        <v>43810</v>
      </c>
      <c r="B974">
        <f>14.99</f>
        <v>14.99</v>
      </c>
      <c r="C974">
        <f>15.2345</f>
        <v>15.234500000000001</v>
      </c>
      <c r="D974">
        <f>16.49</f>
        <v>16.489999999999998</v>
      </c>
      <c r="E974">
        <f>17.14</f>
        <v>17.14</v>
      </c>
    </row>
    <row r="975" spans="1:5" x14ac:dyDescent="0.2">
      <c r="A975" s="1">
        <v>43809</v>
      </c>
      <c r="B975">
        <f>15.68</f>
        <v>15.68</v>
      </c>
      <c r="C975">
        <f>15.022</f>
        <v>15.022</v>
      </c>
      <c r="D975">
        <f>16.3</f>
        <v>16.3</v>
      </c>
      <c r="E975" t="e">
        <f>NA()</f>
        <v>#N/A</v>
      </c>
    </row>
    <row r="976" spans="1:5" x14ac:dyDescent="0.2">
      <c r="A976" s="1">
        <v>43808</v>
      </c>
      <c r="B976">
        <f>15.86</f>
        <v>15.86</v>
      </c>
      <c r="C976">
        <f>14.9246</f>
        <v>14.9246</v>
      </c>
      <c r="D976">
        <f>16.04</f>
        <v>16.04</v>
      </c>
      <c r="E976" t="e">
        <f>NA()</f>
        <v>#N/A</v>
      </c>
    </row>
    <row r="977" spans="1:5" x14ac:dyDescent="0.2">
      <c r="A977" s="1">
        <v>43805</v>
      </c>
      <c r="B977">
        <f>13.62</f>
        <v>13.62</v>
      </c>
      <c r="C977">
        <f>14.1327</f>
        <v>14.1327</v>
      </c>
      <c r="D977">
        <f>15.48</f>
        <v>15.48</v>
      </c>
      <c r="E977">
        <f>16.37</f>
        <v>16.37</v>
      </c>
    </row>
    <row r="978" spans="1:5" x14ac:dyDescent="0.2">
      <c r="A978" s="1">
        <v>43804</v>
      </c>
      <c r="B978">
        <f>14.52</f>
        <v>14.52</v>
      </c>
      <c r="C978">
        <f>15.3707</f>
        <v>15.370699999999999</v>
      </c>
      <c r="D978">
        <f>16.57</f>
        <v>16.57</v>
      </c>
      <c r="E978" t="e">
        <f>NA()</f>
        <v>#N/A</v>
      </c>
    </row>
    <row r="979" spans="1:5" x14ac:dyDescent="0.2">
      <c r="A979" s="1">
        <v>43803</v>
      </c>
      <c r="B979">
        <f>14.8</f>
        <v>14.8</v>
      </c>
      <c r="C979">
        <f>15.2237</f>
        <v>15.223699999999999</v>
      </c>
      <c r="D979">
        <f>16.23</f>
        <v>16.23</v>
      </c>
      <c r="E979">
        <f>16.65</f>
        <v>16.649999999999999</v>
      </c>
    </row>
    <row r="980" spans="1:5" x14ac:dyDescent="0.2">
      <c r="A980" s="1">
        <v>43802</v>
      </c>
      <c r="B980">
        <f>15.96</f>
        <v>15.96</v>
      </c>
      <c r="C980">
        <f>16.9096</f>
        <v>16.909600000000001</v>
      </c>
      <c r="D980">
        <f>17.03</f>
        <v>17.03</v>
      </c>
      <c r="E980" t="e">
        <f>NA()</f>
        <v>#N/A</v>
      </c>
    </row>
    <row r="981" spans="1:5" x14ac:dyDescent="0.2">
      <c r="A981" s="1">
        <v>43801</v>
      </c>
      <c r="B981">
        <f>14.91</f>
        <v>14.91</v>
      </c>
      <c r="C981">
        <f>15.8889</f>
        <v>15.8889</v>
      </c>
      <c r="D981">
        <f>16.13</f>
        <v>16.13</v>
      </c>
      <c r="E981">
        <f>15.36</f>
        <v>15.36</v>
      </c>
    </row>
    <row r="982" spans="1:5" x14ac:dyDescent="0.2">
      <c r="A982" s="1">
        <v>43798</v>
      </c>
      <c r="B982">
        <f>12.62</f>
        <v>12.62</v>
      </c>
      <c r="C982">
        <f>13.174</f>
        <v>13.173999999999999</v>
      </c>
      <c r="D982">
        <f>14.17</f>
        <v>14.17</v>
      </c>
      <c r="E982" t="e">
        <f>NA()</f>
        <v>#N/A</v>
      </c>
    </row>
    <row r="983" spans="1:5" x14ac:dyDescent="0.2">
      <c r="A983" s="1">
        <v>43797</v>
      </c>
      <c r="B983" t="e">
        <f>NA()</f>
        <v>#N/A</v>
      </c>
      <c r="C983">
        <f>12.7959</f>
        <v>12.7959</v>
      </c>
      <c r="D983">
        <f>13.48</f>
        <v>13.48</v>
      </c>
      <c r="E983" t="e">
        <f>NA()</f>
        <v>#N/A</v>
      </c>
    </row>
    <row r="984" spans="1:5" x14ac:dyDescent="0.2">
      <c r="A984" s="1">
        <v>43796</v>
      </c>
      <c r="B984">
        <f>11.75</f>
        <v>11.75</v>
      </c>
      <c r="C984">
        <f>12.2032</f>
        <v>12.203200000000001</v>
      </c>
      <c r="D984">
        <f>13.11</f>
        <v>13.11</v>
      </c>
      <c r="E984" t="e">
        <f>NA()</f>
        <v>#N/A</v>
      </c>
    </row>
    <row r="985" spans="1:5" x14ac:dyDescent="0.2">
      <c r="A985" s="1">
        <v>43795</v>
      </c>
      <c r="B985">
        <f>11.54</f>
        <v>11.54</v>
      </c>
      <c r="C985">
        <f>12.0954</f>
        <v>12.0954</v>
      </c>
      <c r="D985">
        <f>13.02</f>
        <v>13.02</v>
      </c>
      <c r="E985">
        <f>16.08</f>
        <v>16.079999999999998</v>
      </c>
    </row>
    <row r="986" spans="1:5" x14ac:dyDescent="0.2">
      <c r="A986" s="1">
        <v>43794</v>
      </c>
      <c r="B986">
        <f>11.87</f>
        <v>11.87</v>
      </c>
      <c r="C986">
        <f>12.3837</f>
        <v>12.383699999999999</v>
      </c>
      <c r="D986">
        <f>13.23</f>
        <v>13.23</v>
      </c>
      <c r="E986" t="e">
        <f>NA()</f>
        <v>#N/A</v>
      </c>
    </row>
    <row r="987" spans="1:5" x14ac:dyDescent="0.2">
      <c r="A987" s="1">
        <v>43791</v>
      </c>
      <c r="B987">
        <f>12.34</f>
        <v>12.34</v>
      </c>
      <c r="C987">
        <f>13.0888</f>
        <v>13.088800000000001</v>
      </c>
      <c r="D987">
        <f>14.05</f>
        <v>14.05</v>
      </c>
      <c r="E987">
        <f>15.97</f>
        <v>15.97</v>
      </c>
    </row>
    <row r="988" spans="1:5" x14ac:dyDescent="0.2">
      <c r="A988" s="1">
        <v>43790</v>
      </c>
      <c r="B988">
        <f>13.13</f>
        <v>13.13</v>
      </c>
      <c r="C988">
        <f>13.1317</f>
        <v>13.1317</v>
      </c>
      <c r="D988">
        <f>13.96</f>
        <v>13.96</v>
      </c>
      <c r="E988">
        <f>15.98</f>
        <v>15.98</v>
      </c>
    </row>
    <row r="989" spans="1:5" x14ac:dyDescent="0.2">
      <c r="A989" s="1">
        <v>43789</v>
      </c>
      <c r="B989">
        <f>12.78</f>
        <v>12.78</v>
      </c>
      <c r="C989">
        <f>12.7274</f>
        <v>12.727399999999999</v>
      </c>
      <c r="D989">
        <f>13.57</f>
        <v>13.57</v>
      </c>
      <c r="E989">
        <f>15.42</f>
        <v>15.42</v>
      </c>
    </row>
    <row r="990" spans="1:5" x14ac:dyDescent="0.2">
      <c r="A990" s="1">
        <v>43788</v>
      </c>
      <c r="B990">
        <f>12.86</f>
        <v>12.86</v>
      </c>
      <c r="C990">
        <f>12.3699</f>
        <v>12.369899999999999</v>
      </c>
      <c r="D990">
        <f>13.32</f>
        <v>13.32</v>
      </c>
      <c r="E990">
        <f>15.43</f>
        <v>15.43</v>
      </c>
    </row>
    <row r="991" spans="1:5" x14ac:dyDescent="0.2">
      <c r="A991" s="1">
        <v>43787</v>
      </c>
      <c r="B991">
        <f>12.46</f>
        <v>12.46</v>
      </c>
      <c r="C991">
        <f>12.0372</f>
        <v>12.0372</v>
      </c>
      <c r="D991">
        <f>13.3</f>
        <v>13.3</v>
      </c>
      <c r="E991">
        <f>15.89</f>
        <v>15.89</v>
      </c>
    </row>
    <row r="992" spans="1:5" x14ac:dyDescent="0.2">
      <c r="A992" s="1">
        <v>43784</v>
      </c>
      <c r="B992">
        <f>12.05</f>
        <v>12.05</v>
      </c>
      <c r="C992">
        <f>11.537</f>
        <v>11.537000000000001</v>
      </c>
      <c r="D992">
        <f>13.01</f>
        <v>13.01</v>
      </c>
      <c r="E992">
        <f>15.89</f>
        <v>15.89</v>
      </c>
    </row>
    <row r="993" spans="1:5" x14ac:dyDescent="0.2">
      <c r="A993" s="1">
        <v>43783</v>
      </c>
      <c r="B993">
        <f>13.05</f>
        <v>13.05</v>
      </c>
      <c r="C993">
        <f>12.4735</f>
        <v>12.4735</v>
      </c>
      <c r="D993">
        <f>13.44</f>
        <v>13.44</v>
      </c>
      <c r="E993">
        <f>15.85</f>
        <v>15.85</v>
      </c>
    </row>
    <row r="994" spans="1:5" x14ac:dyDescent="0.2">
      <c r="A994" s="1">
        <v>43782</v>
      </c>
      <c r="B994">
        <f>13</f>
        <v>13</v>
      </c>
      <c r="C994">
        <f>12.7955</f>
        <v>12.795500000000001</v>
      </c>
      <c r="D994">
        <f>13.03</f>
        <v>13.03</v>
      </c>
      <c r="E994">
        <f>15.85</f>
        <v>15.85</v>
      </c>
    </row>
    <row r="995" spans="1:5" x14ac:dyDescent="0.2">
      <c r="A995" s="1">
        <v>43781</v>
      </c>
      <c r="B995">
        <f>12.68</f>
        <v>12.68</v>
      </c>
      <c r="C995">
        <f>12.6338</f>
        <v>12.633800000000001</v>
      </c>
      <c r="D995">
        <f>12.83</f>
        <v>12.83</v>
      </c>
      <c r="E995" t="e">
        <f>NA()</f>
        <v>#N/A</v>
      </c>
    </row>
    <row r="996" spans="1:5" x14ac:dyDescent="0.2">
      <c r="A996" s="1">
        <v>43780</v>
      </c>
      <c r="B996">
        <f>12.69</f>
        <v>12.69</v>
      </c>
      <c r="C996">
        <f>13.0887</f>
        <v>13.088699999999999</v>
      </c>
      <c r="D996">
        <f>13.36</f>
        <v>13.36</v>
      </c>
      <c r="E996">
        <f>15.69</f>
        <v>15.69</v>
      </c>
    </row>
    <row r="997" spans="1:5" x14ac:dyDescent="0.2">
      <c r="A997" s="1">
        <v>43777</v>
      </c>
      <c r="B997">
        <f>12.07</f>
        <v>12.07</v>
      </c>
      <c r="C997">
        <f>12.8514</f>
        <v>12.8514</v>
      </c>
      <c r="D997">
        <f>12.59</f>
        <v>12.59</v>
      </c>
      <c r="E997">
        <f>15.39</f>
        <v>15.39</v>
      </c>
    </row>
    <row r="998" spans="1:5" x14ac:dyDescent="0.2">
      <c r="A998" s="1">
        <v>43776</v>
      </c>
      <c r="B998">
        <f>12.73</f>
        <v>12.73</v>
      </c>
      <c r="C998">
        <f>12.7542</f>
        <v>12.754200000000001</v>
      </c>
      <c r="D998">
        <f>12.38</f>
        <v>12.38</v>
      </c>
      <c r="E998" t="e">
        <f>NA()</f>
        <v>#N/A</v>
      </c>
    </row>
    <row r="999" spans="1:5" x14ac:dyDescent="0.2">
      <c r="A999" s="1">
        <v>43775</v>
      </c>
      <c r="B999">
        <f>12.62</f>
        <v>12.62</v>
      </c>
      <c r="C999">
        <f>12.9335</f>
        <v>12.9335</v>
      </c>
      <c r="D999">
        <f>12.67</f>
        <v>12.67</v>
      </c>
      <c r="E999" t="e">
        <f>NA()</f>
        <v>#N/A</v>
      </c>
    </row>
    <row r="1000" spans="1:5" x14ac:dyDescent="0.2">
      <c r="A1000" s="1">
        <v>43774</v>
      </c>
      <c r="B1000">
        <f>13.1</f>
        <v>13.1</v>
      </c>
      <c r="C1000">
        <f>12.9226</f>
        <v>12.922599999999999</v>
      </c>
      <c r="D1000">
        <f>12.93</f>
        <v>12.93</v>
      </c>
      <c r="E1000">
        <f>15.07</f>
        <v>15.07</v>
      </c>
    </row>
    <row r="1001" spans="1:5" x14ac:dyDescent="0.2">
      <c r="A1001" s="1">
        <v>43773</v>
      </c>
      <c r="B1001">
        <f>12.83</f>
        <v>12.83</v>
      </c>
      <c r="C1001">
        <f>12.9047</f>
        <v>12.9047</v>
      </c>
      <c r="D1001">
        <f>12.85</f>
        <v>12.85</v>
      </c>
      <c r="E1001">
        <f>15.33</f>
        <v>15.33</v>
      </c>
    </row>
    <row r="1002" spans="1:5" x14ac:dyDescent="0.2">
      <c r="A1002" s="1">
        <v>43770</v>
      </c>
      <c r="B1002">
        <f>12.3</f>
        <v>12.3</v>
      </c>
      <c r="C1002">
        <f>12.8444</f>
        <v>12.8444</v>
      </c>
      <c r="D1002">
        <f>12.86</f>
        <v>12.86</v>
      </c>
      <c r="E1002">
        <f>15.62</f>
        <v>15.62</v>
      </c>
    </row>
    <row r="1003" spans="1:5" x14ac:dyDescent="0.2">
      <c r="A1003" s="1">
        <v>43769</v>
      </c>
      <c r="B1003">
        <f>13.22</f>
        <v>13.22</v>
      </c>
      <c r="C1003">
        <f>13.7919</f>
        <v>13.7919</v>
      </c>
      <c r="D1003">
        <f>13.2</f>
        <v>13.2</v>
      </c>
      <c r="E1003" t="e">
        <f>NA()</f>
        <v>#N/A</v>
      </c>
    </row>
    <row r="1004" spans="1:5" x14ac:dyDescent="0.2">
      <c r="A1004" s="1">
        <v>43768</v>
      </c>
      <c r="B1004">
        <f>12.33</f>
        <v>12.33</v>
      </c>
      <c r="C1004">
        <f>13.7963</f>
        <v>13.7963</v>
      </c>
      <c r="D1004">
        <f>12.58</f>
        <v>12.58</v>
      </c>
      <c r="E1004">
        <f>15.9</f>
        <v>15.9</v>
      </c>
    </row>
    <row r="1005" spans="1:5" x14ac:dyDescent="0.2">
      <c r="A1005" s="1">
        <v>43767</v>
      </c>
      <c r="B1005">
        <f>13.2</f>
        <v>13.2</v>
      </c>
      <c r="C1005">
        <f>13.7262</f>
        <v>13.7262</v>
      </c>
      <c r="D1005">
        <f>12.57</f>
        <v>12.57</v>
      </c>
      <c r="E1005" t="e">
        <f>NA()</f>
        <v>#N/A</v>
      </c>
    </row>
    <row r="1006" spans="1:5" x14ac:dyDescent="0.2">
      <c r="A1006" s="1">
        <v>43766</v>
      </c>
      <c r="B1006">
        <f>13.11</f>
        <v>13.11</v>
      </c>
      <c r="C1006">
        <f>13.2006</f>
        <v>13.2006</v>
      </c>
      <c r="D1006">
        <f>12</f>
        <v>12</v>
      </c>
      <c r="E1006">
        <f>16.1</f>
        <v>16.100000000000001</v>
      </c>
    </row>
    <row r="1007" spans="1:5" x14ac:dyDescent="0.2">
      <c r="A1007" s="1">
        <v>43763</v>
      </c>
      <c r="B1007">
        <f>12.65</f>
        <v>12.65</v>
      </c>
      <c r="C1007">
        <f>12.8208</f>
        <v>12.8208</v>
      </c>
      <c r="D1007">
        <f>11.99</f>
        <v>11.99</v>
      </c>
      <c r="E1007" t="e">
        <f>NA()</f>
        <v>#N/A</v>
      </c>
    </row>
    <row r="1008" spans="1:5" x14ac:dyDescent="0.2">
      <c r="A1008" s="1">
        <v>43762</v>
      </c>
      <c r="B1008">
        <f>13.71</f>
        <v>13.71</v>
      </c>
      <c r="C1008">
        <f>13.0918</f>
        <v>13.091799999999999</v>
      </c>
      <c r="D1008">
        <f>12.38</f>
        <v>12.38</v>
      </c>
      <c r="E1008" t="e">
        <f>NA()</f>
        <v>#N/A</v>
      </c>
    </row>
    <row r="1009" spans="1:5" x14ac:dyDescent="0.2">
      <c r="A1009" s="1">
        <v>43761</v>
      </c>
      <c r="B1009">
        <f>14.01</f>
        <v>14.01</v>
      </c>
      <c r="C1009">
        <f>13.4557</f>
        <v>13.4557</v>
      </c>
      <c r="D1009">
        <f>12.86</f>
        <v>12.86</v>
      </c>
      <c r="E1009">
        <f>16.14</f>
        <v>16.14</v>
      </c>
    </row>
    <row r="1010" spans="1:5" x14ac:dyDescent="0.2">
      <c r="A1010" s="1">
        <v>43760</v>
      </c>
      <c r="B1010">
        <f>14.46</f>
        <v>14.46</v>
      </c>
      <c r="C1010">
        <f>14.1743</f>
        <v>14.174300000000001</v>
      </c>
      <c r="D1010">
        <f>13.6</f>
        <v>13.6</v>
      </c>
      <c r="E1010" t="e">
        <f>NA()</f>
        <v>#N/A</v>
      </c>
    </row>
    <row r="1011" spans="1:5" x14ac:dyDescent="0.2">
      <c r="A1011" s="1">
        <v>43759</v>
      </c>
      <c r="B1011">
        <f>14</f>
        <v>14</v>
      </c>
      <c r="C1011">
        <f>14.7438</f>
        <v>14.7438</v>
      </c>
      <c r="D1011">
        <f>14</f>
        <v>14</v>
      </c>
      <c r="E1011">
        <f>16.05</f>
        <v>16.05</v>
      </c>
    </row>
    <row r="1012" spans="1:5" x14ac:dyDescent="0.2">
      <c r="A1012" s="1">
        <v>43756</v>
      </c>
      <c r="B1012">
        <f>14.25</f>
        <v>14.25</v>
      </c>
      <c r="C1012">
        <f>15.3746</f>
        <v>15.374599999999999</v>
      </c>
      <c r="D1012">
        <f>14.54</f>
        <v>14.54</v>
      </c>
      <c r="E1012" t="e">
        <f>NA()</f>
        <v>#N/A</v>
      </c>
    </row>
    <row r="1013" spans="1:5" x14ac:dyDescent="0.2">
      <c r="A1013" s="1">
        <v>43755</v>
      </c>
      <c r="B1013">
        <f>13.79</f>
        <v>13.79</v>
      </c>
      <c r="C1013">
        <f>14.9276</f>
        <v>14.9276</v>
      </c>
      <c r="D1013">
        <f>14.04</f>
        <v>14.04</v>
      </c>
      <c r="E1013">
        <f>15.56</f>
        <v>15.56</v>
      </c>
    </row>
    <row r="1014" spans="1:5" x14ac:dyDescent="0.2">
      <c r="A1014" s="1">
        <v>43754</v>
      </c>
      <c r="B1014">
        <f>13.68</f>
        <v>13.68</v>
      </c>
      <c r="C1014">
        <f>14.76</f>
        <v>14.76</v>
      </c>
      <c r="D1014">
        <f>14.16</f>
        <v>14.16</v>
      </c>
      <c r="E1014">
        <f>15.57</f>
        <v>15.57</v>
      </c>
    </row>
    <row r="1015" spans="1:5" x14ac:dyDescent="0.2">
      <c r="A1015" s="1">
        <v>43753</v>
      </c>
      <c r="B1015">
        <f>13.54</f>
        <v>13.54</v>
      </c>
      <c r="C1015">
        <f>14.4716</f>
        <v>14.4716</v>
      </c>
      <c r="D1015">
        <f>13.67</f>
        <v>13.67</v>
      </c>
      <c r="E1015">
        <f>15.85</f>
        <v>15.85</v>
      </c>
    </row>
    <row r="1016" spans="1:5" x14ac:dyDescent="0.2">
      <c r="A1016" s="1">
        <v>43752</v>
      </c>
      <c r="B1016">
        <f>14.57</f>
        <v>14.57</v>
      </c>
      <c r="C1016">
        <f>15.9171</f>
        <v>15.9171</v>
      </c>
      <c r="D1016">
        <f>14.83</f>
        <v>14.83</v>
      </c>
      <c r="E1016">
        <f>15.86</f>
        <v>15.86</v>
      </c>
    </row>
    <row r="1017" spans="1:5" x14ac:dyDescent="0.2">
      <c r="A1017" s="1">
        <v>43749</v>
      </c>
      <c r="B1017">
        <f>15.58</f>
        <v>15.58</v>
      </c>
      <c r="C1017">
        <f>15.8911</f>
        <v>15.8911</v>
      </c>
      <c r="D1017">
        <f>14.52</f>
        <v>14.52</v>
      </c>
      <c r="E1017" t="e">
        <f>NA()</f>
        <v>#N/A</v>
      </c>
    </row>
    <row r="1018" spans="1:5" x14ac:dyDescent="0.2">
      <c r="A1018" s="1">
        <v>43748</v>
      </c>
      <c r="B1018">
        <f>17.57</f>
        <v>17.57</v>
      </c>
      <c r="C1018">
        <f>17.418</f>
        <v>17.417999999999999</v>
      </c>
      <c r="D1018">
        <f>15.54</f>
        <v>15.54</v>
      </c>
      <c r="E1018">
        <f>16.18</f>
        <v>16.18</v>
      </c>
    </row>
    <row r="1019" spans="1:5" x14ac:dyDescent="0.2">
      <c r="A1019" s="1">
        <v>43747</v>
      </c>
      <c r="B1019">
        <f>18.64</f>
        <v>18.64</v>
      </c>
      <c r="C1019">
        <f>18.3918</f>
        <v>18.3918</v>
      </c>
      <c r="D1019">
        <f>16.75</f>
        <v>16.75</v>
      </c>
      <c r="E1019" t="e">
        <f>NA()</f>
        <v>#N/A</v>
      </c>
    </row>
    <row r="1020" spans="1:5" x14ac:dyDescent="0.2">
      <c r="A1020" s="1">
        <v>43746</v>
      </c>
      <c r="B1020">
        <f>20.28</f>
        <v>20.28</v>
      </c>
      <c r="C1020">
        <f>19.2294</f>
        <v>19.229399999999998</v>
      </c>
      <c r="D1020">
        <f>17.37</f>
        <v>17.37</v>
      </c>
      <c r="E1020">
        <f>16.75</f>
        <v>16.75</v>
      </c>
    </row>
    <row r="1021" spans="1:5" x14ac:dyDescent="0.2">
      <c r="A1021" s="1">
        <v>43745</v>
      </c>
      <c r="B1021">
        <f>17.86</f>
        <v>17.86</v>
      </c>
      <c r="C1021">
        <f>17.856</f>
        <v>17.856000000000002</v>
      </c>
      <c r="D1021">
        <f>16.61</f>
        <v>16.61</v>
      </c>
      <c r="E1021">
        <f>16.58</f>
        <v>16.579999999999998</v>
      </c>
    </row>
    <row r="1022" spans="1:5" x14ac:dyDescent="0.2">
      <c r="A1022" s="1">
        <v>43742</v>
      </c>
      <c r="B1022">
        <f>17.04</f>
        <v>17.04</v>
      </c>
      <c r="C1022">
        <f>18.5245</f>
        <v>18.5245</v>
      </c>
      <c r="D1022">
        <f>17.07</f>
        <v>17.07</v>
      </c>
      <c r="E1022">
        <f>17.06</f>
        <v>17.059999999999999</v>
      </c>
    </row>
    <row r="1023" spans="1:5" x14ac:dyDescent="0.2">
      <c r="A1023" s="1">
        <v>43741</v>
      </c>
      <c r="B1023">
        <f>19.12</f>
        <v>19.12</v>
      </c>
      <c r="C1023">
        <f>20.5011</f>
        <v>20.501100000000001</v>
      </c>
      <c r="D1023">
        <f>18.57</f>
        <v>18.57</v>
      </c>
      <c r="E1023" t="e">
        <f>NA()</f>
        <v>#N/A</v>
      </c>
    </row>
    <row r="1024" spans="1:5" x14ac:dyDescent="0.2">
      <c r="A1024" s="1">
        <v>43740</v>
      </c>
      <c r="B1024">
        <f>20.56</f>
        <v>20.56</v>
      </c>
      <c r="C1024">
        <f>21.0071</f>
        <v>21.007100000000001</v>
      </c>
      <c r="D1024">
        <f>18.5</f>
        <v>18.5</v>
      </c>
      <c r="E1024">
        <f>16.71</f>
        <v>16.71</v>
      </c>
    </row>
    <row r="1025" spans="1:5" x14ac:dyDescent="0.2">
      <c r="A1025" s="1">
        <v>43739</v>
      </c>
      <c r="B1025">
        <f>18.56</f>
        <v>18.559999999999999</v>
      </c>
      <c r="C1025">
        <f>17.26</f>
        <v>17.260000000000002</v>
      </c>
      <c r="D1025">
        <f>14.83</f>
        <v>14.83</v>
      </c>
      <c r="E1025">
        <f>16.01</f>
        <v>16.010000000000002</v>
      </c>
    </row>
    <row r="1026" spans="1:5" x14ac:dyDescent="0.2">
      <c r="A1026" s="1">
        <v>43738</v>
      </c>
      <c r="B1026">
        <f>16.24</f>
        <v>16.239999999999998</v>
      </c>
      <c r="C1026">
        <f>15.8282</f>
        <v>15.828200000000001</v>
      </c>
      <c r="D1026">
        <f>13.92</f>
        <v>13.92</v>
      </c>
      <c r="E1026">
        <f>16.27</f>
        <v>16.27</v>
      </c>
    </row>
    <row r="1027" spans="1:5" x14ac:dyDescent="0.2">
      <c r="A1027" s="1">
        <v>43735</v>
      </c>
      <c r="B1027">
        <f>17.22</f>
        <v>17.22</v>
      </c>
      <c r="C1027">
        <f>15.8826</f>
        <v>15.8826</v>
      </c>
      <c r="D1027">
        <f>13.85</f>
        <v>13.85</v>
      </c>
      <c r="E1027">
        <f>17.06</f>
        <v>17.059999999999999</v>
      </c>
    </row>
    <row r="1028" spans="1:5" x14ac:dyDescent="0.2">
      <c r="A1028" s="1">
        <v>43734</v>
      </c>
      <c r="B1028">
        <f>16.07</f>
        <v>16.07</v>
      </c>
      <c r="C1028">
        <f>16.587</f>
        <v>16.587</v>
      </c>
      <c r="D1028">
        <f>14.59</f>
        <v>14.59</v>
      </c>
      <c r="E1028">
        <f>17.06</f>
        <v>17.059999999999999</v>
      </c>
    </row>
    <row r="1029" spans="1:5" x14ac:dyDescent="0.2">
      <c r="A1029" s="1">
        <v>43733</v>
      </c>
      <c r="B1029">
        <f>15.96</f>
        <v>15.96</v>
      </c>
      <c r="C1029">
        <f>17.2313</f>
        <v>17.231300000000001</v>
      </c>
      <c r="D1029">
        <f>15.04</f>
        <v>15.04</v>
      </c>
      <c r="E1029">
        <f>17.07</f>
        <v>17.07</v>
      </c>
    </row>
    <row r="1030" spans="1:5" x14ac:dyDescent="0.2">
      <c r="A1030" s="1">
        <v>43732</v>
      </c>
      <c r="B1030">
        <f>17.05</f>
        <v>17.05</v>
      </c>
      <c r="C1030">
        <f>15.9723</f>
        <v>15.972300000000001</v>
      </c>
      <c r="D1030">
        <f>14.41</f>
        <v>14.41</v>
      </c>
      <c r="E1030" t="e">
        <f>NA()</f>
        <v>#N/A</v>
      </c>
    </row>
    <row r="1031" spans="1:5" x14ac:dyDescent="0.2">
      <c r="A1031" s="1">
        <v>43731</v>
      </c>
      <c r="B1031">
        <f>14.91</f>
        <v>14.91</v>
      </c>
      <c r="C1031">
        <f>15.5783</f>
        <v>15.5783</v>
      </c>
      <c r="D1031">
        <f>14.58</f>
        <v>14.58</v>
      </c>
      <c r="E1031">
        <f>16.06</f>
        <v>16.059999999999999</v>
      </c>
    </row>
    <row r="1032" spans="1:5" x14ac:dyDescent="0.2">
      <c r="A1032" s="1">
        <v>43728</v>
      </c>
      <c r="B1032">
        <f>15.32</f>
        <v>15.32</v>
      </c>
      <c r="C1032">
        <f>13.9744</f>
        <v>13.974399999999999</v>
      </c>
      <c r="D1032">
        <f>13.31</f>
        <v>13.31</v>
      </c>
      <c r="E1032" t="e">
        <f>NA()</f>
        <v>#N/A</v>
      </c>
    </row>
    <row r="1033" spans="1:5" x14ac:dyDescent="0.2">
      <c r="A1033" s="1">
        <v>43727</v>
      </c>
      <c r="B1033">
        <f>14.05</f>
        <v>14.05</v>
      </c>
      <c r="C1033">
        <f>14.501</f>
        <v>14.500999999999999</v>
      </c>
      <c r="D1033">
        <f>13.18</f>
        <v>13.18</v>
      </c>
      <c r="E1033">
        <f>15.86</f>
        <v>15.86</v>
      </c>
    </row>
    <row r="1034" spans="1:5" x14ac:dyDescent="0.2">
      <c r="A1034" s="1">
        <v>43726</v>
      </c>
      <c r="B1034">
        <f>13.95</f>
        <v>13.95</v>
      </c>
      <c r="C1034">
        <f>15.2097</f>
        <v>15.2097</v>
      </c>
      <c r="D1034">
        <f>13.74</f>
        <v>13.74</v>
      </c>
      <c r="E1034">
        <f>15.86</f>
        <v>15.86</v>
      </c>
    </row>
    <row r="1035" spans="1:5" x14ac:dyDescent="0.2">
      <c r="A1035" s="1">
        <v>43725</v>
      </c>
      <c r="B1035">
        <f>14.44</f>
        <v>14.44</v>
      </c>
      <c r="C1035">
        <f>15.5502</f>
        <v>15.5502</v>
      </c>
      <c r="D1035">
        <f>13.55</f>
        <v>13.55</v>
      </c>
      <c r="E1035">
        <f>15.87</f>
        <v>15.87</v>
      </c>
    </row>
    <row r="1036" spans="1:5" x14ac:dyDescent="0.2">
      <c r="A1036" s="1">
        <v>43724</v>
      </c>
      <c r="B1036">
        <f>14.67</f>
        <v>14.67</v>
      </c>
      <c r="C1036">
        <f>15.2467</f>
        <v>15.246700000000001</v>
      </c>
      <c r="D1036">
        <f>13.33</f>
        <v>13.33</v>
      </c>
      <c r="E1036">
        <f>15.1</f>
        <v>15.1</v>
      </c>
    </row>
    <row r="1037" spans="1:5" x14ac:dyDescent="0.2">
      <c r="A1037" s="1">
        <v>43721</v>
      </c>
      <c r="B1037">
        <f>13.74</f>
        <v>13.74</v>
      </c>
      <c r="C1037">
        <f>13.7364</f>
        <v>13.7364</v>
      </c>
      <c r="D1037">
        <f>12</f>
        <v>12</v>
      </c>
      <c r="E1037">
        <f>15.36</f>
        <v>15.36</v>
      </c>
    </row>
    <row r="1038" spans="1:5" x14ac:dyDescent="0.2">
      <c r="A1038" s="1">
        <v>43720</v>
      </c>
      <c r="B1038">
        <f>14.22</f>
        <v>14.22</v>
      </c>
      <c r="C1038">
        <f>14.4138</f>
        <v>14.4138</v>
      </c>
      <c r="D1038">
        <f>12.74</f>
        <v>12.74</v>
      </c>
      <c r="E1038">
        <f>15.88</f>
        <v>15.88</v>
      </c>
    </row>
    <row r="1039" spans="1:5" x14ac:dyDescent="0.2">
      <c r="A1039" s="1">
        <v>43719</v>
      </c>
      <c r="B1039">
        <f>14.61</f>
        <v>14.61</v>
      </c>
      <c r="C1039">
        <f>15.4354</f>
        <v>15.4354</v>
      </c>
      <c r="D1039">
        <f>13.53</f>
        <v>13.53</v>
      </c>
      <c r="E1039">
        <f>15.88</f>
        <v>15.88</v>
      </c>
    </row>
    <row r="1040" spans="1:5" x14ac:dyDescent="0.2">
      <c r="A1040" s="1">
        <v>43718</v>
      </c>
      <c r="B1040">
        <f>15.2</f>
        <v>15.2</v>
      </c>
      <c r="C1040">
        <f>15.2574</f>
        <v>15.257400000000001</v>
      </c>
      <c r="D1040">
        <f>14.15</f>
        <v>14.15</v>
      </c>
      <c r="E1040" t="e">
        <f>NA()</f>
        <v>#N/A</v>
      </c>
    </row>
    <row r="1041" spans="1:5" x14ac:dyDescent="0.2">
      <c r="A1041" s="1">
        <v>43717</v>
      </c>
      <c r="B1041">
        <f>15.27</f>
        <v>15.27</v>
      </c>
      <c r="C1041">
        <f>14.9418</f>
        <v>14.941800000000001</v>
      </c>
      <c r="D1041">
        <f>13.95</f>
        <v>13.95</v>
      </c>
      <c r="E1041">
        <f>16.9</f>
        <v>16.899999999999999</v>
      </c>
    </row>
    <row r="1042" spans="1:5" x14ac:dyDescent="0.2">
      <c r="A1042" s="1">
        <v>43714</v>
      </c>
      <c r="B1042">
        <f>15</f>
        <v>15</v>
      </c>
      <c r="C1042">
        <f>14.6313</f>
        <v>14.6313</v>
      </c>
      <c r="D1042">
        <f>13.75</f>
        <v>13.75</v>
      </c>
      <c r="E1042">
        <f>16.66</f>
        <v>16.66</v>
      </c>
    </row>
    <row r="1043" spans="1:5" x14ac:dyDescent="0.2">
      <c r="A1043" s="1">
        <v>43713</v>
      </c>
      <c r="B1043">
        <f>16.27</f>
        <v>16.27</v>
      </c>
      <c r="C1043">
        <f>15.5052</f>
        <v>15.5052</v>
      </c>
      <c r="D1043">
        <f>14.38</f>
        <v>14.38</v>
      </c>
      <c r="E1043" t="e">
        <f>NA()</f>
        <v>#N/A</v>
      </c>
    </row>
    <row r="1044" spans="1:5" x14ac:dyDescent="0.2">
      <c r="A1044" s="1">
        <v>43712</v>
      </c>
      <c r="B1044">
        <f>17.33</f>
        <v>17.329999999999998</v>
      </c>
      <c r="C1044">
        <f>16.5794</f>
        <v>16.5794</v>
      </c>
      <c r="D1044">
        <f>15.28</f>
        <v>15.28</v>
      </c>
      <c r="E1044">
        <f>17.69</f>
        <v>17.690000000000001</v>
      </c>
    </row>
    <row r="1045" spans="1:5" x14ac:dyDescent="0.2">
      <c r="A1045" s="1">
        <v>43711</v>
      </c>
      <c r="B1045">
        <f>19.66</f>
        <v>19.66</v>
      </c>
      <c r="C1045">
        <f>18.2403</f>
        <v>18.240300000000001</v>
      </c>
      <c r="D1045">
        <f>16.88</f>
        <v>16.88</v>
      </c>
      <c r="E1045">
        <f>17.95</f>
        <v>17.95</v>
      </c>
    </row>
    <row r="1046" spans="1:5" x14ac:dyDescent="0.2">
      <c r="A1046" s="1">
        <v>43710</v>
      </c>
      <c r="B1046" t="e">
        <f>NA()</f>
        <v>#N/A</v>
      </c>
      <c r="C1046">
        <f>17.5382</f>
        <v>17.5382</v>
      </c>
      <c r="D1046">
        <f>16.41</f>
        <v>16.41</v>
      </c>
      <c r="E1046" t="e">
        <f>NA()</f>
        <v>#N/A</v>
      </c>
    </row>
    <row r="1047" spans="1:5" x14ac:dyDescent="0.2">
      <c r="A1047" s="1">
        <v>43707</v>
      </c>
      <c r="B1047">
        <f>18.98</f>
        <v>18.98</v>
      </c>
      <c r="C1047">
        <f>17.6681</f>
        <v>17.668099999999999</v>
      </c>
      <c r="D1047">
        <f>16.39</f>
        <v>16.39</v>
      </c>
      <c r="E1047">
        <f>17.68</f>
        <v>17.68</v>
      </c>
    </row>
    <row r="1048" spans="1:5" x14ac:dyDescent="0.2">
      <c r="A1048" s="1">
        <v>43706</v>
      </c>
      <c r="B1048">
        <f>17.88</f>
        <v>17.88</v>
      </c>
      <c r="C1048">
        <f>17.601</f>
        <v>17.600999999999999</v>
      </c>
      <c r="D1048">
        <f>16.45</f>
        <v>16.45</v>
      </c>
      <c r="E1048" t="e">
        <f>NA()</f>
        <v>#N/A</v>
      </c>
    </row>
    <row r="1049" spans="1:5" x14ac:dyDescent="0.2">
      <c r="A1049" s="1">
        <v>43705</v>
      </c>
      <c r="B1049">
        <f>19.35</f>
        <v>19.350000000000001</v>
      </c>
      <c r="C1049">
        <f>19.3267</f>
        <v>19.326699999999999</v>
      </c>
      <c r="D1049">
        <f>17.98</f>
        <v>17.98</v>
      </c>
      <c r="E1049">
        <f>18.44</f>
        <v>18.440000000000001</v>
      </c>
    </row>
    <row r="1050" spans="1:5" x14ac:dyDescent="0.2">
      <c r="A1050" s="1">
        <v>43704</v>
      </c>
      <c r="B1050">
        <f>20.31</f>
        <v>20.309999999999999</v>
      </c>
      <c r="C1050">
        <f>19.4399</f>
        <v>19.439900000000002</v>
      </c>
      <c r="D1050">
        <f>18.24</f>
        <v>18.239999999999998</v>
      </c>
      <c r="E1050">
        <f>19.47</f>
        <v>19.47</v>
      </c>
    </row>
    <row r="1051" spans="1:5" x14ac:dyDescent="0.2">
      <c r="A1051" s="1">
        <v>43703</v>
      </c>
      <c r="B1051">
        <f>19.32</f>
        <v>19.32</v>
      </c>
      <c r="C1051">
        <f>20.2502</f>
        <v>20.2502</v>
      </c>
      <c r="D1051" t="e">
        <f>NA()</f>
        <v>#N/A</v>
      </c>
      <c r="E1051" t="e">
        <f>NA()</f>
        <v>#N/A</v>
      </c>
    </row>
    <row r="1052" spans="1:5" x14ac:dyDescent="0.2">
      <c r="A1052" s="1">
        <v>43700</v>
      </c>
      <c r="B1052">
        <f>19.87</f>
        <v>19.87</v>
      </c>
      <c r="C1052">
        <f>20.1473</f>
        <v>20.147300000000001</v>
      </c>
      <c r="D1052">
        <f>17.82</f>
        <v>17.82</v>
      </c>
      <c r="E1052">
        <f>19.12</f>
        <v>19.12</v>
      </c>
    </row>
    <row r="1053" spans="1:5" x14ac:dyDescent="0.2">
      <c r="A1053" s="1">
        <v>43699</v>
      </c>
      <c r="B1053">
        <f>16.68</f>
        <v>16.68</v>
      </c>
      <c r="C1053">
        <f>18.2332</f>
        <v>18.2332</v>
      </c>
      <c r="D1053">
        <f>16.64</f>
        <v>16.64</v>
      </c>
      <c r="E1053">
        <f>18.88</f>
        <v>18.88</v>
      </c>
    </row>
    <row r="1054" spans="1:5" x14ac:dyDescent="0.2">
      <c r="A1054" s="1">
        <v>43698</v>
      </c>
      <c r="B1054">
        <f>15.8</f>
        <v>15.8</v>
      </c>
      <c r="C1054">
        <f>16.7721</f>
        <v>16.772099999999998</v>
      </c>
      <c r="D1054">
        <f>15.48</f>
        <v>15.48</v>
      </c>
      <c r="E1054">
        <f>18.61</f>
        <v>18.61</v>
      </c>
    </row>
    <row r="1055" spans="1:5" x14ac:dyDescent="0.2">
      <c r="A1055" s="1">
        <v>43697</v>
      </c>
      <c r="B1055">
        <f>17.5</f>
        <v>17.5</v>
      </c>
      <c r="C1055">
        <f>18.4289</f>
        <v>18.428899999999999</v>
      </c>
      <c r="D1055">
        <f>17.51</f>
        <v>17.510000000000002</v>
      </c>
      <c r="E1055">
        <f>18.85</f>
        <v>18.850000000000001</v>
      </c>
    </row>
    <row r="1056" spans="1:5" x14ac:dyDescent="0.2">
      <c r="A1056" s="1">
        <v>43696</v>
      </c>
      <c r="B1056">
        <f>16.88</f>
        <v>16.88</v>
      </c>
      <c r="C1056">
        <f>18.2556</f>
        <v>18.255600000000001</v>
      </c>
      <c r="D1056">
        <f>16.85</f>
        <v>16.850000000000001</v>
      </c>
      <c r="E1056">
        <f>18.83</f>
        <v>18.829999999999998</v>
      </c>
    </row>
    <row r="1057" spans="1:5" x14ac:dyDescent="0.2">
      <c r="A1057" s="1">
        <v>43693</v>
      </c>
      <c r="B1057">
        <f>18.47</f>
        <v>18.47</v>
      </c>
      <c r="C1057">
        <f>20.3841</f>
        <v>20.3841</v>
      </c>
      <c r="D1057">
        <f>18.74</f>
        <v>18.739999999999998</v>
      </c>
      <c r="E1057">
        <f>19.08</f>
        <v>19.079999999999998</v>
      </c>
    </row>
    <row r="1058" spans="1:5" x14ac:dyDescent="0.2">
      <c r="A1058" s="1">
        <v>43692</v>
      </c>
      <c r="B1058">
        <f>21.18</f>
        <v>21.18</v>
      </c>
      <c r="C1058">
        <f>22.5419</f>
        <v>22.541899999999998</v>
      </c>
      <c r="D1058">
        <f>19.26</f>
        <v>19.260000000000002</v>
      </c>
      <c r="E1058">
        <f>19.09</f>
        <v>19.09</v>
      </c>
    </row>
    <row r="1059" spans="1:5" x14ac:dyDescent="0.2">
      <c r="A1059" s="1">
        <v>43691</v>
      </c>
      <c r="B1059">
        <f>22.1</f>
        <v>22.1</v>
      </c>
      <c r="C1059">
        <f>22.0616</f>
        <v>22.061599999999999</v>
      </c>
      <c r="D1059">
        <f>18.22</f>
        <v>18.22</v>
      </c>
      <c r="E1059">
        <f>19.06</f>
        <v>19.059999999999999</v>
      </c>
    </row>
    <row r="1060" spans="1:5" x14ac:dyDescent="0.2">
      <c r="A1060" s="1">
        <v>43690</v>
      </c>
      <c r="B1060">
        <f>17.52</f>
        <v>17.52</v>
      </c>
      <c r="C1060">
        <f>18.6224</f>
        <v>18.622399999999999</v>
      </c>
      <c r="D1060">
        <f>15.9</f>
        <v>15.9</v>
      </c>
      <c r="E1060">
        <f>18.21</f>
        <v>18.21</v>
      </c>
    </row>
    <row r="1061" spans="1:5" x14ac:dyDescent="0.2">
      <c r="A1061" s="1">
        <v>43689</v>
      </c>
      <c r="B1061">
        <f>21.09</f>
        <v>21.09</v>
      </c>
      <c r="C1061">
        <f>19.2544</f>
        <v>19.2544</v>
      </c>
      <c r="D1061">
        <f>15.9</f>
        <v>15.9</v>
      </c>
      <c r="E1061">
        <f>18.25</f>
        <v>18.25</v>
      </c>
    </row>
    <row r="1062" spans="1:5" x14ac:dyDescent="0.2">
      <c r="A1062" s="1">
        <v>43686</v>
      </c>
      <c r="B1062">
        <f>17.97</f>
        <v>17.97</v>
      </c>
      <c r="C1062">
        <f>18.9533</f>
        <v>18.953299999999999</v>
      </c>
      <c r="D1062">
        <f>15.32</f>
        <v>15.32</v>
      </c>
      <c r="E1062" t="e">
        <f>NA()</f>
        <v>#N/A</v>
      </c>
    </row>
    <row r="1063" spans="1:5" x14ac:dyDescent="0.2">
      <c r="A1063" s="1">
        <v>43685</v>
      </c>
      <c r="B1063">
        <f>16.91</f>
        <v>16.91</v>
      </c>
      <c r="C1063">
        <f>18.0037</f>
        <v>18.003699999999998</v>
      </c>
      <c r="D1063">
        <f>15.05</f>
        <v>15.05</v>
      </c>
      <c r="E1063">
        <f>18.27</f>
        <v>18.27</v>
      </c>
    </row>
    <row r="1064" spans="1:5" x14ac:dyDescent="0.2">
      <c r="A1064" s="1">
        <v>43684</v>
      </c>
      <c r="B1064">
        <f>19.49</f>
        <v>19.489999999999998</v>
      </c>
      <c r="C1064">
        <f>21.039</f>
        <v>21.039000000000001</v>
      </c>
      <c r="D1064">
        <f>17.9</f>
        <v>17.899999999999999</v>
      </c>
      <c r="E1064">
        <f>17.7</f>
        <v>17.7</v>
      </c>
    </row>
    <row r="1065" spans="1:5" x14ac:dyDescent="0.2">
      <c r="A1065" s="1">
        <v>43683</v>
      </c>
      <c r="B1065">
        <f>20.17</f>
        <v>20.170000000000002</v>
      </c>
      <c r="C1065">
        <f>21.3783</f>
        <v>21.378299999999999</v>
      </c>
      <c r="D1065">
        <f>18.18</f>
        <v>18.18</v>
      </c>
      <c r="E1065">
        <f>17.71</f>
        <v>17.71</v>
      </c>
    </row>
    <row r="1066" spans="1:5" x14ac:dyDescent="0.2">
      <c r="A1066" s="1">
        <v>43682</v>
      </c>
      <c r="B1066">
        <f>24.59</f>
        <v>24.59</v>
      </c>
      <c r="C1066">
        <f>21.0618</f>
        <v>21.061800000000002</v>
      </c>
      <c r="D1066">
        <f>17.99</f>
        <v>17.989999999999998</v>
      </c>
      <c r="E1066">
        <f>17.84</f>
        <v>17.84</v>
      </c>
    </row>
    <row r="1067" spans="1:5" x14ac:dyDescent="0.2">
      <c r="A1067" s="1">
        <v>43679</v>
      </c>
      <c r="B1067">
        <f>17.61</f>
        <v>17.61</v>
      </c>
      <c r="C1067">
        <f>18.3481</f>
        <v>18.348099999999999</v>
      </c>
      <c r="D1067">
        <f>14.95</f>
        <v>14.95</v>
      </c>
      <c r="E1067">
        <f>16.95</f>
        <v>16.95</v>
      </c>
    </row>
    <row r="1068" spans="1:5" x14ac:dyDescent="0.2">
      <c r="A1068" s="1">
        <v>43678</v>
      </c>
      <c r="B1068">
        <f>17.87</f>
        <v>17.87</v>
      </c>
      <c r="C1068">
        <f>13.7348</f>
        <v>13.7348</v>
      </c>
      <c r="D1068">
        <f>11.78</f>
        <v>11.78</v>
      </c>
      <c r="E1068">
        <f>16.1</f>
        <v>16.100000000000001</v>
      </c>
    </row>
    <row r="1069" spans="1:5" x14ac:dyDescent="0.2">
      <c r="A1069" s="1">
        <v>43677</v>
      </c>
      <c r="B1069">
        <f>16.12</f>
        <v>16.12</v>
      </c>
      <c r="C1069">
        <f>14.3909</f>
        <v>14.3909</v>
      </c>
      <c r="D1069">
        <f>11.89</f>
        <v>11.89</v>
      </c>
      <c r="E1069">
        <f>16.36</f>
        <v>16.36</v>
      </c>
    </row>
    <row r="1070" spans="1:5" x14ac:dyDescent="0.2">
      <c r="A1070" s="1">
        <v>43676</v>
      </c>
      <c r="B1070">
        <f>13.94</f>
        <v>13.94</v>
      </c>
      <c r="C1070">
        <f>14.4662</f>
        <v>14.466200000000001</v>
      </c>
      <c r="D1070">
        <f>11.36</f>
        <v>11.36</v>
      </c>
      <c r="E1070">
        <f>16.02</f>
        <v>16.02</v>
      </c>
    </row>
    <row r="1071" spans="1:5" x14ac:dyDescent="0.2">
      <c r="A1071" s="1">
        <v>43675</v>
      </c>
      <c r="B1071">
        <f>12.83</f>
        <v>12.83</v>
      </c>
      <c r="C1071">
        <f>12.6386</f>
        <v>12.6386</v>
      </c>
      <c r="D1071">
        <f>10.52</f>
        <v>10.52</v>
      </c>
      <c r="E1071">
        <f>16.82</f>
        <v>16.82</v>
      </c>
    </row>
    <row r="1072" spans="1:5" x14ac:dyDescent="0.2">
      <c r="A1072" s="1">
        <v>43672</v>
      </c>
      <c r="B1072">
        <f>12.16</f>
        <v>12.16</v>
      </c>
      <c r="C1072">
        <f>12.669</f>
        <v>12.669</v>
      </c>
      <c r="D1072">
        <f>10.38</f>
        <v>10.38</v>
      </c>
      <c r="E1072">
        <f>16.75</f>
        <v>16.75</v>
      </c>
    </row>
    <row r="1073" spans="1:5" x14ac:dyDescent="0.2">
      <c r="A1073" s="1">
        <v>43671</v>
      </c>
      <c r="B1073">
        <f>12.74</f>
        <v>12.74</v>
      </c>
      <c r="C1073">
        <f>13.2666</f>
        <v>13.2666</v>
      </c>
      <c r="D1073">
        <f>11.11</f>
        <v>11.11</v>
      </c>
      <c r="E1073">
        <f>16.73</f>
        <v>16.73</v>
      </c>
    </row>
    <row r="1074" spans="1:5" x14ac:dyDescent="0.2">
      <c r="A1074" s="1">
        <v>43670</v>
      </c>
      <c r="B1074">
        <f>12.07</f>
        <v>12.07</v>
      </c>
      <c r="C1074">
        <f>13.1227</f>
        <v>13.1227</v>
      </c>
      <c r="D1074">
        <f>11.41</f>
        <v>11.41</v>
      </c>
      <c r="E1074">
        <f>16.7</f>
        <v>16.7</v>
      </c>
    </row>
    <row r="1075" spans="1:5" x14ac:dyDescent="0.2">
      <c r="A1075" s="1">
        <v>43669</v>
      </c>
      <c r="B1075">
        <f>12.61</f>
        <v>12.61</v>
      </c>
      <c r="C1075">
        <f>12.7137</f>
        <v>12.713699999999999</v>
      </c>
      <c r="D1075">
        <f>10.98</f>
        <v>10.98</v>
      </c>
      <c r="E1075" t="e">
        <f>NA()</f>
        <v>#N/A</v>
      </c>
    </row>
    <row r="1076" spans="1:5" x14ac:dyDescent="0.2">
      <c r="A1076" s="1">
        <v>43668</v>
      </c>
      <c r="B1076">
        <f>13.53</f>
        <v>13.53</v>
      </c>
      <c r="C1076">
        <f>13.5495</f>
        <v>13.5495</v>
      </c>
      <c r="D1076">
        <f>11.39</f>
        <v>11.39</v>
      </c>
      <c r="E1076">
        <f>16.85</f>
        <v>16.850000000000001</v>
      </c>
    </row>
    <row r="1077" spans="1:5" x14ac:dyDescent="0.2">
      <c r="A1077" s="1">
        <v>43665</v>
      </c>
      <c r="B1077">
        <f>14.45</f>
        <v>14.45</v>
      </c>
      <c r="C1077">
        <f>13.6973</f>
        <v>13.6973</v>
      </c>
      <c r="D1077">
        <f>11.03</f>
        <v>11.03</v>
      </c>
      <c r="E1077">
        <f>18.64</f>
        <v>18.64</v>
      </c>
    </row>
    <row r="1078" spans="1:5" x14ac:dyDescent="0.2">
      <c r="A1078" s="1">
        <v>43664</v>
      </c>
      <c r="B1078">
        <f>13.53</f>
        <v>13.53</v>
      </c>
      <c r="C1078">
        <f>13.332</f>
        <v>13.332000000000001</v>
      </c>
      <c r="D1078">
        <f>10.93</f>
        <v>10.93</v>
      </c>
      <c r="E1078" t="e">
        <f>NA()</f>
        <v>#N/A</v>
      </c>
    </row>
    <row r="1079" spans="1:5" x14ac:dyDescent="0.2">
      <c r="A1079" s="1">
        <v>43663</v>
      </c>
      <c r="B1079">
        <f>13.97</f>
        <v>13.97</v>
      </c>
      <c r="C1079">
        <f>12.6034</f>
        <v>12.603400000000001</v>
      </c>
      <c r="D1079">
        <f>10.39</f>
        <v>10.39</v>
      </c>
      <c r="E1079">
        <f>18.54</f>
        <v>18.54</v>
      </c>
    </row>
    <row r="1080" spans="1:5" x14ac:dyDescent="0.2">
      <c r="A1080" s="1">
        <v>43662</v>
      </c>
      <c r="B1080">
        <f>12.86</f>
        <v>12.86</v>
      </c>
      <c r="C1080">
        <f>12.1592</f>
        <v>12.1592</v>
      </c>
      <c r="D1080">
        <f>10.1</f>
        <v>10.1</v>
      </c>
      <c r="E1080">
        <f>18.68</f>
        <v>18.68</v>
      </c>
    </row>
    <row r="1081" spans="1:5" x14ac:dyDescent="0.2">
      <c r="A1081" s="1">
        <v>43661</v>
      </c>
      <c r="B1081">
        <f>12.68</f>
        <v>12.68</v>
      </c>
      <c r="C1081">
        <f>12.6064</f>
        <v>12.606400000000001</v>
      </c>
      <c r="D1081">
        <f>10.42</f>
        <v>10.42</v>
      </c>
      <c r="E1081">
        <f>18.54</f>
        <v>18.54</v>
      </c>
    </row>
    <row r="1082" spans="1:5" x14ac:dyDescent="0.2">
      <c r="A1082" s="1">
        <v>43658</v>
      </c>
      <c r="B1082">
        <f>12.39</f>
        <v>12.39</v>
      </c>
      <c r="C1082">
        <f>12.3888</f>
        <v>12.3888</v>
      </c>
      <c r="D1082">
        <f>10.28</f>
        <v>10.28</v>
      </c>
      <c r="E1082">
        <f>18.51</f>
        <v>18.510000000000002</v>
      </c>
    </row>
    <row r="1083" spans="1:5" x14ac:dyDescent="0.2">
      <c r="A1083" s="1">
        <v>43657</v>
      </c>
      <c r="B1083">
        <f>12.93</f>
        <v>12.93</v>
      </c>
      <c r="C1083">
        <f>12.4747</f>
        <v>12.4747</v>
      </c>
      <c r="D1083">
        <f>10.59</f>
        <v>10.59</v>
      </c>
      <c r="E1083" t="e">
        <f>NA()</f>
        <v>#N/A</v>
      </c>
    </row>
    <row r="1084" spans="1:5" x14ac:dyDescent="0.2">
      <c r="A1084" s="1">
        <v>43656</v>
      </c>
      <c r="B1084">
        <f>13.03</f>
        <v>13.03</v>
      </c>
      <c r="C1084">
        <f>12.8191</f>
        <v>12.819100000000001</v>
      </c>
      <c r="D1084">
        <f>11.02</f>
        <v>11.02</v>
      </c>
      <c r="E1084">
        <f>18.51</f>
        <v>18.510000000000002</v>
      </c>
    </row>
    <row r="1085" spans="1:5" x14ac:dyDescent="0.2">
      <c r="A1085" s="1">
        <v>43655</v>
      </c>
      <c r="B1085">
        <f>14.09</f>
        <v>14.09</v>
      </c>
      <c r="C1085">
        <f>12.7504</f>
        <v>12.750400000000001</v>
      </c>
      <c r="D1085">
        <f>10.92</f>
        <v>10.92</v>
      </c>
      <c r="E1085">
        <f>18.5</f>
        <v>18.5</v>
      </c>
    </row>
    <row r="1086" spans="1:5" x14ac:dyDescent="0.2">
      <c r="A1086" s="1">
        <v>43654</v>
      </c>
      <c r="B1086">
        <f>13.96</f>
        <v>13.96</v>
      </c>
      <c r="C1086">
        <f>12.616</f>
        <v>12.616</v>
      </c>
      <c r="D1086">
        <f>10.82</f>
        <v>10.82</v>
      </c>
      <c r="E1086">
        <f>18.5</f>
        <v>18.5</v>
      </c>
    </row>
    <row r="1087" spans="1:5" x14ac:dyDescent="0.2">
      <c r="A1087" s="1">
        <v>43651</v>
      </c>
      <c r="B1087">
        <f>13.28</f>
        <v>13.28</v>
      </c>
      <c r="C1087">
        <f>12.4185</f>
        <v>12.4185</v>
      </c>
      <c r="D1087">
        <f>10.88</f>
        <v>10.88</v>
      </c>
      <c r="E1087">
        <f>18.37</f>
        <v>18.37</v>
      </c>
    </row>
    <row r="1088" spans="1:5" x14ac:dyDescent="0.2">
      <c r="A1088" s="1">
        <v>43650</v>
      </c>
      <c r="B1088" t="e">
        <f>NA()</f>
        <v>#N/A</v>
      </c>
      <c r="C1088">
        <f>11.7651</f>
        <v>11.7651</v>
      </c>
      <c r="D1088">
        <f>9.8</f>
        <v>9.8000000000000007</v>
      </c>
      <c r="E1088">
        <f>18.47</f>
        <v>18.47</v>
      </c>
    </row>
    <row r="1089" spans="1:5" x14ac:dyDescent="0.2">
      <c r="A1089" s="1">
        <v>43649</v>
      </c>
      <c r="B1089">
        <f>12.57</f>
        <v>12.57</v>
      </c>
      <c r="C1089">
        <f>11.7045</f>
        <v>11.704499999999999</v>
      </c>
      <c r="D1089">
        <f>9.68</f>
        <v>9.68</v>
      </c>
      <c r="E1089">
        <f>18.47</f>
        <v>18.47</v>
      </c>
    </row>
    <row r="1090" spans="1:5" x14ac:dyDescent="0.2">
      <c r="A1090" s="1">
        <v>43648</v>
      </c>
      <c r="B1090">
        <f>12.93</f>
        <v>12.93</v>
      </c>
      <c r="C1090">
        <f>11.8371</f>
        <v>11.8371</v>
      </c>
      <c r="D1090">
        <f>9.63</f>
        <v>9.6300000000000008</v>
      </c>
      <c r="E1090">
        <f>18.46</f>
        <v>18.46</v>
      </c>
    </row>
    <row r="1091" spans="1:5" x14ac:dyDescent="0.2">
      <c r="A1091" s="1">
        <v>43647</v>
      </c>
      <c r="B1091">
        <f>14.06</f>
        <v>14.06</v>
      </c>
      <c r="C1091">
        <f>12.383</f>
        <v>12.382999999999999</v>
      </c>
      <c r="D1091">
        <f>10.13</f>
        <v>10.130000000000001</v>
      </c>
      <c r="E1091">
        <f>18.46</f>
        <v>18.46</v>
      </c>
    </row>
    <row r="1092" spans="1:5" x14ac:dyDescent="0.2">
      <c r="A1092" s="1">
        <v>43644</v>
      </c>
      <c r="B1092">
        <f>15.08</f>
        <v>15.08</v>
      </c>
      <c r="C1092">
        <f>13.7342</f>
        <v>13.7342</v>
      </c>
      <c r="D1092">
        <f>11.01</f>
        <v>11.01</v>
      </c>
      <c r="E1092">
        <f>18.44</f>
        <v>18.440000000000001</v>
      </c>
    </row>
    <row r="1093" spans="1:5" x14ac:dyDescent="0.2">
      <c r="A1093" s="1">
        <v>43643</v>
      </c>
      <c r="B1093">
        <f>15.82</f>
        <v>15.82</v>
      </c>
      <c r="C1093">
        <f>14.1174</f>
        <v>14.1174</v>
      </c>
      <c r="D1093">
        <f>11.23</f>
        <v>11.23</v>
      </c>
      <c r="E1093">
        <f>18.43</f>
        <v>18.43</v>
      </c>
    </row>
    <row r="1094" spans="1:5" x14ac:dyDescent="0.2">
      <c r="A1094" s="1">
        <v>43642</v>
      </c>
      <c r="B1094">
        <f>16.21</f>
        <v>16.21</v>
      </c>
      <c r="C1094">
        <f>14.0634</f>
        <v>14.0634</v>
      </c>
      <c r="D1094">
        <f>11.45</f>
        <v>11.45</v>
      </c>
      <c r="E1094">
        <f>18.43</f>
        <v>18.43</v>
      </c>
    </row>
    <row r="1095" spans="1:5" x14ac:dyDescent="0.2">
      <c r="A1095" s="1">
        <v>43641</v>
      </c>
      <c r="B1095">
        <f>16.28</f>
        <v>16.28</v>
      </c>
      <c r="C1095">
        <f>13.9815</f>
        <v>13.9815</v>
      </c>
      <c r="D1095">
        <f>11.65</f>
        <v>11.65</v>
      </c>
      <c r="E1095">
        <f>18.42</f>
        <v>18.420000000000002</v>
      </c>
    </row>
    <row r="1096" spans="1:5" x14ac:dyDescent="0.2">
      <c r="A1096" s="1">
        <v>43640</v>
      </c>
      <c r="B1096">
        <f>15.26</f>
        <v>15.26</v>
      </c>
      <c r="C1096">
        <f>13.9669</f>
        <v>13.966900000000001</v>
      </c>
      <c r="D1096">
        <f>11.58</f>
        <v>11.58</v>
      </c>
      <c r="E1096">
        <f>18.41</f>
        <v>18.41</v>
      </c>
    </row>
    <row r="1097" spans="1:5" x14ac:dyDescent="0.2">
      <c r="A1097" s="1">
        <v>43637</v>
      </c>
      <c r="B1097">
        <f>15.4</f>
        <v>15.4</v>
      </c>
      <c r="C1097">
        <f>13.3894</f>
        <v>13.3894</v>
      </c>
      <c r="D1097">
        <f>11.16</f>
        <v>11.16</v>
      </c>
      <c r="E1097">
        <f>18.4</f>
        <v>18.399999999999999</v>
      </c>
    </row>
    <row r="1098" spans="1:5" x14ac:dyDescent="0.2">
      <c r="A1098" s="1">
        <v>43636</v>
      </c>
      <c r="B1098">
        <f>14.75</f>
        <v>14.75</v>
      </c>
      <c r="C1098">
        <f>13.3474</f>
        <v>13.3474</v>
      </c>
      <c r="D1098">
        <f>11.21</f>
        <v>11.21</v>
      </c>
      <c r="E1098">
        <f>18.39</f>
        <v>18.39</v>
      </c>
    </row>
    <row r="1099" spans="1:5" x14ac:dyDescent="0.2">
      <c r="A1099" s="1">
        <v>43635</v>
      </c>
      <c r="B1099">
        <f>14.33</f>
        <v>14.33</v>
      </c>
      <c r="C1099">
        <f>13.6604</f>
        <v>13.660399999999999</v>
      </c>
      <c r="D1099">
        <f>11.49</f>
        <v>11.49</v>
      </c>
      <c r="E1099">
        <f>18.37</f>
        <v>18.37</v>
      </c>
    </row>
    <row r="1100" spans="1:5" x14ac:dyDescent="0.2">
      <c r="A1100" s="1">
        <v>43634</v>
      </c>
      <c r="B1100">
        <f>15.15</f>
        <v>15.15</v>
      </c>
      <c r="C1100">
        <f>13.2695</f>
        <v>13.269500000000001</v>
      </c>
      <c r="D1100">
        <f>11.01</f>
        <v>11.01</v>
      </c>
      <c r="E1100">
        <f>18.38</f>
        <v>18.38</v>
      </c>
    </row>
    <row r="1101" spans="1:5" x14ac:dyDescent="0.2">
      <c r="A1101" s="1">
        <v>43633</v>
      </c>
      <c r="B1101">
        <f>15.35</f>
        <v>15.35</v>
      </c>
      <c r="C1101">
        <f>14.0293</f>
        <v>14.029299999999999</v>
      </c>
      <c r="D1101">
        <f>11.47</f>
        <v>11.47</v>
      </c>
      <c r="E1101" t="e">
        <f>NA()</f>
        <v>#N/A</v>
      </c>
    </row>
    <row r="1102" spans="1:5" x14ac:dyDescent="0.2">
      <c r="A1102" s="1">
        <v>43630</v>
      </c>
      <c r="B1102">
        <f>15.28</f>
        <v>15.28</v>
      </c>
      <c r="C1102">
        <f>14.3629</f>
        <v>14.3629</v>
      </c>
      <c r="D1102">
        <f>11.15</f>
        <v>11.15</v>
      </c>
      <c r="E1102">
        <f>18.41</f>
        <v>18.41</v>
      </c>
    </row>
    <row r="1103" spans="1:5" x14ac:dyDescent="0.2">
      <c r="A1103" s="1">
        <v>43629</v>
      </c>
      <c r="B1103">
        <f>15.82</f>
        <v>15.82</v>
      </c>
      <c r="C1103">
        <f>14.3656</f>
        <v>14.365600000000001</v>
      </c>
      <c r="D1103">
        <f>11.32</f>
        <v>11.32</v>
      </c>
      <c r="E1103">
        <f>18.34</f>
        <v>18.34</v>
      </c>
    </row>
    <row r="1104" spans="1:5" x14ac:dyDescent="0.2">
      <c r="A1104" s="1">
        <v>43628</v>
      </c>
      <c r="B1104">
        <f>15.91</f>
        <v>15.91</v>
      </c>
      <c r="C1104">
        <f>14.945</f>
        <v>14.945</v>
      </c>
      <c r="D1104">
        <f>12.13</f>
        <v>12.13</v>
      </c>
      <c r="E1104">
        <f>18.34</f>
        <v>18.34</v>
      </c>
    </row>
    <row r="1105" spans="1:5" x14ac:dyDescent="0.2">
      <c r="A1105" s="1">
        <v>43627</v>
      </c>
      <c r="B1105">
        <f>15.99</f>
        <v>15.99</v>
      </c>
      <c r="C1105">
        <f>14.796</f>
        <v>14.795999999999999</v>
      </c>
      <c r="D1105">
        <f>12.14</f>
        <v>12.14</v>
      </c>
      <c r="E1105">
        <f>18.32</f>
        <v>18.32</v>
      </c>
    </row>
    <row r="1106" spans="1:5" x14ac:dyDescent="0.2">
      <c r="A1106" s="1">
        <v>43626</v>
      </c>
      <c r="B1106">
        <f>15.94</f>
        <v>15.94</v>
      </c>
      <c r="C1106">
        <f>14.8913</f>
        <v>14.891299999999999</v>
      </c>
      <c r="D1106" t="e">
        <f>NA()</f>
        <v>#N/A</v>
      </c>
      <c r="E1106">
        <f>18.32</f>
        <v>18.32</v>
      </c>
    </row>
    <row r="1107" spans="1:5" x14ac:dyDescent="0.2">
      <c r="A1107" s="1">
        <v>43623</v>
      </c>
      <c r="B1107">
        <f>16.3</f>
        <v>16.3</v>
      </c>
      <c r="C1107">
        <f>14.9085</f>
        <v>14.9085</v>
      </c>
      <c r="D1107">
        <f>12.08</f>
        <v>12.08</v>
      </c>
      <c r="E1107">
        <f>18.3</f>
        <v>18.3</v>
      </c>
    </row>
    <row r="1108" spans="1:5" x14ac:dyDescent="0.2">
      <c r="A1108" s="1">
        <v>43622</v>
      </c>
      <c r="B1108">
        <f>15.93</f>
        <v>15.93</v>
      </c>
      <c r="C1108">
        <f>15.6299</f>
        <v>15.629899999999999</v>
      </c>
      <c r="D1108">
        <f>12.85</f>
        <v>12.85</v>
      </c>
      <c r="E1108">
        <f>18.29</f>
        <v>18.29</v>
      </c>
    </row>
    <row r="1109" spans="1:5" x14ac:dyDescent="0.2">
      <c r="A1109" s="1">
        <v>43621</v>
      </c>
      <c r="B1109">
        <f>16.09</f>
        <v>16.09</v>
      </c>
      <c r="C1109">
        <f>16.1034</f>
        <v>16.103400000000001</v>
      </c>
      <c r="D1109">
        <f>13.28</f>
        <v>13.28</v>
      </c>
      <c r="E1109">
        <f>18.28</f>
        <v>18.28</v>
      </c>
    </row>
    <row r="1110" spans="1:5" x14ac:dyDescent="0.2">
      <c r="A1110" s="1">
        <v>43620</v>
      </c>
      <c r="B1110">
        <f>16.97</f>
        <v>16.97</v>
      </c>
      <c r="C1110">
        <f>16.42</f>
        <v>16.420000000000002</v>
      </c>
      <c r="D1110">
        <f>13.46</f>
        <v>13.46</v>
      </c>
      <c r="E1110">
        <f>18.28</f>
        <v>18.28</v>
      </c>
    </row>
    <row r="1111" spans="1:5" x14ac:dyDescent="0.2">
      <c r="A1111" s="1">
        <v>43619</v>
      </c>
      <c r="B1111">
        <f>18.86</f>
        <v>18.86</v>
      </c>
      <c r="C1111">
        <f>17.2417</f>
        <v>17.241700000000002</v>
      </c>
      <c r="D1111">
        <f>14.31</f>
        <v>14.31</v>
      </c>
      <c r="E1111">
        <f>18.27</f>
        <v>18.27</v>
      </c>
    </row>
    <row r="1112" spans="1:5" x14ac:dyDescent="0.2">
      <c r="A1112" s="1">
        <v>43616</v>
      </c>
      <c r="B1112">
        <f>18.71</f>
        <v>18.71</v>
      </c>
      <c r="C1112">
        <f>17.4218</f>
        <v>17.421800000000001</v>
      </c>
      <c r="D1112">
        <f>14.56</f>
        <v>14.56</v>
      </c>
      <c r="E1112">
        <f>18.25</f>
        <v>18.25</v>
      </c>
    </row>
    <row r="1113" spans="1:5" x14ac:dyDescent="0.2">
      <c r="A1113" s="1">
        <v>43615</v>
      </c>
      <c r="B1113">
        <f>17.3</f>
        <v>17.3</v>
      </c>
      <c r="C1113">
        <f>16.7607</f>
        <v>16.7607</v>
      </c>
      <c r="D1113">
        <f>13.86</f>
        <v>13.86</v>
      </c>
      <c r="E1113">
        <f>18.24</f>
        <v>18.239999999999998</v>
      </c>
    </row>
    <row r="1114" spans="1:5" x14ac:dyDescent="0.2">
      <c r="A1114" s="1">
        <v>43614</v>
      </c>
      <c r="B1114">
        <f>17.9</f>
        <v>17.899999999999999</v>
      </c>
      <c r="C1114">
        <f>17.7806</f>
        <v>17.7806</v>
      </c>
      <c r="D1114">
        <f>15.13</f>
        <v>15.13</v>
      </c>
      <c r="E1114">
        <f>18.23</f>
        <v>18.23</v>
      </c>
    </row>
    <row r="1115" spans="1:5" x14ac:dyDescent="0.2">
      <c r="A1115" s="1">
        <v>43613</v>
      </c>
      <c r="B1115">
        <f>17.5</f>
        <v>17.5</v>
      </c>
      <c r="C1115">
        <f>16.1658</f>
        <v>16.165800000000001</v>
      </c>
      <c r="D1115">
        <f>13.79</f>
        <v>13.79</v>
      </c>
      <c r="E1115">
        <f>18.22</f>
        <v>18.22</v>
      </c>
    </row>
    <row r="1116" spans="1:5" x14ac:dyDescent="0.2">
      <c r="A1116" s="1">
        <v>43612</v>
      </c>
      <c r="B1116" t="e">
        <f>NA()</f>
        <v>#N/A</v>
      </c>
      <c r="C1116">
        <f>16.2373</f>
        <v>16.237300000000001</v>
      </c>
      <c r="D1116" t="e">
        <f>NA()</f>
        <v>#N/A</v>
      </c>
      <c r="E1116">
        <f>18.21</f>
        <v>18.21</v>
      </c>
    </row>
    <row r="1117" spans="1:5" x14ac:dyDescent="0.2">
      <c r="A1117" s="1">
        <v>43609</v>
      </c>
      <c r="B1117">
        <f>15.85</f>
        <v>15.85</v>
      </c>
      <c r="C1117">
        <f>16.7146</f>
        <v>16.714600000000001</v>
      </c>
      <c r="D1117">
        <f>13.79</f>
        <v>13.79</v>
      </c>
      <c r="E1117">
        <f>18.18</f>
        <v>18.18</v>
      </c>
    </row>
    <row r="1118" spans="1:5" x14ac:dyDescent="0.2">
      <c r="A1118" s="1">
        <v>43608</v>
      </c>
      <c r="B1118">
        <f>16.92</f>
        <v>16.920000000000002</v>
      </c>
      <c r="C1118">
        <f>17.637</f>
        <v>17.637</v>
      </c>
      <c r="D1118">
        <f>14.91</f>
        <v>14.91</v>
      </c>
      <c r="E1118">
        <f>18.18</f>
        <v>18.18</v>
      </c>
    </row>
    <row r="1119" spans="1:5" x14ac:dyDescent="0.2">
      <c r="A1119" s="1">
        <v>43607</v>
      </c>
      <c r="B1119">
        <f>14.75</f>
        <v>14.75</v>
      </c>
      <c r="C1119">
        <f>15.4494</f>
        <v>15.449400000000001</v>
      </c>
      <c r="D1119">
        <f>12.74</f>
        <v>12.74</v>
      </c>
      <c r="E1119">
        <f>18.17</f>
        <v>18.170000000000002</v>
      </c>
    </row>
    <row r="1120" spans="1:5" x14ac:dyDescent="0.2">
      <c r="A1120" s="1">
        <v>43606</v>
      </c>
      <c r="B1120">
        <f>14.95</f>
        <v>14.95</v>
      </c>
      <c r="C1120">
        <f>15.8302</f>
        <v>15.8302</v>
      </c>
      <c r="D1120">
        <f>12.6</f>
        <v>12.6</v>
      </c>
      <c r="E1120">
        <f>18.16</f>
        <v>18.16</v>
      </c>
    </row>
    <row r="1121" spans="1:5" x14ac:dyDescent="0.2">
      <c r="A1121" s="1">
        <v>43605</v>
      </c>
      <c r="B1121">
        <f>16.31</f>
        <v>16.309999999999999</v>
      </c>
      <c r="C1121">
        <f>17.3812</f>
        <v>17.3812</v>
      </c>
      <c r="D1121">
        <f>13.7</f>
        <v>13.7</v>
      </c>
      <c r="E1121">
        <f>18.15</f>
        <v>18.149999999999999</v>
      </c>
    </row>
    <row r="1122" spans="1:5" x14ac:dyDescent="0.2">
      <c r="A1122" s="1">
        <v>43602</v>
      </c>
      <c r="B1122">
        <f>15.96</f>
        <v>15.96</v>
      </c>
      <c r="C1122">
        <f>14.9769</f>
        <v>14.976900000000001</v>
      </c>
      <c r="D1122">
        <f>12.25</f>
        <v>12.25</v>
      </c>
      <c r="E1122">
        <f>18.13</f>
        <v>18.13</v>
      </c>
    </row>
    <row r="1123" spans="1:5" x14ac:dyDescent="0.2">
      <c r="A1123" s="1">
        <v>43601</v>
      </c>
      <c r="B1123">
        <f>15.29</f>
        <v>15.29</v>
      </c>
      <c r="C1123">
        <f>15.0605</f>
        <v>15.060499999999999</v>
      </c>
      <c r="D1123">
        <f>12.41</f>
        <v>12.41</v>
      </c>
      <c r="E1123">
        <f>18.12</f>
        <v>18.12</v>
      </c>
    </row>
    <row r="1124" spans="1:5" x14ac:dyDescent="0.2">
      <c r="A1124" s="1">
        <v>43600</v>
      </c>
      <c r="B1124">
        <f>16.44</f>
        <v>16.440000000000001</v>
      </c>
      <c r="C1124">
        <f>16.7467</f>
        <v>16.746700000000001</v>
      </c>
      <c r="D1124">
        <f>13.4</f>
        <v>13.4</v>
      </c>
      <c r="E1124">
        <f>18.11</f>
        <v>18.11</v>
      </c>
    </row>
    <row r="1125" spans="1:5" x14ac:dyDescent="0.2">
      <c r="A1125" s="1">
        <v>43599</v>
      </c>
      <c r="B1125">
        <f>18.06</f>
        <v>18.059999999999999</v>
      </c>
      <c r="C1125">
        <f>17.5609</f>
        <v>17.5609</v>
      </c>
      <c r="D1125">
        <f>14.18</f>
        <v>14.18</v>
      </c>
      <c r="E1125">
        <f>18.1</f>
        <v>18.100000000000001</v>
      </c>
    </row>
    <row r="1126" spans="1:5" x14ac:dyDescent="0.2">
      <c r="A1126" s="1">
        <v>43598</v>
      </c>
      <c r="B1126">
        <f>20.55</f>
        <v>20.55</v>
      </c>
      <c r="C1126">
        <f>19.4264</f>
        <v>19.426400000000001</v>
      </c>
      <c r="D1126">
        <f>15.89</f>
        <v>15.89</v>
      </c>
      <c r="E1126">
        <f>18.09</f>
        <v>18.09</v>
      </c>
    </row>
    <row r="1127" spans="1:5" x14ac:dyDescent="0.2">
      <c r="A1127" s="1">
        <v>43595</v>
      </c>
      <c r="B1127">
        <f>16.04</f>
        <v>16.04</v>
      </c>
      <c r="C1127">
        <f>18.5073</f>
        <v>18.507300000000001</v>
      </c>
      <c r="D1127">
        <f>14.84</f>
        <v>14.84</v>
      </c>
      <c r="E1127">
        <f>18.05</f>
        <v>18.05</v>
      </c>
    </row>
    <row r="1128" spans="1:5" x14ac:dyDescent="0.2">
      <c r="A1128" s="1">
        <v>43594</v>
      </c>
      <c r="B1128">
        <f>19.1</f>
        <v>19.100000000000001</v>
      </c>
      <c r="C1128">
        <f>20.0378</f>
        <v>20.037800000000001</v>
      </c>
      <c r="D1128">
        <f>16.22</f>
        <v>16.22</v>
      </c>
      <c r="E1128">
        <f>18.05</f>
        <v>18.05</v>
      </c>
    </row>
    <row r="1129" spans="1:5" x14ac:dyDescent="0.2">
      <c r="A1129" s="1">
        <v>43593</v>
      </c>
      <c r="B1129">
        <f>19.4</f>
        <v>19.399999999999999</v>
      </c>
      <c r="C1129">
        <f>17.6428</f>
        <v>17.642800000000001</v>
      </c>
      <c r="D1129">
        <f>14.29</f>
        <v>14.29</v>
      </c>
      <c r="E1129">
        <f>18.05</f>
        <v>18.05</v>
      </c>
    </row>
    <row r="1130" spans="1:5" x14ac:dyDescent="0.2">
      <c r="A1130" s="1">
        <v>43592</v>
      </c>
      <c r="B1130">
        <f>19.32</f>
        <v>19.32</v>
      </c>
      <c r="C1130">
        <f>18.0429</f>
        <v>18.042899999999999</v>
      </c>
      <c r="D1130">
        <f>14.75</f>
        <v>14.75</v>
      </c>
      <c r="E1130">
        <f>18.03</f>
        <v>18.03</v>
      </c>
    </row>
    <row r="1131" spans="1:5" x14ac:dyDescent="0.2">
      <c r="A1131" s="1">
        <v>43591</v>
      </c>
      <c r="B1131">
        <f>15.44</f>
        <v>15.44</v>
      </c>
      <c r="C1131">
        <f>15.7375</f>
        <v>15.737500000000001</v>
      </c>
      <c r="D1131" t="e">
        <f>NA()</f>
        <v>#N/A</v>
      </c>
      <c r="E1131">
        <f>17.99</f>
        <v>17.989999999999998</v>
      </c>
    </row>
    <row r="1132" spans="1:5" x14ac:dyDescent="0.2">
      <c r="A1132" s="1">
        <v>43588</v>
      </c>
      <c r="B1132">
        <f>12.87</f>
        <v>12.87</v>
      </c>
      <c r="C1132">
        <f>13.3808</f>
        <v>13.380800000000001</v>
      </c>
      <c r="D1132">
        <f>11.56</f>
        <v>11.56</v>
      </c>
      <c r="E1132">
        <f>17.99</f>
        <v>17.989999999999998</v>
      </c>
    </row>
    <row r="1133" spans="1:5" x14ac:dyDescent="0.2">
      <c r="A1133" s="1">
        <v>43587</v>
      </c>
      <c r="B1133">
        <f>14.42</f>
        <v>14.42</v>
      </c>
      <c r="C1133">
        <f>14.3357</f>
        <v>14.335699999999999</v>
      </c>
      <c r="D1133">
        <f>12.25</f>
        <v>12.25</v>
      </c>
      <c r="E1133">
        <f>17.98</f>
        <v>17.98</v>
      </c>
    </row>
    <row r="1134" spans="1:5" x14ac:dyDescent="0.2">
      <c r="A1134" s="1">
        <v>43586</v>
      </c>
      <c r="B1134">
        <f>14.8</f>
        <v>14.8</v>
      </c>
      <c r="C1134" t="e">
        <f>NA()</f>
        <v>#N/A</v>
      </c>
      <c r="D1134" t="e">
        <f>NA()</f>
        <v>#N/A</v>
      </c>
      <c r="E1134">
        <f>17.97</f>
        <v>17.97</v>
      </c>
    </row>
    <row r="1135" spans="1:5" x14ac:dyDescent="0.2">
      <c r="A1135" s="1">
        <v>43585</v>
      </c>
      <c r="B1135">
        <f>13.12</f>
        <v>13.12</v>
      </c>
      <c r="C1135">
        <f>13.2624</f>
        <v>13.2624</v>
      </c>
      <c r="D1135">
        <f>11.81</f>
        <v>11.81</v>
      </c>
      <c r="E1135">
        <f>17.91</f>
        <v>17.91</v>
      </c>
    </row>
    <row r="1136" spans="1:5" x14ac:dyDescent="0.2">
      <c r="A1136" s="1">
        <v>43584</v>
      </c>
      <c r="B1136">
        <f>13.11</f>
        <v>13.11</v>
      </c>
      <c r="C1136">
        <f>13.0278</f>
        <v>13.027799999999999</v>
      </c>
      <c r="D1136">
        <f>11.32</f>
        <v>11.32</v>
      </c>
      <c r="E1136">
        <f>17.91</f>
        <v>17.91</v>
      </c>
    </row>
    <row r="1137" spans="1:5" x14ac:dyDescent="0.2">
      <c r="A1137" s="1">
        <v>43581</v>
      </c>
      <c r="B1137">
        <f>12.73</f>
        <v>12.73</v>
      </c>
      <c r="C1137">
        <f>12.6034</f>
        <v>12.603400000000001</v>
      </c>
      <c r="D1137">
        <f>11.04</f>
        <v>11.04</v>
      </c>
      <c r="E1137">
        <f>17.91</f>
        <v>17.91</v>
      </c>
    </row>
    <row r="1138" spans="1:5" x14ac:dyDescent="0.2">
      <c r="A1138" s="1">
        <v>43580</v>
      </c>
      <c r="B1138">
        <f>13.25</f>
        <v>13.25</v>
      </c>
      <c r="C1138">
        <f>12.9572</f>
        <v>12.9572</v>
      </c>
      <c r="D1138">
        <f>11.25</f>
        <v>11.25</v>
      </c>
      <c r="E1138">
        <f>17.91</f>
        <v>17.91</v>
      </c>
    </row>
    <row r="1139" spans="1:5" x14ac:dyDescent="0.2">
      <c r="A1139" s="1">
        <v>43579</v>
      </c>
      <c r="B1139">
        <f>13.14</f>
        <v>13.14</v>
      </c>
      <c r="C1139">
        <f>12.5447</f>
        <v>12.544700000000001</v>
      </c>
      <c r="D1139">
        <f>10.75</f>
        <v>10.75</v>
      </c>
      <c r="E1139">
        <f>17.89</f>
        <v>17.89</v>
      </c>
    </row>
    <row r="1140" spans="1:5" x14ac:dyDescent="0.2">
      <c r="A1140" s="1">
        <v>43578</v>
      </c>
      <c r="B1140">
        <f>12.28</f>
        <v>12.28</v>
      </c>
      <c r="C1140">
        <f>12.204</f>
        <v>12.204000000000001</v>
      </c>
      <c r="D1140">
        <f>10.27</f>
        <v>10.27</v>
      </c>
      <c r="E1140">
        <f>17.89</f>
        <v>17.89</v>
      </c>
    </row>
    <row r="1141" spans="1:5" x14ac:dyDescent="0.2">
      <c r="A1141" s="1">
        <v>43577</v>
      </c>
      <c r="B1141">
        <f>12.42</f>
        <v>12.42</v>
      </c>
      <c r="C1141" t="e">
        <f>NA()</f>
        <v>#N/A</v>
      </c>
      <c r="D1141" t="e">
        <f>NA()</f>
        <v>#N/A</v>
      </c>
      <c r="E1141">
        <f>17.89</f>
        <v>17.89</v>
      </c>
    </row>
    <row r="1142" spans="1:5" x14ac:dyDescent="0.2">
      <c r="A1142" s="1">
        <v>43574</v>
      </c>
      <c r="B1142" t="e">
        <f>NA()</f>
        <v>#N/A</v>
      </c>
      <c r="C1142" t="e">
        <f>NA()</f>
        <v>#N/A</v>
      </c>
      <c r="D1142" t="e">
        <f>NA()</f>
        <v>#N/A</v>
      </c>
      <c r="E1142">
        <f>17.83</f>
        <v>17.829999999999998</v>
      </c>
    </row>
    <row r="1143" spans="1:5" x14ac:dyDescent="0.2">
      <c r="A1143" s="1">
        <v>43573</v>
      </c>
      <c r="B1143">
        <f>12.09</f>
        <v>12.09</v>
      </c>
      <c r="C1143">
        <f>11.0066</f>
        <v>11.006600000000001</v>
      </c>
      <c r="D1143">
        <f>9.63</f>
        <v>9.6300000000000008</v>
      </c>
      <c r="E1143">
        <f>17.83</f>
        <v>17.829999999999998</v>
      </c>
    </row>
    <row r="1144" spans="1:5" x14ac:dyDescent="0.2">
      <c r="A1144" s="1">
        <v>43572</v>
      </c>
      <c r="B1144">
        <f>12.6</f>
        <v>12.6</v>
      </c>
      <c r="C1144">
        <f>11.2672</f>
        <v>11.267200000000001</v>
      </c>
      <c r="D1144">
        <f>9.87</f>
        <v>9.8699999999999992</v>
      </c>
      <c r="E1144">
        <f>17.26</f>
        <v>17.260000000000002</v>
      </c>
    </row>
    <row r="1145" spans="1:5" x14ac:dyDescent="0.2">
      <c r="A1145" s="1">
        <v>43571</v>
      </c>
      <c r="B1145">
        <f>12.18</f>
        <v>12.18</v>
      </c>
      <c r="C1145">
        <f>11.3012</f>
        <v>11.3012</v>
      </c>
      <c r="D1145">
        <f>9.89</f>
        <v>9.89</v>
      </c>
      <c r="E1145">
        <f>17.12</f>
        <v>17.12</v>
      </c>
    </row>
    <row r="1146" spans="1:5" x14ac:dyDescent="0.2">
      <c r="A1146" s="1">
        <v>43570</v>
      </c>
      <c r="B1146">
        <f>12.32</f>
        <v>12.32</v>
      </c>
      <c r="C1146">
        <f>11.4864</f>
        <v>11.4864</v>
      </c>
      <c r="D1146">
        <f>9.89</f>
        <v>9.89</v>
      </c>
      <c r="E1146">
        <f>17.23</f>
        <v>17.23</v>
      </c>
    </row>
    <row r="1147" spans="1:5" x14ac:dyDescent="0.2">
      <c r="A1147" s="1">
        <v>43567</v>
      </c>
      <c r="B1147">
        <f>12.01</f>
        <v>12.01</v>
      </c>
      <c r="C1147">
        <f>11.877</f>
        <v>11.877000000000001</v>
      </c>
      <c r="D1147">
        <f>9.92</f>
        <v>9.92</v>
      </c>
      <c r="E1147">
        <f>17.19</f>
        <v>17.190000000000001</v>
      </c>
    </row>
    <row r="1148" spans="1:5" x14ac:dyDescent="0.2">
      <c r="A1148" s="1">
        <v>43566</v>
      </c>
      <c r="B1148">
        <f>13.02</f>
        <v>13.02</v>
      </c>
      <c r="C1148">
        <f>12.595</f>
        <v>12.595000000000001</v>
      </c>
      <c r="D1148">
        <f>10.53</f>
        <v>10.53</v>
      </c>
      <c r="E1148">
        <f>17.44</f>
        <v>17.440000000000001</v>
      </c>
    </row>
    <row r="1149" spans="1:5" x14ac:dyDescent="0.2">
      <c r="A1149" s="1">
        <v>43565</v>
      </c>
      <c r="B1149">
        <f>13.3</f>
        <v>13.3</v>
      </c>
      <c r="C1149">
        <f>14.281</f>
        <v>14.281000000000001</v>
      </c>
      <c r="D1149">
        <f>11.8</f>
        <v>11.8</v>
      </c>
      <c r="E1149">
        <f>17.16</f>
        <v>17.16</v>
      </c>
    </row>
    <row r="1150" spans="1:5" x14ac:dyDescent="0.2">
      <c r="A1150" s="1">
        <v>43564</v>
      </c>
      <c r="B1150">
        <f>14.28</f>
        <v>14.28</v>
      </c>
      <c r="C1150">
        <f>14.5187</f>
        <v>14.518700000000001</v>
      </c>
      <c r="D1150">
        <f>12.59</f>
        <v>12.59</v>
      </c>
      <c r="E1150">
        <f>17.15</f>
        <v>17.149999999999999</v>
      </c>
    </row>
    <row r="1151" spans="1:5" x14ac:dyDescent="0.2">
      <c r="A1151" s="1">
        <v>43563</v>
      </c>
      <c r="B1151">
        <f>13.18</f>
        <v>13.18</v>
      </c>
      <c r="C1151">
        <f>14.603</f>
        <v>14.603</v>
      </c>
      <c r="D1151">
        <f>12.53</f>
        <v>12.53</v>
      </c>
      <c r="E1151">
        <f>16.62</f>
        <v>16.62</v>
      </c>
    </row>
    <row r="1152" spans="1:5" x14ac:dyDescent="0.2">
      <c r="A1152" s="1">
        <v>43560</v>
      </c>
      <c r="B1152">
        <f>12.82</f>
        <v>12.82</v>
      </c>
      <c r="C1152">
        <f>13.552</f>
        <v>13.552</v>
      </c>
      <c r="D1152">
        <f>11.75</f>
        <v>11.75</v>
      </c>
      <c r="E1152">
        <f>16.57</f>
        <v>16.57</v>
      </c>
    </row>
    <row r="1153" spans="1:5" x14ac:dyDescent="0.2">
      <c r="A1153" s="1">
        <v>43559</v>
      </c>
      <c r="B1153">
        <f>13.58</f>
        <v>13.58</v>
      </c>
      <c r="C1153">
        <f>14.2468</f>
        <v>14.2468</v>
      </c>
      <c r="D1153">
        <f>12.44</f>
        <v>12.44</v>
      </c>
      <c r="E1153">
        <f>16.56</f>
        <v>16.559999999999999</v>
      </c>
    </row>
    <row r="1154" spans="1:5" x14ac:dyDescent="0.2">
      <c r="A1154" s="1">
        <v>43558</v>
      </c>
      <c r="B1154">
        <f>13.74</f>
        <v>13.74</v>
      </c>
      <c r="C1154">
        <f>14.1923</f>
        <v>14.192299999999999</v>
      </c>
      <c r="D1154">
        <f>12.61</f>
        <v>12.61</v>
      </c>
      <c r="E1154">
        <f>16.54</f>
        <v>16.54</v>
      </c>
    </row>
    <row r="1155" spans="1:5" x14ac:dyDescent="0.2">
      <c r="A1155" s="1">
        <v>43557</v>
      </c>
      <c r="B1155">
        <f>13.36</f>
        <v>13.36</v>
      </c>
      <c r="C1155">
        <f>14.7848</f>
        <v>14.784800000000001</v>
      </c>
      <c r="D1155">
        <f>13.17</f>
        <v>13.17</v>
      </c>
      <c r="E1155">
        <f>17.04</f>
        <v>17.04</v>
      </c>
    </row>
    <row r="1156" spans="1:5" x14ac:dyDescent="0.2">
      <c r="A1156" s="1">
        <v>43556</v>
      </c>
      <c r="B1156">
        <f>13.4</f>
        <v>13.4</v>
      </c>
      <c r="C1156">
        <f>14.7903</f>
        <v>14.7903</v>
      </c>
      <c r="D1156">
        <f>13.55</f>
        <v>13.55</v>
      </c>
      <c r="E1156">
        <f>17.03</f>
        <v>17.03</v>
      </c>
    </row>
    <row r="1157" spans="1:5" x14ac:dyDescent="0.2">
      <c r="A1157" s="1">
        <v>43553</v>
      </c>
      <c r="B1157">
        <f>13.71</f>
        <v>13.71</v>
      </c>
      <c r="C1157">
        <f>15.2748</f>
        <v>15.274800000000001</v>
      </c>
      <c r="D1157">
        <f>13.76</f>
        <v>13.76</v>
      </c>
      <c r="E1157">
        <f>17.28</f>
        <v>17.28</v>
      </c>
    </row>
    <row r="1158" spans="1:5" x14ac:dyDescent="0.2">
      <c r="A1158" s="1">
        <v>43552</v>
      </c>
      <c r="B1158">
        <f>14.43</f>
        <v>14.43</v>
      </c>
      <c r="C1158">
        <f>16.6715</f>
        <v>16.671500000000002</v>
      </c>
      <c r="D1158">
        <f>14.93</f>
        <v>14.93</v>
      </c>
      <c r="E1158">
        <f>17.26</f>
        <v>17.260000000000002</v>
      </c>
    </row>
    <row r="1159" spans="1:5" x14ac:dyDescent="0.2">
      <c r="A1159" s="1">
        <v>43551</v>
      </c>
      <c r="B1159">
        <f>15.15</f>
        <v>15.15</v>
      </c>
      <c r="C1159">
        <f>16.3337</f>
        <v>16.3337</v>
      </c>
      <c r="D1159">
        <f>15.2</f>
        <v>15.2</v>
      </c>
      <c r="E1159">
        <f>17.24</f>
        <v>17.239999999999998</v>
      </c>
    </row>
    <row r="1160" spans="1:5" x14ac:dyDescent="0.2">
      <c r="A1160" s="1">
        <v>43550</v>
      </c>
      <c r="B1160">
        <f>14.68</f>
        <v>14.68</v>
      </c>
      <c r="C1160">
        <f>15.8457</f>
        <v>15.845700000000001</v>
      </c>
      <c r="D1160">
        <f>14.42</f>
        <v>14.42</v>
      </c>
      <c r="E1160">
        <f>17.47</f>
        <v>17.47</v>
      </c>
    </row>
    <row r="1161" spans="1:5" x14ac:dyDescent="0.2">
      <c r="A1161" s="1">
        <v>43549</v>
      </c>
      <c r="B1161">
        <f>16.33</f>
        <v>16.329999999999998</v>
      </c>
      <c r="C1161">
        <f>17.3356</f>
        <v>17.335599999999999</v>
      </c>
      <c r="D1161">
        <f>15.58</f>
        <v>15.58</v>
      </c>
      <c r="E1161">
        <f>17.45</f>
        <v>17.45</v>
      </c>
    </row>
    <row r="1162" spans="1:5" x14ac:dyDescent="0.2">
      <c r="A1162" s="1">
        <v>43546</v>
      </c>
      <c r="B1162">
        <f>16.48</f>
        <v>16.48</v>
      </c>
      <c r="C1162">
        <f>17.6785</f>
        <v>17.6785</v>
      </c>
      <c r="D1162">
        <f>15.52</f>
        <v>15.52</v>
      </c>
      <c r="E1162">
        <f>17.15</f>
        <v>17.149999999999999</v>
      </c>
    </row>
    <row r="1163" spans="1:5" x14ac:dyDescent="0.2">
      <c r="A1163" s="1">
        <v>43545</v>
      </c>
      <c r="B1163">
        <f>13.63</f>
        <v>13.63</v>
      </c>
      <c r="C1163">
        <f>15.6876</f>
        <v>15.6876</v>
      </c>
      <c r="D1163">
        <f>13.24</f>
        <v>13.24</v>
      </c>
      <c r="E1163" t="e">
        <f>NA()</f>
        <v>#N/A</v>
      </c>
    </row>
    <row r="1164" spans="1:5" x14ac:dyDescent="0.2">
      <c r="A1164" s="1">
        <v>43544</v>
      </c>
      <c r="B1164">
        <f>13.91</f>
        <v>13.91</v>
      </c>
      <c r="C1164">
        <f>14.4778</f>
        <v>14.4778</v>
      </c>
      <c r="D1164">
        <f>12.7</f>
        <v>12.7</v>
      </c>
      <c r="E1164">
        <f>17.15</f>
        <v>17.149999999999999</v>
      </c>
    </row>
    <row r="1165" spans="1:5" x14ac:dyDescent="0.2">
      <c r="A1165" s="1">
        <v>43543</v>
      </c>
      <c r="B1165">
        <f>13.56</f>
        <v>13.56</v>
      </c>
      <c r="C1165">
        <f>13.0007</f>
        <v>13.0007</v>
      </c>
      <c r="D1165">
        <f>12.32</f>
        <v>12.32</v>
      </c>
      <c r="E1165">
        <f>17.15</f>
        <v>17.149999999999999</v>
      </c>
    </row>
    <row r="1166" spans="1:5" x14ac:dyDescent="0.2">
      <c r="A1166" s="1">
        <v>43542</v>
      </c>
      <c r="B1166">
        <f>13.1</f>
        <v>13.1</v>
      </c>
      <c r="C1166">
        <f>13.2122</f>
        <v>13.212199999999999</v>
      </c>
      <c r="D1166">
        <f>12.55</f>
        <v>12.55</v>
      </c>
      <c r="E1166">
        <f>17.14</f>
        <v>17.14</v>
      </c>
    </row>
    <row r="1167" spans="1:5" x14ac:dyDescent="0.2">
      <c r="A1167" s="1">
        <v>43539</v>
      </c>
      <c r="B1167">
        <f>12.88</f>
        <v>12.88</v>
      </c>
      <c r="C1167">
        <f>12.9242</f>
        <v>12.924200000000001</v>
      </c>
      <c r="D1167">
        <f>12.16</f>
        <v>12.16</v>
      </c>
      <c r="E1167">
        <f>17.14</f>
        <v>17.14</v>
      </c>
    </row>
    <row r="1168" spans="1:5" x14ac:dyDescent="0.2">
      <c r="A1168" s="1">
        <v>43538</v>
      </c>
      <c r="B1168">
        <f>13.5</f>
        <v>13.5</v>
      </c>
      <c r="C1168">
        <f>13.6478</f>
        <v>13.6478</v>
      </c>
      <c r="D1168">
        <f>13.57</f>
        <v>13.57</v>
      </c>
      <c r="E1168">
        <f>17.14</f>
        <v>17.14</v>
      </c>
    </row>
    <row r="1169" spans="1:5" x14ac:dyDescent="0.2">
      <c r="A1169" s="1">
        <v>43537</v>
      </c>
      <c r="B1169">
        <f>13.41</f>
        <v>13.41</v>
      </c>
      <c r="C1169">
        <f>13.9503</f>
        <v>13.9503</v>
      </c>
      <c r="D1169">
        <f>13.87</f>
        <v>13.87</v>
      </c>
      <c r="E1169">
        <f>17.13</f>
        <v>17.13</v>
      </c>
    </row>
    <row r="1170" spans="1:5" x14ac:dyDescent="0.2">
      <c r="A1170" s="1">
        <v>43536</v>
      </c>
      <c r="B1170">
        <f>13.77</f>
        <v>13.77</v>
      </c>
      <c r="C1170">
        <f>13.8356</f>
        <v>13.835599999999999</v>
      </c>
      <c r="D1170">
        <f>13.36</f>
        <v>13.36</v>
      </c>
      <c r="E1170">
        <f>17.13</f>
        <v>17.13</v>
      </c>
    </row>
    <row r="1171" spans="1:5" x14ac:dyDescent="0.2">
      <c r="A1171" s="1">
        <v>43535</v>
      </c>
      <c r="B1171">
        <f>14.33</f>
        <v>14.33</v>
      </c>
      <c r="C1171">
        <f>14.1546</f>
        <v>14.1546</v>
      </c>
      <c r="D1171">
        <f>13.22</f>
        <v>13.22</v>
      </c>
      <c r="E1171">
        <f>17.12</f>
        <v>17.12</v>
      </c>
    </row>
    <row r="1172" spans="1:5" x14ac:dyDescent="0.2">
      <c r="A1172" s="1">
        <v>43532</v>
      </c>
      <c r="B1172">
        <f>16.05</f>
        <v>16.05</v>
      </c>
      <c r="C1172">
        <f>14.411</f>
        <v>14.411</v>
      </c>
      <c r="D1172">
        <f>12.67</f>
        <v>12.67</v>
      </c>
      <c r="E1172">
        <f>17.11</f>
        <v>17.11</v>
      </c>
    </row>
    <row r="1173" spans="1:5" x14ac:dyDescent="0.2">
      <c r="A1173" s="1">
        <v>43531</v>
      </c>
      <c r="B1173">
        <f>16.59</f>
        <v>16.59</v>
      </c>
      <c r="C1173">
        <f>13.8671</f>
        <v>13.867100000000001</v>
      </c>
      <c r="D1173">
        <f>12.05</f>
        <v>12.05</v>
      </c>
      <c r="E1173">
        <f>17.1</f>
        <v>17.100000000000001</v>
      </c>
    </row>
    <row r="1174" spans="1:5" x14ac:dyDescent="0.2">
      <c r="A1174" s="1">
        <v>43530</v>
      </c>
      <c r="B1174">
        <f>15.74</f>
        <v>15.74</v>
      </c>
      <c r="C1174">
        <f>13.4409</f>
        <v>13.440899999999999</v>
      </c>
      <c r="D1174">
        <f>13.06</f>
        <v>13.06</v>
      </c>
      <c r="E1174">
        <f>17.09</f>
        <v>17.09</v>
      </c>
    </row>
    <row r="1175" spans="1:5" x14ac:dyDescent="0.2">
      <c r="A1175" s="1">
        <v>43529</v>
      </c>
      <c r="B1175">
        <f>14.74</f>
        <v>14.74</v>
      </c>
      <c r="C1175">
        <f>13.5075</f>
        <v>13.5075</v>
      </c>
      <c r="D1175">
        <f>13.37</f>
        <v>13.37</v>
      </c>
      <c r="E1175">
        <f>17.08</f>
        <v>17.079999999999998</v>
      </c>
    </row>
    <row r="1176" spans="1:5" x14ac:dyDescent="0.2">
      <c r="A1176" s="1">
        <v>43528</v>
      </c>
      <c r="B1176">
        <f>14.63</f>
        <v>14.63</v>
      </c>
      <c r="C1176">
        <f>13.6499</f>
        <v>13.649900000000001</v>
      </c>
      <c r="D1176">
        <f>13.66</f>
        <v>13.66</v>
      </c>
      <c r="E1176">
        <f>16.35</f>
        <v>16.350000000000001</v>
      </c>
    </row>
    <row r="1177" spans="1:5" x14ac:dyDescent="0.2">
      <c r="A1177" s="1">
        <v>43525</v>
      </c>
      <c r="B1177">
        <f>13.57</f>
        <v>13.57</v>
      </c>
      <c r="C1177">
        <f>13.3709</f>
        <v>13.370900000000001</v>
      </c>
      <c r="D1177">
        <f>13.35</f>
        <v>13.35</v>
      </c>
      <c r="E1177">
        <f>16.34</f>
        <v>16.34</v>
      </c>
    </row>
    <row r="1178" spans="1:5" x14ac:dyDescent="0.2">
      <c r="A1178" s="1">
        <v>43524</v>
      </c>
      <c r="B1178">
        <f>14.78</f>
        <v>14.78</v>
      </c>
      <c r="C1178">
        <f>13.5876</f>
        <v>13.5876</v>
      </c>
      <c r="D1178">
        <f>13.64</f>
        <v>13.64</v>
      </c>
      <c r="E1178">
        <f>16.34</f>
        <v>16.34</v>
      </c>
    </row>
    <row r="1179" spans="1:5" x14ac:dyDescent="0.2">
      <c r="A1179" s="1">
        <v>43523</v>
      </c>
      <c r="B1179">
        <f>14.7</f>
        <v>14.7</v>
      </c>
      <c r="C1179">
        <f>14.3497</f>
        <v>14.3497</v>
      </c>
      <c r="D1179">
        <f>13.94</f>
        <v>13.94</v>
      </c>
      <c r="E1179">
        <f>16.33</f>
        <v>16.329999999999998</v>
      </c>
    </row>
    <row r="1180" spans="1:5" x14ac:dyDescent="0.2">
      <c r="A1180" s="1">
        <v>43522</v>
      </c>
      <c r="B1180">
        <f>15.17</f>
        <v>15.17</v>
      </c>
      <c r="C1180">
        <f>13.8942</f>
        <v>13.8942</v>
      </c>
      <c r="D1180">
        <f>13.78</f>
        <v>13.78</v>
      </c>
      <c r="E1180">
        <f>16.33</f>
        <v>16.329999999999998</v>
      </c>
    </row>
    <row r="1181" spans="1:5" x14ac:dyDescent="0.2">
      <c r="A1181" s="1">
        <v>43521</v>
      </c>
      <c r="B1181">
        <f>14.85</f>
        <v>14.85</v>
      </c>
      <c r="C1181">
        <f>13.8464</f>
        <v>13.846399999999999</v>
      </c>
      <c r="D1181">
        <f>13.45</f>
        <v>13.45</v>
      </c>
      <c r="E1181">
        <f>16.32</f>
        <v>16.32</v>
      </c>
    </row>
    <row r="1182" spans="1:5" x14ac:dyDescent="0.2">
      <c r="A1182" s="1">
        <v>43518</v>
      </c>
      <c r="B1182">
        <f>13.51</f>
        <v>13.51</v>
      </c>
      <c r="C1182">
        <f>13.9767</f>
        <v>13.976699999999999</v>
      </c>
      <c r="D1182">
        <f>13.51</f>
        <v>13.51</v>
      </c>
      <c r="E1182">
        <f>16.31</f>
        <v>16.309999999999999</v>
      </c>
    </row>
    <row r="1183" spans="1:5" x14ac:dyDescent="0.2">
      <c r="A1183" s="1">
        <v>43517</v>
      </c>
      <c r="B1183">
        <f>14.46</f>
        <v>14.46</v>
      </c>
      <c r="C1183">
        <f>14.3444</f>
        <v>14.3444</v>
      </c>
      <c r="D1183">
        <f>13.94</f>
        <v>13.94</v>
      </c>
      <c r="E1183">
        <f>16.3</f>
        <v>16.3</v>
      </c>
    </row>
    <row r="1184" spans="1:5" x14ac:dyDescent="0.2">
      <c r="A1184" s="1">
        <v>43516</v>
      </c>
      <c r="B1184">
        <f>14.02</f>
        <v>14.02</v>
      </c>
      <c r="C1184">
        <f>14.2742</f>
        <v>14.2742</v>
      </c>
      <c r="D1184">
        <f>13.69</f>
        <v>13.69</v>
      </c>
      <c r="E1184">
        <f>16.3</f>
        <v>16.3</v>
      </c>
    </row>
    <row r="1185" spans="1:5" x14ac:dyDescent="0.2">
      <c r="A1185" s="1">
        <v>43515</v>
      </c>
      <c r="B1185">
        <f>14.88</f>
        <v>14.88</v>
      </c>
      <c r="C1185">
        <f>14.6143</f>
        <v>14.6143</v>
      </c>
      <c r="D1185">
        <f>14.2</f>
        <v>14.2</v>
      </c>
      <c r="E1185">
        <f>16.29</f>
        <v>16.29</v>
      </c>
    </row>
    <row r="1186" spans="1:5" x14ac:dyDescent="0.2">
      <c r="A1186" s="1">
        <v>43514</v>
      </c>
      <c r="B1186" t="e">
        <f>NA()</f>
        <v>#N/A</v>
      </c>
      <c r="C1186">
        <f>14.5378</f>
        <v>14.537800000000001</v>
      </c>
      <c r="D1186">
        <f>14.24</f>
        <v>14.24</v>
      </c>
      <c r="E1186">
        <f>16.31</f>
        <v>16.309999999999999</v>
      </c>
    </row>
    <row r="1187" spans="1:5" x14ac:dyDescent="0.2">
      <c r="A1187" s="1">
        <v>43511</v>
      </c>
      <c r="B1187">
        <f>14.91</f>
        <v>14.91</v>
      </c>
      <c r="C1187">
        <f>14.2944</f>
        <v>14.2944</v>
      </c>
      <c r="D1187">
        <f>13.89</f>
        <v>13.89</v>
      </c>
      <c r="E1187">
        <f>16.3</f>
        <v>16.3</v>
      </c>
    </row>
    <row r="1188" spans="1:5" x14ac:dyDescent="0.2">
      <c r="A1188" s="1">
        <v>43510</v>
      </c>
      <c r="B1188">
        <f>16.22</f>
        <v>16.22</v>
      </c>
      <c r="C1188">
        <f>15.757</f>
        <v>15.757</v>
      </c>
      <c r="D1188">
        <f>14.59</f>
        <v>14.59</v>
      </c>
      <c r="E1188">
        <f>16.3</f>
        <v>16.3</v>
      </c>
    </row>
    <row r="1189" spans="1:5" x14ac:dyDescent="0.2">
      <c r="A1189" s="1">
        <v>43509</v>
      </c>
      <c r="B1189">
        <f>15.65</f>
        <v>15.65</v>
      </c>
      <c r="C1189">
        <f>13.9695</f>
        <v>13.9695</v>
      </c>
      <c r="D1189">
        <f>13.84</f>
        <v>13.84</v>
      </c>
      <c r="E1189">
        <f>16.29</f>
        <v>16.29</v>
      </c>
    </row>
    <row r="1190" spans="1:5" x14ac:dyDescent="0.2">
      <c r="A1190" s="1">
        <v>43508</v>
      </c>
      <c r="B1190">
        <f>15.43</f>
        <v>15.43</v>
      </c>
      <c r="C1190">
        <f>14.2814</f>
        <v>14.2814</v>
      </c>
      <c r="D1190">
        <f>14.29</f>
        <v>14.29</v>
      </c>
      <c r="E1190">
        <f>16.54</f>
        <v>16.54</v>
      </c>
    </row>
    <row r="1191" spans="1:5" x14ac:dyDescent="0.2">
      <c r="A1191" s="1">
        <v>43507</v>
      </c>
      <c r="B1191">
        <f>15.97</f>
        <v>15.97</v>
      </c>
      <c r="C1191">
        <f>15.2186</f>
        <v>15.2186</v>
      </c>
      <c r="D1191">
        <f>14.86</f>
        <v>14.86</v>
      </c>
      <c r="E1191">
        <f>16.54</f>
        <v>16.54</v>
      </c>
    </row>
    <row r="1192" spans="1:5" x14ac:dyDescent="0.2">
      <c r="A1192" s="1">
        <v>43504</v>
      </c>
      <c r="B1192">
        <f>15.72</f>
        <v>15.72</v>
      </c>
      <c r="C1192">
        <f>16.3132</f>
        <v>16.313199999999998</v>
      </c>
      <c r="D1192">
        <f>15.21</f>
        <v>15.21</v>
      </c>
      <c r="E1192">
        <f>16.78</f>
        <v>16.78</v>
      </c>
    </row>
    <row r="1193" spans="1:5" x14ac:dyDescent="0.2">
      <c r="A1193" s="1">
        <v>43503</v>
      </c>
      <c r="B1193">
        <f>16.37</f>
        <v>16.37</v>
      </c>
      <c r="C1193">
        <f>16.1706</f>
        <v>16.1706</v>
      </c>
      <c r="D1193">
        <f>14.63</f>
        <v>14.63</v>
      </c>
      <c r="E1193">
        <f>16.52</f>
        <v>16.52</v>
      </c>
    </row>
    <row r="1194" spans="1:5" x14ac:dyDescent="0.2">
      <c r="A1194" s="1">
        <v>43502</v>
      </c>
      <c r="B1194">
        <f>15.38</f>
        <v>15.38</v>
      </c>
      <c r="C1194">
        <f>13.616</f>
        <v>13.616</v>
      </c>
      <c r="D1194">
        <f>13.48</f>
        <v>13.48</v>
      </c>
      <c r="E1194">
        <f>16.51</f>
        <v>16.510000000000002</v>
      </c>
    </row>
    <row r="1195" spans="1:5" x14ac:dyDescent="0.2">
      <c r="A1195" s="1">
        <v>43501</v>
      </c>
      <c r="B1195">
        <f>15.57</f>
        <v>15.57</v>
      </c>
      <c r="C1195">
        <f>13.5808</f>
        <v>13.5808</v>
      </c>
      <c r="D1195">
        <f>13.33</f>
        <v>13.33</v>
      </c>
      <c r="E1195">
        <f>16.51</f>
        <v>16.510000000000002</v>
      </c>
    </row>
    <row r="1196" spans="1:5" x14ac:dyDescent="0.2">
      <c r="A1196" s="1">
        <v>43500</v>
      </c>
      <c r="B1196">
        <f>15.73</f>
        <v>15.73</v>
      </c>
      <c r="C1196">
        <f>14.2075</f>
        <v>14.2075</v>
      </c>
      <c r="D1196">
        <f>14.04</f>
        <v>14.04</v>
      </c>
      <c r="E1196">
        <f>18.3</f>
        <v>18.3</v>
      </c>
    </row>
    <row r="1197" spans="1:5" x14ac:dyDescent="0.2">
      <c r="A1197" s="1">
        <v>43497</v>
      </c>
      <c r="B1197">
        <f>16.14</f>
        <v>16.14</v>
      </c>
      <c r="C1197">
        <f>13.9879</f>
        <v>13.9879</v>
      </c>
      <c r="D1197">
        <f>14.07</f>
        <v>14.07</v>
      </c>
      <c r="E1197">
        <f>21.03</f>
        <v>21.03</v>
      </c>
    </row>
    <row r="1198" spans="1:5" x14ac:dyDescent="0.2">
      <c r="A1198" s="1">
        <v>43496</v>
      </c>
      <c r="B1198">
        <f>16.57</f>
        <v>16.57</v>
      </c>
      <c r="C1198">
        <f>15.1126</f>
        <v>15.1126</v>
      </c>
      <c r="D1198">
        <f>14.85</f>
        <v>14.85</v>
      </c>
      <c r="E1198">
        <f>21.02</f>
        <v>21.02</v>
      </c>
    </row>
    <row r="1199" spans="1:5" x14ac:dyDescent="0.2">
      <c r="A1199" s="1">
        <v>43495</v>
      </c>
      <c r="B1199">
        <f>17.66</f>
        <v>17.66</v>
      </c>
      <c r="C1199">
        <f>16.0154</f>
        <v>16.0154</v>
      </c>
      <c r="D1199">
        <f>15.16</f>
        <v>15.16</v>
      </c>
      <c r="E1199">
        <f>21.02</f>
        <v>21.02</v>
      </c>
    </row>
    <row r="1200" spans="1:5" x14ac:dyDescent="0.2">
      <c r="A1200" s="1">
        <v>43494</v>
      </c>
      <c r="B1200">
        <f>19.13</f>
        <v>19.13</v>
      </c>
      <c r="C1200">
        <f>16.0456</f>
        <v>16.0456</v>
      </c>
      <c r="D1200">
        <f>15.75</f>
        <v>15.75</v>
      </c>
      <c r="E1200">
        <f>21.01</f>
        <v>21.01</v>
      </c>
    </row>
    <row r="1201" spans="1:5" x14ac:dyDescent="0.2">
      <c r="A1201" s="1">
        <v>43493</v>
      </c>
      <c r="B1201">
        <f>18.87</f>
        <v>18.87</v>
      </c>
      <c r="C1201">
        <f>16.1551</f>
        <v>16.155100000000001</v>
      </c>
      <c r="D1201">
        <f>16.42</f>
        <v>16.420000000000002</v>
      </c>
      <c r="E1201">
        <f>18.77</f>
        <v>18.77</v>
      </c>
    </row>
    <row r="1202" spans="1:5" x14ac:dyDescent="0.2">
      <c r="A1202" s="1">
        <v>43490</v>
      </c>
      <c r="B1202">
        <f>17.42</f>
        <v>17.420000000000002</v>
      </c>
      <c r="C1202">
        <f>14.7823</f>
        <v>14.782299999999999</v>
      </c>
      <c r="D1202">
        <f>14.9</f>
        <v>14.9</v>
      </c>
      <c r="E1202">
        <f>18.75</f>
        <v>18.75</v>
      </c>
    </row>
    <row r="1203" spans="1:5" x14ac:dyDescent="0.2">
      <c r="A1203" s="1">
        <v>43489</v>
      </c>
      <c r="B1203">
        <f>18.89</f>
        <v>18.89</v>
      </c>
      <c r="C1203">
        <f>15.5603</f>
        <v>15.5603</v>
      </c>
      <c r="D1203">
        <f>15.87</f>
        <v>15.87</v>
      </c>
      <c r="E1203">
        <f>19</f>
        <v>19</v>
      </c>
    </row>
    <row r="1204" spans="1:5" x14ac:dyDescent="0.2">
      <c r="A1204" s="1">
        <v>43488</v>
      </c>
      <c r="B1204">
        <f>19.52</f>
        <v>19.52</v>
      </c>
      <c r="C1204">
        <f>16.4792</f>
        <v>16.479199999999999</v>
      </c>
      <c r="D1204">
        <f>16.46</f>
        <v>16.46</v>
      </c>
      <c r="E1204">
        <f>18.99</f>
        <v>18.989999999999998</v>
      </c>
    </row>
    <row r="1205" spans="1:5" x14ac:dyDescent="0.2">
      <c r="A1205" s="1">
        <v>43487</v>
      </c>
      <c r="B1205">
        <f>20.8</f>
        <v>20.8</v>
      </c>
      <c r="C1205">
        <f>15.9971</f>
        <v>15.9971</v>
      </c>
      <c r="D1205">
        <f>16.33</f>
        <v>16.329999999999998</v>
      </c>
      <c r="E1205">
        <f>18.98</f>
        <v>18.98</v>
      </c>
    </row>
    <row r="1206" spans="1:5" x14ac:dyDescent="0.2">
      <c r="A1206" s="1">
        <v>43486</v>
      </c>
      <c r="B1206" t="e">
        <f>NA()</f>
        <v>#N/A</v>
      </c>
      <c r="C1206">
        <f>15.385</f>
        <v>15.385</v>
      </c>
      <c r="D1206">
        <f>15.61</f>
        <v>15.61</v>
      </c>
      <c r="E1206">
        <f>18.97</f>
        <v>18.97</v>
      </c>
    </row>
    <row r="1207" spans="1:5" x14ac:dyDescent="0.2">
      <c r="A1207" s="1">
        <v>43483</v>
      </c>
      <c r="B1207">
        <f>17.8</f>
        <v>17.8</v>
      </c>
      <c r="C1207">
        <f>14.28</f>
        <v>14.28</v>
      </c>
      <c r="D1207">
        <f>14.74</f>
        <v>14.74</v>
      </c>
      <c r="E1207">
        <f>18.95</f>
        <v>18.95</v>
      </c>
    </row>
    <row r="1208" spans="1:5" x14ac:dyDescent="0.2">
      <c r="A1208" s="1">
        <v>43482</v>
      </c>
      <c r="B1208">
        <f>18.06</f>
        <v>18.059999999999999</v>
      </c>
      <c r="C1208">
        <f>15.4064</f>
        <v>15.4064</v>
      </c>
      <c r="D1208">
        <f>15.59</f>
        <v>15.59</v>
      </c>
      <c r="E1208">
        <f>20.88</f>
        <v>20.88</v>
      </c>
    </row>
    <row r="1209" spans="1:5" x14ac:dyDescent="0.2">
      <c r="A1209" s="1">
        <v>43481</v>
      </c>
      <c r="B1209">
        <f>19.04</f>
        <v>19.04</v>
      </c>
      <c r="C1209">
        <f>15.7177</f>
        <v>15.717700000000001</v>
      </c>
      <c r="D1209">
        <f>16.33</f>
        <v>16.329999999999998</v>
      </c>
      <c r="E1209">
        <f>20.87</f>
        <v>20.87</v>
      </c>
    </row>
    <row r="1210" spans="1:5" x14ac:dyDescent="0.2">
      <c r="A1210" s="1">
        <v>43480</v>
      </c>
      <c r="B1210">
        <f>18.6</f>
        <v>18.600000000000001</v>
      </c>
      <c r="C1210">
        <f>16.9334</f>
        <v>16.933399999999999</v>
      </c>
      <c r="D1210">
        <f>17.39</f>
        <v>17.39</v>
      </c>
      <c r="E1210">
        <f>20.86</f>
        <v>20.86</v>
      </c>
    </row>
    <row r="1211" spans="1:5" x14ac:dyDescent="0.2">
      <c r="A1211" s="1">
        <v>43479</v>
      </c>
      <c r="B1211">
        <f>19.07</f>
        <v>19.07</v>
      </c>
      <c r="C1211">
        <f>17.8987</f>
        <v>17.898700000000002</v>
      </c>
      <c r="D1211">
        <f>18.12</f>
        <v>18.12</v>
      </c>
      <c r="E1211">
        <f>20.85</f>
        <v>20.85</v>
      </c>
    </row>
    <row r="1212" spans="1:5" x14ac:dyDescent="0.2">
      <c r="A1212" s="1">
        <v>43476</v>
      </c>
      <c r="B1212">
        <f>18.19</f>
        <v>18.190000000000001</v>
      </c>
      <c r="C1212">
        <f>17.4182</f>
        <v>17.418199999999999</v>
      </c>
      <c r="D1212">
        <f>16.71</f>
        <v>16.71</v>
      </c>
      <c r="E1212">
        <f>21.44</f>
        <v>21.44</v>
      </c>
    </row>
    <row r="1213" spans="1:5" x14ac:dyDescent="0.2">
      <c r="A1213" s="1">
        <v>43475</v>
      </c>
      <c r="B1213">
        <f>19.5</f>
        <v>19.5</v>
      </c>
      <c r="C1213">
        <f>18.6879</f>
        <v>18.687899999999999</v>
      </c>
      <c r="D1213">
        <f>18.11</f>
        <v>18.11</v>
      </c>
      <c r="E1213">
        <f>21.42</f>
        <v>21.42</v>
      </c>
    </row>
    <row r="1214" spans="1:5" x14ac:dyDescent="0.2">
      <c r="A1214" s="1">
        <v>43474</v>
      </c>
      <c r="B1214">
        <f>19.98</f>
        <v>19.98</v>
      </c>
      <c r="C1214">
        <f>18.997</f>
        <v>18.997</v>
      </c>
      <c r="D1214">
        <f>18.21</f>
        <v>18.21</v>
      </c>
      <c r="E1214">
        <f>21.41</f>
        <v>21.41</v>
      </c>
    </row>
    <row r="1215" spans="1:5" x14ac:dyDescent="0.2">
      <c r="A1215" s="1">
        <v>43473</v>
      </c>
      <c r="B1215">
        <f>20.47</f>
        <v>20.47</v>
      </c>
      <c r="C1215">
        <f>19.4803</f>
        <v>19.4803</v>
      </c>
      <c r="D1215">
        <f>18.45</f>
        <v>18.45</v>
      </c>
      <c r="E1215">
        <f>21.39</f>
        <v>21.39</v>
      </c>
    </row>
    <row r="1216" spans="1:5" x14ac:dyDescent="0.2">
      <c r="A1216" s="1">
        <v>43472</v>
      </c>
      <c r="B1216">
        <f>21.4</f>
        <v>21.4</v>
      </c>
      <c r="C1216">
        <f>20.151</f>
        <v>20.151</v>
      </c>
      <c r="D1216">
        <f>19.63</f>
        <v>19.63</v>
      </c>
      <c r="E1216">
        <f>21.38</f>
        <v>21.38</v>
      </c>
    </row>
    <row r="1217" spans="1:5" x14ac:dyDescent="0.2">
      <c r="A1217" s="1">
        <v>43469</v>
      </c>
      <c r="B1217">
        <f>21.38</f>
        <v>21.38</v>
      </c>
      <c r="C1217">
        <f>20.4827</f>
        <v>20.482700000000001</v>
      </c>
      <c r="D1217">
        <f>19.78</f>
        <v>19.78</v>
      </c>
      <c r="E1217">
        <f>21.34</f>
        <v>21.34</v>
      </c>
    </row>
    <row r="1218" spans="1:5" x14ac:dyDescent="0.2">
      <c r="A1218" s="1">
        <v>43468</v>
      </c>
      <c r="B1218">
        <f>25.45</f>
        <v>25.45</v>
      </c>
      <c r="C1218">
        <f>22.9978</f>
        <v>22.997800000000002</v>
      </c>
      <c r="D1218">
        <f>21.78</f>
        <v>21.78</v>
      </c>
      <c r="E1218">
        <f>21.82</f>
        <v>21.82</v>
      </c>
    </row>
    <row r="1219" spans="1:5" x14ac:dyDescent="0.2">
      <c r="A1219" s="1">
        <v>43467</v>
      </c>
      <c r="B1219">
        <f>23.22</f>
        <v>23.22</v>
      </c>
      <c r="C1219">
        <f>23.3924</f>
        <v>23.392399999999999</v>
      </c>
      <c r="D1219">
        <f>22.14</f>
        <v>22.14</v>
      </c>
      <c r="E1219">
        <f>23.05</f>
        <v>23.05</v>
      </c>
    </row>
    <row r="1220" spans="1:5" x14ac:dyDescent="0.2">
      <c r="A1220" s="1">
        <v>43465</v>
      </c>
      <c r="B1220">
        <f>25.42</f>
        <v>25.42</v>
      </c>
      <c r="C1220" t="e">
        <f>NA()</f>
        <v>#N/A</v>
      </c>
      <c r="D1220" t="e">
        <f>NA()</f>
        <v>#N/A</v>
      </c>
      <c r="E1220">
        <f>21.79</f>
        <v>21.79</v>
      </c>
    </row>
    <row r="1221" spans="1:5" x14ac:dyDescent="0.2">
      <c r="A1221" s="1">
        <v>43462</v>
      </c>
      <c r="B1221">
        <f>28.34</f>
        <v>28.34</v>
      </c>
      <c r="C1221">
        <f>23.8643</f>
        <v>23.8643</v>
      </c>
      <c r="D1221">
        <f>22.57</f>
        <v>22.57</v>
      </c>
      <c r="E1221">
        <f>21.77</f>
        <v>21.77</v>
      </c>
    </row>
    <row r="1222" spans="1:5" x14ac:dyDescent="0.2">
      <c r="A1222" s="1">
        <v>43461</v>
      </c>
      <c r="B1222">
        <f>29.96</f>
        <v>29.96</v>
      </c>
      <c r="C1222">
        <f>25.6882</f>
        <v>25.688199999999998</v>
      </c>
      <c r="D1222">
        <f>24.59</f>
        <v>24.59</v>
      </c>
      <c r="E1222">
        <f>22.02</f>
        <v>22.02</v>
      </c>
    </row>
    <row r="1223" spans="1:5" x14ac:dyDescent="0.2">
      <c r="A1223" s="1">
        <v>43460</v>
      </c>
      <c r="B1223">
        <f>30.41</f>
        <v>30.41</v>
      </c>
      <c r="C1223" t="e">
        <f>NA()</f>
        <v>#N/A</v>
      </c>
      <c r="D1223" t="e">
        <f>NA()</f>
        <v>#N/A</v>
      </c>
      <c r="E1223" t="e">
        <f>NA()</f>
        <v>#N/A</v>
      </c>
    </row>
    <row r="1224" spans="1:5" x14ac:dyDescent="0.2">
      <c r="A1224" s="1">
        <v>43458</v>
      </c>
      <c r="B1224">
        <f>36.07</f>
        <v>36.07</v>
      </c>
      <c r="C1224" t="e">
        <f>NA()</f>
        <v>#N/A</v>
      </c>
      <c r="D1224">
        <f>21.99</f>
        <v>21.99</v>
      </c>
      <c r="E1224">
        <f>21.5</f>
        <v>21.5</v>
      </c>
    </row>
    <row r="1225" spans="1:5" x14ac:dyDescent="0.2">
      <c r="A1225" s="1">
        <v>43455</v>
      </c>
      <c r="B1225">
        <f>30.11</f>
        <v>30.11</v>
      </c>
      <c r="C1225">
        <f>20.3984</f>
        <v>20.398399999999999</v>
      </c>
      <c r="D1225">
        <f>20.52</f>
        <v>20.52</v>
      </c>
      <c r="E1225">
        <f>21.5</f>
        <v>21.5</v>
      </c>
    </row>
    <row r="1226" spans="1:5" x14ac:dyDescent="0.2">
      <c r="A1226" s="1">
        <v>43454</v>
      </c>
      <c r="B1226">
        <f>28.38</f>
        <v>28.38</v>
      </c>
      <c r="C1226">
        <f>20.733</f>
        <v>20.733000000000001</v>
      </c>
      <c r="D1226">
        <f>21.15</f>
        <v>21.15</v>
      </c>
      <c r="E1226">
        <f>22.51</f>
        <v>22.51</v>
      </c>
    </row>
    <row r="1227" spans="1:5" x14ac:dyDescent="0.2">
      <c r="A1227" s="1">
        <v>43453</v>
      </c>
      <c r="B1227">
        <f>25.58</f>
        <v>25.58</v>
      </c>
      <c r="C1227">
        <f>19.6024</f>
        <v>19.602399999999999</v>
      </c>
      <c r="D1227">
        <f>20.38</f>
        <v>20.38</v>
      </c>
      <c r="E1227">
        <f>24.29</f>
        <v>24.29</v>
      </c>
    </row>
    <row r="1228" spans="1:5" x14ac:dyDescent="0.2">
      <c r="A1228" s="1">
        <v>43452</v>
      </c>
      <c r="B1228">
        <f>25.58</f>
        <v>25.58</v>
      </c>
      <c r="C1228">
        <f>20.0366</f>
        <v>20.0366</v>
      </c>
      <c r="D1228">
        <f>20.85</f>
        <v>20.85</v>
      </c>
      <c r="E1228">
        <f>24.29</f>
        <v>24.29</v>
      </c>
    </row>
    <row r="1229" spans="1:5" x14ac:dyDescent="0.2">
      <c r="A1229" s="1">
        <v>43451</v>
      </c>
      <c r="B1229">
        <f>24.52</f>
        <v>24.52</v>
      </c>
      <c r="C1229">
        <f>19.8187</f>
        <v>19.8187</v>
      </c>
      <c r="D1229">
        <f>20.04</f>
        <v>20.04</v>
      </c>
      <c r="E1229" t="e">
        <f>NA()</f>
        <v>#N/A</v>
      </c>
    </row>
    <row r="1230" spans="1:5" x14ac:dyDescent="0.2">
      <c r="A1230" s="1">
        <v>43448</v>
      </c>
      <c r="B1230">
        <f>21.63</f>
        <v>21.63</v>
      </c>
      <c r="C1230">
        <f>19.1643</f>
        <v>19.164300000000001</v>
      </c>
      <c r="D1230">
        <f>18.85</f>
        <v>18.850000000000001</v>
      </c>
      <c r="E1230">
        <f>24.29</f>
        <v>24.29</v>
      </c>
    </row>
    <row r="1231" spans="1:5" x14ac:dyDescent="0.2">
      <c r="A1231" s="1">
        <v>43447</v>
      </c>
      <c r="B1231">
        <f>20.65</f>
        <v>20.65</v>
      </c>
      <c r="C1231">
        <f>19.1773</f>
        <v>19.177299999999999</v>
      </c>
      <c r="D1231">
        <f>18.78</f>
        <v>18.78</v>
      </c>
      <c r="E1231">
        <f>24.29</f>
        <v>24.29</v>
      </c>
    </row>
    <row r="1232" spans="1:5" x14ac:dyDescent="0.2">
      <c r="A1232" s="1">
        <v>43446</v>
      </c>
      <c r="B1232">
        <f>21.46</f>
        <v>21.46</v>
      </c>
      <c r="C1232">
        <f>19.7254</f>
        <v>19.7254</v>
      </c>
      <c r="D1232">
        <f>20.64</f>
        <v>20.64</v>
      </c>
      <c r="E1232">
        <f>21.75</f>
        <v>21.75</v>
      </c>
    </row>
    <row r="1233" spans="1:5" x14ac:dyDescent="0.2">
      <c r="A1233" s="1">
        <v>43445</v>
      </c>
      <c r="B1233">
        <f>21.76</f>
        <v>21.76</v>
      </c>
      <c r="C1233">
        <f>21.0925</f>
        <v>21.092500000000001</v>
      </c>
      <c r="D1233">
        <f>21.59</f>
        <v>21.59</v>
      </c>
      <c r="E1233">
        <f>21.74</f>
        <v>21.74</v>
      </c>
    </row>
    <row r="1234" spans="1:5" x14ac:dyDescent="0.2">
      <c r="A1234" s="1">
        <v>43444</v>
      </c>
      <c r="B1234">
        <f>22.64</f>
        <v>22.64</v>
      </c>
      <c r="C1234">
        <f>23.6592</f>
        <v>23.659199999999998</v>
      </c>
      <c r="D1234">
        <f>24.63</f>
        <v>24.63</v>
      </c>
      <c r="E1234">
        <f>22</f>
        <v>22</v>
      </c>
    </row>
    <row r="1235" spans="1:5" x14ac:dyDescent="0.2">
      <c r="A1235" s="1">
        <v>43441</v>
      </c>
      <c r="B1235">
        <f>23.23</f>
        <v>23.23</v>
      </c>
      <c r="C1235">
        <f>21.6688</f>
        <v>21.668800000000001</v>
      </c>
      <c r="D1235">
        <f>24.05</f>
        <v>24.05</v>
      </c>
      <c r="E1235">
        <f>21.74</f>
        <v>21.74</v>
      </c>
    </row>
    <row r="1236" spans="1:5" x14ac:dyDescent="0.2">
      <c r="A1236" s="1">
        <v>43440</v>
      </c>
      <c r="B1236">
        <f>21.19</f>
        <v>21.19</v>
      </c>
      <c r="C1236">
        <f>24.6155</f>
        <v>24.615500000000001</v>
      </c>
      <c r="D1236">
        <f>25.54</f>
        <v>25.54</v>
      </c>
      <c r="E1236">
        <f>22</f>
        <v>22</v>
      </c>
    </row>
    <row r="1237" spans="1:5" x14ac:dyDescent="0.2">
      <c r="A1237" s="1">
        <v>43439</v>
      </c>
      <c r="B1237" t="e">
        <f>NA()</f>
        <v>#N/A</v>
      </c>
      <c r="C1237">
        <f>19.0904</f>
        <v>19.090399999999999</v>
      </c>
      <c r="D1237">
        <f>19.16</f>
        <v>19.16</v>
      </c>
      <c r="E1237">
        <f>21.75</f>
        <v>21.75</v>
      </c>
    </row>
    <row r="1238" spans="1:5" x14ac:dyDescent="0.2">
      <c r="A1238" s="1">
        <v>43438</v>
      </c>
      <c r="B1238">
        <f>20.74</f>
        <v>20.74</v>
      </c>
      <c r="C1238">
        <f>17.2085</f>
        <v>17.208500000000001</v>
      </c>
      <c r="D1238">
        <f>17.34</f>
        <v>17.34</v>
      </c>
      <c r="E1238">
        <f>21.49</f>
        <v>21.49</v>
      </c>
    </row>
    <row r="1239" spans="1:5" x14ac:dyDescent="0.2">
      <c r="A1239" s="1">
        <v>43437</v>
      </c>
      <c r="B1239">
        <f>16.44</f>
        <v>16.440000000000001</v>
      </c>
      <c r="C1239">
        <f>16.9152</f>
        <v>16.915199999999999</v>
      </c>
      <c r="D1239">
        <f>16.84</f>
        <v>16.84</v>
      </c>
      <c r="E1239">
        <f>21.23</f>
        <v>21.23</v>
      </c>
    </row>
    <row r="1240" spans="1:5" x14ac:dyDescent="0.2">
      <c r="A1240" s="1">
        <v>43434</v>
      </c>
      <c r="B1240">
        <f>18.07</f>
        <v>18.07</v>
      </c>
      <c r="C1240">
        <f>18.4935</f>
        <v>18.493500000000001</v>
      </c>
      <c r="D1240">
        <f>17.65</f>
        <v>17.649999999999999</v>
      </c>
      <c r="E1240">
        <f>21.75</f>
        <v>21.75</v>
      </c>
    </row>
    <row r="1241" spans="1:5" x14ac:dyDescent="0.2">
      <c r="A1241" s="1">
        <v>43433</v>
      </c>
      <c r="B1241">
        <f>18.79</f>
        <v>18.79</v>
      </c>
      <c r="C1241">
        <f>18.61</f>
        <v>18.61</v>
      </c>
      <c r="D1241">
        <f>17.7</f>
        <v>17.7</v>
      </c>
      <c r="E1241">
        <f>21.24</f>
        <v>21.24</v>
      </c>
    </row>
    <row r="1242" spans="1:5" x14ac:dyDescent="0.2">
      <c r="A1242" s="1">
        <v>43432</v>
      </c>
      <c r="B1242">
        <f>18.49</f>
        <v>18.489999999999998</v>
      </c>
      <c r="C1242">
        <f>18.5952</f>
        <v>18.595199999999998</v>
      </c>
      <c r="D1242">
        <f>17.54</f>
        <v>17.54</v>
      </c>
      <c r="E1242">
        <f>21.48</f>
        <v>21.48</v>
      </c>
    </row>
    <row r="1243" spans="1:5" x14ac:dyDescent="0.2">
      <c r="A1243" s="1">
        <v>43431</v>
      </c>
      <c r="B1243">
        <f>19.02</f>
        <v>19.02</v>
      </c>
      <c r="C1243">
        <f>18.479</f>
        <v>18.478999999999999</v>
      </c>
      <c r="D1243">
        <f>17.2</f>
        <v>17.2</v>
      </c>
      <c r="E1243">
        <f>21.73</f>
        <v>21.73</v>
      </c>
    </row>
    <row r="1244" spans="1:5" x14ac:dyDescent="0.2">
      <c r="A1244" s="1">
        <v>43430</v>
      </c>
      <c r="B1244">
        <f>18.9</f>
        <v>18.899999999999999</v>
      </c>
      <c r="C1244">
        <f>18.4228</f>
        <v>18.422799999999999</v>
      </c>
      <c r="D1244">
        <f>17.13</f>
        <v>17.13</v>
      </c>
      <c r="E1244">
        <f>21.48</f>
        <v>21.48</v>
      </c>
    </row>
    <row r="1245" spans="1:5" x14ac:dyDescent="0.2">
      <c r="A1245" s="1">
        <v>43427</v>
      </c>
      <c r="B1245">
        <f>21.52</f>
        <v>21.52</v>
      </c>
      <c r="C1245">
        <f>18.9738</f>
        <v>18.973800000000001</v>
      </c>
      <c r="D1245">
        <f>18.2</f>
        <v>18.2</v>
      </c>
      <c r="E1245">
        <f>21.75</f>
        <v>21.75</v>
      </c>
    </row>
    <row r="1246" spans="1:5" x14ac:dyDescent="0.2">
      <c r="A1246" s="1">
        <v>43426</v>
      </c>
      <c r="B1246" t="e">
        <f>NA()</f>
        <v>#N/A</v>
      </c>
      <c r="C1246">
        <f>19.2881</f>
        <v>19.2881</v>
      </c>
      <c r="D1246">
        <f>18.3</f>
        <v>18.3</v>
      </c>
      <c r="E1246">
        <f>21.24</f>
        <v>21.24</v>
      </c>
    </row>
    <row r="1247" spans="1:5" x14ac:dyDescent="0.2">
      <c r="A1247" s="1">
        <v>43425</v>
      </c>
      <c r="B1247">
        <f>20.8</f>
        <v>20.8</v>
      </c>
      <c r="C1247">
        <f>18.2397</f>
        <v>18.239699999999999</v>
      </c>
      <c r="D1247">
        <f>17.24</f>
        <v>17.239999999999998</v>
      </c>
      <c r="E1247">
        <f>21.24</f>
        <v>21.24</v>
      </c>
    </row>
    <row r="1248" spans="1:5" x14ac:dyDescent="0.2">
      <c r="A1248" s="1">
        <v>43424</v>
      </c>
      <c r="B1248">
        <f>22.48</f>
        <v>22.48</v>
      </c>
      <c r="C1248">
        <f>19.9622</f>
        <v>19.962199999999999</v>
      </c>
      <c r="D1248">
        <f>19.14</f>
        <v>19.14</v>
      </c>
      <c r="E1248">
        <f>21.52</f>
        <v>21.52</v>
      </c>
    </row>
    <row r="1249" spans="1:5" x14ac:dyDescent="0.2">
      <c r="A1249" s="1">
        <v>43423</v>
      </c>
      <c r="B1249">
        <f>20.1</f>
        <v>20.100000000000001</v>
      </c>
      <c r="C1249">
        <f>18.032</f>
        <v>18.032</v>
      </c>
      <c r="D1249">
        <f>17.56</f>
        <v>17.559999999999999</v>
      </c>
      <c r="E1249">
        <f>22.51</f>
        <v>22.51</v>
      </c>
    </row>
    <row r="1250" spans="1:5" x14ac:dyDescent="0.2">
      <c r="A1250" s="1">
        <v>43420</v>
      </c>
      <c r="B1250">
        <f>18.14</f>
        <v>18.14</v>
      </c>
      <c r="C1250">
        <f>18.0762</f>
        <v>18.0762</v>
      </c>
      <c r="D1250">
        <f>16.95</f>
        <v>16.95</v>
      </c>
      <c r="E1250">
        <f>22.77</f>
        <v>22.77</v>
      </c>
    </row>
    <row r="1251" spans="1:5" x14ac:dyDescent="0.2">
      <c r="A1251" s="1">
        <v>43419</v>
      </c>
      <c r="B1251">
        <f>19.98</f>
        <v>19.98</v>
      </c>
      <c r="C1251">
        <f>20.1522</f>
        <v>20.152200000000001</v>
      </c>
      <c r="D1251">
        <f>18.64</f>
        <v>18.64</v>
      </c>
      <c r="E1251">
        <f>22.77</f>
        <v>22.77</v>
      </c>
    </row>
    <row r="1252" spans="1:5" x14ac:dyDescent="0.2">
      <c r="A1252" s="1">
        <v>43418</v>
      </c>
      <c r="B1252">
        <f>21.25</f>
        <v>21.25</v>
      </c>
      <c r="C1252">
        <f>18.4549</f>
        <v>18.454899999999999</v>
      </c>
      <c r="D1252">
        <f>17.71</f>
        <v>17.71</v>
      </c>
      <c r="E1252">
        <f>22.77</f>
        <v>22.77</v>
      </c>
    </row>
    <row r="1253" spans="1:5" x14ac:dyDescent="0.2">
      <c r="A1253" s="1">
        <v>43417</v>
      </c>
      <c r="B1253">
        <f>20.02</f>
        <v>20.02</v>
      </c>
      <c r="C1253">
        <f>17.029</f>
        <v>17.029</v>
      </c>
      <c r="D1253">
        <f>16.53</f>
        <v>16.53</v>
      </c>
      <c r="E1253">
        <f>22.77</f>
        <v>22.77</v>
      </c>
    </row>
    <row r="1254" spans="1:5" x14ac:dyDescent="0.2">
      <c r="A1254" s="1">
        <v>43416</v>
      </c>
      <c r="B1254">
        <f>20.45</f>
        <v>20.45</v>
      </c>
      <c r="C1254">
        <f>17.8587</f>
        <v>17.858699999999999</v>
      </c>
      <c r="D1254">
        <f>16.82</f>
        <v>16.82</v>
      </c>
      <c r="E1254">
        <f>22.98</f>
        <v>22.98</v>
      </c>
    </row>
    <row r="1255" spans="1:5" x14ac:dyDescent="0.2">
      <c r="A1255" s="1">
        <v>43413</v>
      </c>
      <c r="B1255">
        <f>17.36</f>
        <v>17.36</v>
      </c>
      <c r="C1255">
        <f>16.3773</f>
        <v>16.377300000000002</v>
      </c>
      <c r="D1255">
        <f>16.19</f>
        <v>16.190000000000001</v>
      </c>
      <c r="E1255">
        <f>22.72</f>
        <v>22.72</v>
      </c>
    </row>
    <row r="1256" spans="1:5" x14ac:dyDescent="0.2">
      <c r="A1256" s="1">
        <v>43412</v>
      </c>
      <c r="B1256">
        <f>16.72</f>
        <v>16.72</v>
      </c>
      <c r="C1256">
        <f>15.881</f>
        <v>15.881</v>
      </c>
      <c r="D1256">
        <f>14.82</f>
        <v>14.82</v>
      </c>
      <c r="E1256">
        <f>21.49</f>
        <v>21.49</v>
      </c>
    </row>
    <row r="1257" spans="1:5" x14ac:dyDescent="0.2">
      <c r="A1257" s="1">
        <v>43411</v>
      </c>
      <c r="B1257">
        <f>16.36</f>
        <v>16.36</v>
      </c>
      <c r="C1257">
        <f>16.4264</f>
        <v>16.426400000000001</v>
      </c>
      <c r="D1257">
        <f>15.43</f>
        <v>15.43</v>
      </c>
      <c r="E1257">
        <f>21.24</f>
        <v>21.24</v>
      </c>
    </row>
    <row r="1258" spans="1:5" x14ac:dyDescent="0.2">
      <c r="A1258" s="1">
        <v>43410</v>
      </c>
      <c r="B1258">
        <f>19.91</f>
        <v>19.91</v>
      </c>
      <c r="C1258">
        <f>18.1091</f>
        <v>18.109100000000002</v>
      </c>
      <c r="D1258">
        <f>16.52</f>
        <v>16.52</v>
      </c>
      <c r="E1258">
        <f>21.75</f>
        <v>21.75</v>
      </c>
    </row>
    <row r="1259" spans="1:5" x14ac:dyDescent="0.2">
      <c r="A1259" s="1">
        <v>43409</v>
      </c>
      <c r="B1259">
        <f>19.96</f>
        <v>19.96</v>
      </c>
      <c r="C1259">
        <f>18.3296</f>
        <v>18.329599999999999</v>
      </c>
      <c r="D1259">
        <f>16.56</f>
        <v>16.559999999999999</v>
      </c>
      <c r="E1259">
        <f>21.24</f>
        <v>21.24</v>
      </c>
    </row>
    <row r="1260" spans="1:5" x14ac:dyDescent="0.2">
      <c r="A1260" s="1">
        <v>43406</v>
      </c>
      <c r="B1260">
        <f>19.51</f>
        <v>19.510000000000002</v>
      </c>
      <c r="C1260">
        <f>18.848</f>
        <v>18.847999999999999</v>
      </c>
      <c r="D1260">
        <f>16.84</f>
        <v>16.84</v>
      </c>
      <c r="E1260">
        <f>21.49</f>
        <v>21.49</v>
      </c>
    </row>
    <row r="1261" spans="1:5" x14ac:dyDescent="0.2">
      <c r="A1261" s="1">
        <v>43405</v>
      </c>
      <c r="B1261">
        <f>19.34</f>
        <v>19.34</v>
      </c>
      <c r="C1261">
        <f>18.995</f>
        <v>18.995000000000001</v>
      </c>
      <c r="D1261">
        <f>17.24</f>
        <v>17.239999999999998</v>
      </c>
      <c r="E1261">
        <f>21.9</f>
        <v>21.9</v>
      </c>
    </row>
    <row r="1262" spans="1:5" x14ac:dyDescent="0.2">
      <c r="A1262" s="1">
        <v>43404</v>
      </c>
      <c r="B1262">
        <f>21.23</f>
        <v>21.23</v>
      </c>
      <c r="C1262">
        <f>20.3038</f>
        <v>20.303799999999999</v>
      </c>
      <c r="D1262">
        <f>17.6</f>
        <v>17.600000000000001</v>
      </c>
      <c r="E1262">
        <f>21.83</f>
        <v>21.83</v>
      </c>
    </row>
    <row r="1263" spans="1:5" x14ac:dyDescent="0.2">
      <c r="A1263" s="1">
        <v>43403</v>
      </c>
      <c r="B1263">
        <f>23.35</f>
        <v>23.35</v>
      </c>
      <c r="C1263">
        <f>22.2249</f>
        <v>22.224900000000002</v>
      </c>
      <c r="D1263">
        <f>19.16</f>
        <v>19.16</v>
      </c>
      <c r="E1263">
        <f>23.02</f>
        <v>23.02</v>
      </c>
    </row>
    <row r="1264" spans="1:5" x14ac:dyDescent="0.2">
      <c r="A1264" s="1">
        <v>43402</v>
      </c>
      <c r="B1264">
        <f>24.7</f>
        <v>24.7</v>
      </c>
      <c r="C1264">
        <f>22.2872</f>
        <v>22.287199999999999</v>
      </c>
      <c r="D1264">
        <f>18.9</f>
        <v>18.899999999999999</v>
      </c>
      <c r="E1264">
        <f>22.77</f>
        <v>22.77</v>
      </c>
    </row>
    <row r="1265" spans="1:5" x14ac:dyDescent="0.2">
      <c r="A1265" s="1">
        <v>43399</v>
      </c>
      <c r="B1265">
        <f>24.16</f>
        <v>24.16</v>
      </c>
      <c r="C1265">
        <f>23.7391</f>
        <v>23.739100000000001</v>
      </c>
      <c r="D1265">
        <f>20.01</f>
        <v>20.010000000000002</v>
      </c>
      <c r="E1265">
        <f>23.02</f>
        <v>23.02</v>
      </c>
    </row>
    <row r="1266" spans="1:5" x14ac:dyDescent="0.2">
      <c r="A1266" s="1">
        <v>43398</v>
      </c>
      <c r="B1266">
        <f>24.22</f>
        <v>24.22</v>
      </c>
      <c r="C1266">
        <f>20.7552</f>
        <v>20.755199999999999</v>
      </c>
      <c r="D1266">
        <f>17.81</f>
        <v>17.809999999999999</v>
      </c>
      <c r="E1266">
        <f>22.36</f>
        <v>22.36</v>
      </c>
    </row>
    <row r="1267" spans="1:5" x14ac:dyDescent="0.2">
      <c r="A1267" s="1">
        <v>43397</v>
      </c>
      <c r="B1267">
        <f>25.23</f>
        <v>25.23</v>
      </c>
      <c r="C1267">
        <f>21.9772</f>
        <v>21.9772</v>
      </c>
      <c r="D1267">
        <f>18.13</f>
        <v>18.13</v>
      </c>
      <c r="E1267">
        <f>22.56</f>
        <v>22.56</v>
      </c>
    </row>
    <row r="1268" spans="1:5" x14ac:dyDescent="0.2">
      <c r="A1268" s="1">
        <v>43396</v>
      </c>
      <c r="B1268">
        <f>20.71</f>
        <v>20.71</v>
      </c>
      <c r="C1268">
        <f>21.3624</f>
        <v>21.362400000000001</v>
      </c>
      <c r="D1268">
        <f>17.92</f>
        <v>17.920000000000002</v>
      </c>
      <c r="E1268">
        <f>22.72</f>
        <v>22.72</v>
      </c>
    </row>
    <row r="1269" spans="1:5" x14ac:dyDescent="0.2">
      <c r="A1269" s="1">
        <v>43395</v>
      </c>
      <c r="B1269">
        <f>19.64</f>
        <v>19.64</v>
      </c>
      <c r="C1269">
        <f>19.3581</f>
        <v>19.3581</v>
      </c>
      <c r="D1269">
        <f>15.98</f>
        <v>15.98</v>
      </c>
      <c r="E1269">
        <f>22.47</f>
        <v>22.47</v>
      </c>
    </row>
    <row r="1270" spans="1:5" x14ac:dyDescent="0.2">
      <c r="A1270" s="1">
        <v>43392</v>
      </c>
      <c r="B1270">
        <f>19.89</f>
        <v>19.89</v>
      </c>
      <c r="C1270">
        <f>18.7838</f>
        <v>18.783799999999999</v>
      </c>
      <c r="D1270">
        <f>15.8</f>
        <v>15.8</v>
      </c>
      <c r="E1270">
        <f>22.5</f>
        <v>22.5</v>
      </c>
    </row>
    <row r="1271" spans="1:5" x14ac:dyDescent="0.2">
      <c r="A1271" s="1">
        <v>43391</v>
      </c>
      <c r="B1271">
        <f>20.06</f>
        <v>20.059999999999999</v>
      </c>
      <c r="C1271">
        <f>18.1712</f>
        <v>18.171199999999999</v>
      </c>
      <c r="D1271">
        <f>15.98</f>
        <v>15.98</v>
      </c>
      <c r="E1271">
        <f>22.51</f>
        <v>22.51</v>
      </c>
    </row>
    <row r="1272" spans="1:5" x14ac:dyDescent="0.2">
      <c r="A1272" s="1">
        <v>43390</v>
      </c>
      <c r="B1272">
        <f>17.4</f>
        <v>17.399999999999999</v>
      </c>
      <c r="C1272">
        <f>17.0163</f>
        <v>17.016300000000001</v>
      </c>
      <c r="D1272">
        <f>15.95</f>
        <v>15.95</v>
      </c>
      <c r="E1272">
        <f>22.51</f>
        <v>22.51</v>
      </c>
    </row>
    <row r="1273" spans="1:5" x14ac:dyDescent="0.2">
      <c r="A1273" s="1">
        <v>43389</v>
      </c>
      <c r="B1273">
        <f>17.62</f>
        <v>17.62</v>
      </c>
      <c r="C1273">
        <f>16.8341</f>
        <v>16.834099999999999</v>
      </c>
      <c r="D1273">
        <f>15.93</f>
        <v>15.93</v>
      </c>
      <c r="E1273">
        <f>22.13</f>
        <v>22.13</v>
      </c>
    </row>
    <row r="1274" spans="1:5" x14ac:dyDescent="0.2">
      <c r="A1274" s="1">
        <v>43388</v>
      </c>
      <c r="B1274">
        <f>21.3</f>
        <v>21.3</v>
      </c>
      <c r="C1274">
        <f>19.0703</f>
        <v>19.0703</v>
      </c>
      <c r="D1274">
        <f>16.86</f>
        <v>16.86</v>
      </c>
      <c r="E1274">
        <f>22.53</f>
        <v>22.53</v>
      </c>
    </row>
    <row r="1275" spans="1:5" x14ac:dyDescent="0.2">
      <c r="A1275" s="1">
        <v>43385</v>
      </c>
      <c r="B1275">
        <f>21.31</f>
        <v>21.31</v>
      </c>
      <c r="C1275">
        <f>20.2103</f>
        <v>20.2103</v>
      </c>
      <c r="D1275">
        <f>17.06</f>
        <v>17.059999999999999</v>
      </c>
      <c r="E1275">
        <f>19.26</f>
        <v>19.260000000000002</v>
      </c>
    </row>
    <row r="1276" spans="1:5" x14ac:dyDescent="0.2">
      <c r="A1276" s="1">
        <v>43384</v>
      </c>
      <c r="B1276">
        <f>24.98</f>
        <v>24.98</v>
      </c>
      <c r="C1276">
        <f>21.2373</f>
        <v>21.237300000000001</v>
      </c>
      <c r="D1276">
        <f>18.12</f>
        <v>18.12</v>
      </c>
      <c r="E1276">
        <f>19.79</f>
        <v>19.79</v>
      </c>
    </row>
    <row r="1277" spans="1:5" x14ac:dyDescent="0.2">
      <c r="A1277" s="1">
        <v>43383</v>
      </c>
      <c r="B1277">
        <f>22.96</f>
        <v>22.96</v>
      </c>
      <c r="C1277">
        <f>18.4029</f>
        <v>18.402899999999999</v>
      </c>
      <c r="D1277">
        <f>15.89</f>
        <v>15.89</v>
      </c>
      <c r="E1277">
        <f>19.55</f>
        <v>19.55</v>
      </c>
    </row>
    <row r="1278" spans="1:5" x14ac:dyDescent="0.2">
      <c r="A1278" s="1">
        <v>43382</v>
      </c>
      <c r="B1278">
        <f>15.95</f>
        <v>15.95</v>
      </c>
      <c r="C1278">
        <f>16.9002</f>
        <v>16.900200000000002</v>
      </c>
      <c r="D1278">
        <f>14.74</f>
        <v>14.74</v>
      </c>
      <c r="E1278">
        <f>19.31</f>
        <v>19.309999999999999</v>
      </c>
    </row>
    <row r="1279" spans="1:5" x14ac:dyDescent="0.2">
      <c r="A1279" s="1">
        <v>43381</v>
      </c>
      <c r="B1279">
        <f>15.69</f>
        <v>15.69</v>
      </c>
      <c r="C1279">
        <f>17.6264</f>
        <v>17.6264</v>
      </c>
      <c r="D1279">
        <f>15.13</f>
        <v>15.13</v>
      </c>
      <c r="E1279">
        <f>18.26</f>
        <v>18.260000000000002</v>
      </c>
    </row>
    <row r="1280" spans="1:5" x14ac:dyDescent="0.2">
      <c r="A1280" s="1">
        <v>43378</v>
      </c>
      <c r="B1280">
        <f>14.82</f>
        <v>14.82</v>
      </c>
      <c r="C1280">
        <f>16.6807</f>
        <v>16.680700000000002</v>
      </c>
      <c r="D1280">
        <f>13.81</f>
        <v>13.81</v>
      </c>
      <c r="E1280">
        <f>18.21</f>
        <v>18.21</v>
      </c>
    </row>
    <row r="1281" spans="1:5" x14ac:dyDescent="0.2">
      <c r="A1281" s="1">
        <v>43377</v>
      </c>
      <c r="B1281">
        <f>14.22</f>
        <v>14.22</v>
      </c>
      <c r="C1281">
        <f>16.0249</f>
        <v>16.024899999999999</v>
      </c>
      <c r="D1281">
        <f>12.65</f>
        <v>12.65</v>
      </c>
      <c r="E1281">
        <f>17.93</f>
        <v>17.93</v>
      </c>
    </row>
    <row r="1282" spans="1:5" x14ac:dyDescent="0.2">
      <c r="A1282" s="1">
        <v>43376</v>
      </c>
      <c r="B1282">
        <f>11.61</f>
        <v>11.61</v>
      </c>
      <c r="C1282">
        <f>14.6064</f>
        <v>14.606400000000001</v>
      </c>
      <c r="D1282">
        <f>11.89</f>
        <v>11.89</v>
      </c>
      <c r="E1282">
        <f>18.09</f>
        <v>18.09</v>
      </c>
    </row>
    <row r="1283" spans="1:5" x14ac:dyDescent="0.2">
      <c r="A1283" s="1">
        <v>43375</v>
      </c>
      <c r="B1283">
        <f>12.05</f>
        <v>12.05</v>
      </c>
      <c r="C1283">
        <f>15.4784</f>
        <v>15.478400000000001</v>
      </c>
      <c r="D1283">
        <f>12.58</f>
        <v>12.58</v>
      </c>
      <c r="E1283">
        <f>18.14</f>
        <v>18.14</v>
      </c>
    </row>
    <row r="1284" spans="1:5" x14ac:dyDescent="0.2">
      <c r="A1284" s="1">
        <v>43374</v>
      </c>
      <c r="B1284">
        <f>12</f>
        <v>12</v>
      </c>
      <c r="C1284">
        <f>14.2333</f>
        <v>14.2333</v>
      </c>
      <c r="D1284">
        <f>12</f>
        <v>12</v>
      </c>
      <c r="E1284">
        <f>18.12</f>
        <v>18.12</v>
      </c>
    </row>
    <row r="1285" spans="1:5" x14ac:dyDescent="0.2">
      <c r="A1285" s="1">
        <v>43371</v>
      </c>
      <c r="B1285">
        <f>12.12</f>
        <v>12.12</v>
      </c>
      <c r="C1285">
        <f>14.7637</f>
        <v>14.7637</v>
      </c>
      <c r="D1285">
        <f>12.21</f>
        <v>12.21</v>
      </c>
      <c r="E1285">
        <f>18.06</f>
        <v>18.059999999999999</v>
      </c>
    </row>
    <row r="1286" spans="1:5" x14ac:dyDescent="0.2">
      <c r="A1286" s="1">
        <v>43370</v>
      </c>
      <c r="B1286">
        <f>12.41</f>
        <v>12.41</v>
      </c>
      <c r="C1286">
        <f>13.171</f>
        <v>13.170999999999999</v>
      </c>
      <c r="D1286">
        <f>11.6</f>
        <v>11.6</v>
      </c>
      <c r="E1286">
        <f>18.04</f>
        <v>18.04</v>
      </c>
    </row>
    <row r="1287" spans="1:5" x14ac:dyDescent="0.2">
      <c r="A1287" s="1">
        <v>43369</v>
      </c>
      <c r="B1287">
        <f>12.89</f>
        <v>12.89</v>
      </c>
      <c r="C1287">
        <f>12.8518</f>
        <v>12.851800000000001</v>
      </c>
      <c r="D1287">
        <f>11.71</f>
        <v>11.71</v>
      </c>
      <c r="E1287">
        <f>19.2</f>
        <v>19.2</v>
      </c>
    </row>
    <row r="1288" spans="1:5" x14ac:dyDescent="0.2">
      <c r="A1288" s="1">
        <v>43368</v>
      </c>
      <c r="B1288">
        <f>12.42</f>
        <v>12.42</v>
      </c>
      <c r="C1288">
        <f>13.1636</f>
        <v>13.163600000000001</v>
      </c>
      <c r="D1288">
        <f>11.89</f>
        <v>11.89</v>
      </c>
      <c r="E1288">
        <f>18.94</f>
        <v>18.940000000000001</v>
      </c>
    </row>
    <row r="1289" spans="1:5" x14ac:dyDescent="0.2">
      <c r="A1289" s="1">
        <v>43367</v>
      </c>
      <c r="B1289">
        <f>12.2</f>
        <v>12.2</v>
      </c>
      <c r="C1289">
        <f>13.7328</f>
        <v>13.732799999999999</v>
      </c>
      <c r="D1289">
        <f>12.14</f>
        <v>12.14</v>
      </c>
      <c r="E1289" t="e">
        <f>NA()</f>
        <v>#N/A</v>
      </c>
    </row>
    <row r="1290" spans="1:5" x14ac:dyDescent="0.2">
      <c r="A1290" s="1">
        <v>43364</v>
      </c>
      <c r="B1290">
        <f>11.68</f>
        <v>11.68</v>
      </c>
      <c r="C1290">
        <f>12.8151</f>
        <v>12.815099999999999</v>
      </c>
      <c r="D1290">
        <f>11.67</f>
        <v>11.67</v>
      </c>
      <c r="E1290">
        <f>18.43</f>
        <v>18.43</v>
      </c>
    </row>
    <row r="1291" spans="1:5" x14ac:dyDescent="0.2">
      <c r="A1291" s="1">
        <v>43363</v>
      </c>
      <c r="B1291">
        <f>11.8</f>
        <v>11.8</v>
      </c>
      <c r="C1291">
        <f>13.1843</f>
        <v>13.1843</v>
      </c>
      <c r="D1291">
        <f>11.91</f>
        <v>11.91</v>
      </c>
      <c r="E1291">
        <f>18.68</f>
        <v>18.68</v>
      </c>
    </row>
    <row r="1292" spans="1:5" x14ac:dyDescent="0.2">
      <c r="A1292" s="1">
        <v>43362</v>
      </c>
      <c r="B1292">
        <f>11.75</f>
        <v>11.75</v>
      </c>
      <c r="C1292">
        <f>13.5296</f>
        <v>13.5296</v>
      </c>
      <c r="D1292">
        <f>12.43</f>
        <v>12.43</v>
      </c>
      <c r="E1292">
        <f>18.68</f>
        <v>18.68</v>
      </c>
    </row>
    <row r="1293" spans="1:5" x14ac:dyDescent="0.2">
      <c r="A1293" s="1">
        <v>43361</v>
      </c>
      <c r="B1293">
        <f>12.79</f>
        <v>12.79</v>
      </c>
      <c r="C1293">
        <f>14.356</f>
        <v>14.356</v>
      </c>
      <c r="D1293">
        <f>12.68</f>
        <v>12.68</v>
      </c>
      <c r="E1293">
        <f>18.68</f>
        <v>18.68</v>
      </c>
    </row>
    <row r="1294" spans="1:5" x14ac:dyDescent="0.2">
      <c r="A1294" s="1">
        <v>43360</v>
      </c>
      <c r="B1294">
        <f>13.68</f>
        <v>13.68</v>
      </c>
      <c r="C1294">
        <f>14.5708</f>
        <v>14.5708</v>
      </c>
      <c r="D1294">
        <f>12.71</f>
        <v>12.71</v>
      </c>
      <c r="E1294">
        <f>18.68</f>
        <v>18.68</v>
      </c>
    </row>
    <row r="1295" spans="1:5" x14ac:dyDescent="0.2">
      <c r="A1295" s="1">
        <v>43357</v>
      </c>
      <c r="B1295">
        <f>12.07</f>
        <v>12.07</v>
      </c>
      <c r="C1295">
        <f>13.8963</f>
        <v>13.8963</v>
      </c>
      <c r="D1295">
        <f>12.23</f>
        <v>12.23</v>
      </c>
      <c r="E1295">
        <f>18.68</f>
        <v>18.68</v>
      </c>
    </row>
    <row r="1296" spans="1:5" x14ac:dyDescent="0.2">
      <c r="A1296" s="1">
        <v>43356</v>
      </c>
      <c r="B1296">
        <f>12.37</f>
        <v>12.37</v>
      </c>
      <c r="C1296">
        <f>14.5934</f>
        <v>14.593400000000001</v>
      </c>
      <c r="D1296">
        <f>12.59</f>
        <v>12.59</v>
      </c>
      <c r="E1296">
        <f>18.93</f>
        <v>18.93</v>
      </c>
    </row>
    <row r="1297" spans="1:5" x14ac:dyDescent="0.2">
      <c r="A1297" s="1">
        <v>43355</v>
      </c>
      <c r="B1297">
        <f>13.14</f>
        <v>13.14</v>
      </c>
      <c r="C1297">
        <f>15.3235</f>
        <v>15.323499999999999</v>
      </c>
      <c r="D1297">
        <f>13.35</f>
        <v>13.35</v>
      </c>
      <c r="E1297">
        <f>18.93</f>
        <v>18.93</v>
      </c>
    </row>
    <row r="1298" spans="1:5" x14ac:dyDescent="0.2">
      <c r="A1298" s="1">
        <v>43354</v>
      </c>
      <c r="B1298">
        <f>13.22</f>
        <v>13.22</v>
      </c>
      <c r="C1298">
        <f>15.7862</f>
        <v>15.786199999999999</v>
      </c>
      <c r="D1298">
        <f>13.52</f>
        <v>13.52</v>
      </c>
      <c r="E1298">
        <f>18.94</f>
        <v>18.940000000000001</v>
      </c>
    </row>
    <row r="1299" spans="1:5" x14ac:dyDescent="0.2">
      <c r="A1299" s="1">
        <v>43353</v>
      </c>
      <c r="B1299">
        <f>14.16</f>
        <v>14.16</v>
      </c>
      <c r="C1299">
        <f>15.8948</f>
        <v>15.8948</v>
      </c>
      <c r="D1299">
        <f>13.85</f>
        <v>13.85</v>
      </c>
      <c r="E1299">
        <f>18.92</f>
        <v>18.920000000000002</v>
      </c>
    </row>
    <row r="1300" spans="1:5" x14ac:dyDescent="0.2">
      <c r="A1300" s="1">
        <v>43350</v>
      </c>
      <c r="B1300">
        <f>14.88</f>
        <v>14.88</v>
      </c>
      <c r="C1300">
        <f>16.4546</f>
        <v>16.454599999999999</v>
      </c>
      <c r="D1300">
        <f>13.99</f>
        <v>13.99</v>
      </c>
      <c r="E1300">
        <f>18.66</f>
        <v>18.66</v>
      </c>
    </row>
    <row r="1301" spans="1:5" x14ac:dyDescent="0.2">
      <c r="A1301" s="1">
        <v>43349</v>
      </c>
      <c r="B1301">
        <f>14.65</f>
        <v>14.65</v>
      </c>
      <c r="C1301">
        <f>17.1012</f>
        <v>17.101199999999999</v>
      </c>
      <c r="D1301">
        <f>14.38</f>
        <v>14.38</v>
      </c>
      <c r="E1301">
        <f>18.65</f>
        <v>18.649999999999999</v>
      </c>
    </row>
    <row r="1302" spans="1:5" x14ac:dyDescent="0.2">
      <c r="A1302" s="1">
        <v>43348</v>
      </c>
      <c r="B1302">
        <f>13.91</f>
        <v>13.91</v>
      </c>
      <c r="C1302">
        <f>17.2886</f>
        <v>17.288599999999999</v>
      </c>
      <c r="D1302">
        <f>14.19</f>
        <v>14.19</v>
      </c>
      <c r="E1302">
        <f>18.9</f>
        <v>18.899999999999999</v>
      </c>
    </row>
    <row r="1303" spans="1:5" x14ac:dyDescent="0.2">
      <c r="A1303" s="1">
        <v>43347</v>
      </c>
      <c r="B1303">
        <f>13.16</f>
        <v>13.16</v>
      </c>
      <c r="C1303">
        <f>16.3854</f>
        <v>16.385400000000001</v>
      </c>
      <c r="D1303">
        <f>13.5</f>
        <v>13.5</v>
      </c>
      <c r="E1303">
        <f>18.91</f>
        <v>18.91</v>
      </c>
    </row>
    <row r="1304" spans="1:5" x14ac:dyDescent="0.2">
      <c r="A1304" s="1">
        <v>43346</v>
      </c>
      <c r="B1304" t="e">
        <f>NA()</f>
        <v>#N/A</v>
      </c>
      <c r="C1304">
        <f>15.4945</f>
        <v>15.4945</v>
      </c>
      <c r="D1304">
        <f>13.02</f>
        <v>13.02</v>
      </c>
      <c r="E1304">
        <f>16.85</f>
        <v>16.850000000000001</v>
      </c>
    </row>
    <row r="1305" spans="1:5" x14ac:dyDescent="0.2">
      <c r="A1305" s="1">
        <v>43343</v>
      </c>
      <c r="B1305">
        <f>12.86</f>
        <v>12.86</v>
      </c>
      <c r="C1305">
        <f>15.6343</f>
        <v>15.6343</v>
      </c>
      <c r="D1305">
        <f>13.1</f>
        <v>13.1</v>
      </c>
      <c r="E1305">
        <f>16.85</f>
        <v>16.850000000000001</v>
      </c>
    </row>
    <row r="1306" spans="1:5" x14ac:dyDescent="0.2">
      <c r="A1306" s="1">
        <v>43342</v>
      </c>
      <c r="B1306">
        <f>13.53</f>
        <v>13.53</v>
      </c>
      <c r="C1306">
        <f>14.1532</f>
        <v>14.1532</v>
      </c>
      <c r="D1306">
        <f>12.29</f>
        <v>12.29</v>
      </c>
      <c r="E1306">
        <f>16.83</f>
        <v>16.829999999999998</v>
      </c>
    </row>
    <row r="1307" spans="1:5" x14ac:dyDescent="0.2">
      <c r="A1307" s="1">
        <v>43341</v>
      </c>
      <c r="B1307">
        <f>12.25</f>
        <v>12.25</v>
      </c>
      <c r="C1307">
        <f>12.9914</f>
        <v>12.991400000000001</v>
      </c>
      <c r="D1307">
        <f>11.75</f>
        <v>11.75</v>
      </c>
      <c r="E1307">
        <f>16.32</f>
        <v>16.32</v>
      </c>
    </row>
    <row r="1308" spans="1:5" x14ac:dyDescent="0.2">
      <c r="A1308" s="1">
        <v>43340</v>
      </c>
      <c r="B1308">
        <f>12.5</f>
        <v>12.5</v>
      </c>
      <c r="C1308">
        <f>13.1602</f>
        <v>13.1602</v>
      </c>
      <c r="D1308">
        <f>11.44</f>
        <v>11.44</v>
      </c>
      <c r="E1308">
        <f>16.31</f>
        <v>16.309999999999999</v>
      </c>
    </row>
    <row r="1309" spans="1:5" x14ac:dyDescent="0.2">
      <c r="A1309" s="1">
        <v>43339</v>
      </c>
      <c r="B1309">
        <f>12.16</f>
        <v>12.16</v>
      </c>
      <c r="C1309">
        <f>13.1149</f>
        <v>13.1149</v>
      </c>
      <c r="D1309" t="e">
        <f>NA()</f>
        <v>#N/A</v>
      </c>
      <c r="E1309">
        <f>16.05</f>
        <v>16.05</v>
      </c>
    </row>
    <row r="1310" spans="1:5" x14ac:dyDescent="0.2">
      <c r="A1310" s="1">
        <v>43336</v>
      </c>
      <c r="B1310">
        <f>11.99</f>
        <v>11.99</v>
      </c>
      <c r="C1310">
        <f>13.1882</f>
        <v>13.1882</v>
      </c>
      <c r="D1310">
        <f>11.19</f>
        <v>11.19</v>
      </c>
      <c r="E1310">
        <f>16.54</f>
        <v>16.54</v>
      </c>
    </row>
    <row r="1311" spans="1:5" x14ac:dyDescent="0.2">
      <c r="A1311" s="1">
        <v>43335</v>
      </c>
      <c r="B1311">
        <f>12.41</f>
        <v>12.41</v>
      </c>
      <c r="C1311">
        <f>13.6438</f>
        <v>13.643800000000001</v>
      </c>
      <c r="D1311">
        <f>11.86</f>
        <v>11.86</v>
      </c>
      <c r="E1311">
        <f>16.79</f>
        <v>16.79</v>
      </c>
    </row>
    <row r="1312" spans="1:5" x14ac:dyDescent="0.2">
      <c r="A1312" s="1">
        <v>43334</v>
      </c>
      <c r="B1312">
        <f>12.25</f>
        <v>12.25</v>
      </c>
      <c r="C1312">
        <f>13.8512</f>
        <v>13.8512</v>
      </c>
      <c r="D1312">
        <f>11.97</f>
        <v>11.97</v>
      </c>
      <c r="E1312">
        <f>16.53</f>
        <v>16.53</v>
      </c>
    </row>
    <row r="1313" spans="1:5" x14ac:dyDescent="0.2">
      <c r="A1313" s="1">
        <v>43333</v>
      </c>
      <c r="B1313">
        <f>12.86</f>
        <v>12.86</v>
      </c>
      <c r="C1313">
        <f>13.8748</f>
        <v>13.8748</v>
      </c>
      <c r="D1313">
        <f>11.82</f>
        <v>11.82</v>
      </c>
      <c r="E1313">
        <f>16.78</f>
        <v>16.78</v>
      </c>
    </row>
    <row r="1314" spans="1:5" x14ac:dyDescent="0.2">
      <c r="A1314" s="1">
        <v>43332</v>
      </c>
      <c r="B1314">
        <f>12.49</f>
        <v>12.49</v>
      </c>
      <c r="C1314">
        <f>14.5019</f>
        <v>14.501899999999999</v>
      </c>
      <c r="D1314">
        <f>12.15</f>
        <v>12.15</v>
      </c>
      <c r="E1314">
        <f>16.82</f>
        <v>16.82</v>
      </c>
    </row>
    <row r="1315" spans="1:5" x14ac:dyDescent="0.2">
      <c r="A1315" s="1">
        <v>43329</v>
      </c>
      <c r="B1315">
        <f>12.64</f>
        <v>12.64</v>
      </c>
      <c r="C1315">
        <f>16.0982</f>
        <v>16.098199999999999</v>
      </c>
      <c r="D1315">
        <f>12.99</f>
        <v>12.99</v>
      </c>
      <c r="E1315">
        <f>17.07</f>
        <v>17.07</v>
      </c>
    </row>
    <row r="1316" spans="1:5" x14ac:dyDescent="0.2">
      <c r="A1316" s="1">
        <v>43328</v>
      </c>
      <c r="B1316">
        <f>13.45</f>
        <v>13.45</v>
      </c>
      <c r="C1316">
        <f>16.2633</f>
        <v>16.263300000000001</v>
      </c>
      <c r="D1316">
        <f>13.67</f>
        <v>13.67</v>
      </c>
      <c r="E1316">
        <f>16.81</f>
        <v>16.809999999999999</v>
      </c>
    </row>
    <row r="1317" spans="1:5" x14ac:dyDescent="0.2">
      <c r="A1317" s="1">
        <v>43327</v>
      </c>
      <c r="B1317">
        <f>14.64</f>
        <v>14.64</v>
      </c>
      <c r="C1317">
        <f>18.4755</f>
        <v>18.4755</v>
      </c>
      <c r="D1317">
        <f>15.59</f>
        <v>15.59</v>
      </c>
      <c r="E1317">
        <f>17.83</f>
        <v>17.829999999999998</v>
      </c>
    </row>
    <row r="1318" spans="1:5" x14ac:dyDescent="0.2">
      <c r="A1318" s="1">
        <v>43326</v>
      </c>
      <c r="B1318">
        <f>13.31</f>
        <v>13.31</v>
      </c>
      <c r="C1318">
        <f>15.861</f>
        <v>15.861000000000001</v>
      </c>
      <c r="D1318">
        <f>13.71</f>
        <v>13.71</v>
      </c>
      <c r="E1318">
        <f>17.1</f>
        <v>17.100000000000001</v>
      </c>
    </row>
    <row r="1319" spans="1:5" x14ac:dyDescent="0.2">
      <c r="A1319" s="1">
        <v>43325</v>
      </c>
      <c r="B1319">
        <f>14.78</f>
        <v>14.78</v>
      </c>
      <c r="C1319">
        <f>15.9406</f>
        <v>15.9406</v>
      </c>
      <c r="D1319">
        <f>13.78</f>
        <v>13.78</v>
      </c>
      <c r="E1319">
        <f>16.79</f>
        <v>16.79</v>
      </c>
    </row>
    <row r="1320" spans="1:5" x14ac:dyDescent="0.2">
      <c r="A1320" s="1">
        <v>43322</v>
      </c>
      <c r="B1320">
        <f>13.16</f>
        <v>13.16</v>
      </c>
      <c r="C1320">
        <f>15.1113</f>
        <v>15.1113</v>
      </c>
      <c r="D1320">
        <f>12.94</f>
        <v>12.94</v>
      </c>
      <c r="E1320">
        <f>16.78</f>
        <v>16.78</v>
      </c>
    </row>
    <row r="1321" spans="1:5" x14ac:dyDescent="0.2">
      <c r="A1321" s="1">
        <v>43321</v>
      </c>
      <c r="B1321">
        <f>11.27</f>
        <v>11.27</v>
      </c>
      <c r="C1321">
        <f>12.4882</f>
        <v>12.488200000000001</v>
      </c>
      <c r="D1321">
        <f>10.4</f>
        <v>10.4</v>
      </c>
      <c r="E1321" t="e">
        <f>NA()</f>
        <v>#N/A</v>
      </c>
    </row>
    <row r="1322" spans="1:5" x14ac:dyDescent="0.2">
      <c r="A1322" s="1">
        <v>43320</v>
      </c>
      <c r="B1322">
        <f>10.85</f>
        <v>10.85</v>
      </c>
      <c r="C1322">
        <f>12.8654</f>
        <v>12.865399999999999</v>
      </c>
      <c r="D1322">
        <f>11.96</f>
        <v>11.96</v>
      </c>
      <c r="E1322">
        <f>16.76</f>
        <v>16.760000000000002</v>
      </c>
    </row>
    <row r="1323" spans="1:5" x14ac:dyDescent="0.2">
      <c r="A1323" s="1">
        <v>43319</v>
      </c>
      <c r="B1323">
        <f>10.93</f>
        <v>10.93</v>
      </c>
      <c r="C1323">
        <f>12.6265</f>
        <v>12.6265</v>
      </c>
      <c r="D1323">
        <f>11.58</f>
        <v>11.58</v>
      </c>
      <c r="E1323">
        <f>16.5</f>
        <v>16.5</v>
      </c>
    </row>
    <row r="1324" spans="1:5" x14ac:dyDescent="0.2">
      <c r="A1324" s="1">
        <v>43318</v>
      </c>
      <c r="B1324">
        <f>11.27</f>
        <v>11.27</v>
      </c>
      <c r="C1324">
        <f>13.47</f>
        <v>13.47</v>
      </c>
      <c r="D1324">
        <f>12.13</f>
        <v>12.13</v>
      </c>
      <c r="E1324">
        <f>16.81</f>
        <v>16.809999999999999</v>
      </c>
    </row>
    <row r="1325" spans="1:5" x14ac:dyDescent="0.2">
      <c r="A1325" s="1">
        <v>43315</v>
      </c>
      <c r="B1325">
        <f>11.64</f>
        <v>11.64</v>
      </c>
      <c r="C1325">
        <f>13.3973</f>
        <v>13.3973</v>
      </c>
      <c r="D1325">
        <f>11.92</f>
        <v>11.92</v>
      </c>
      <c r="E1325">
        <f>16.55</f>
        <v>16.55</v>
      </c>
    </row>
    <row r="1326" spans="1:5" x14ac:dyDescent="0.2">
      <c r="A1326" s="1">
        <v>43314</v>
      </c>
      <c r="B1326">
        <f>12.19</f>
        <v>12.19</v>
      </c>
      <c r="C1326">
        <f>14.5051</f>
        <v>14.505100000000001</v>
      </c>
      <c r="D1326">
        <f>13.18</f>
        <v>13.18</v>
      </c>
      <c r="E1326">
        <f>17.31</f>
        <v>17.309999999999999</v>
      </c>
    </row>
    <row r="1327" spans="1:5" x14ac:dyDescent="0.2">
      <c r="A1327" s="1">
        <v>43313</v>
      </c>
      <c r="B1327">
        <f>13.15</f>
        <v>13.15</v>
      </c>
      <c r="C1327">
        <f>13.028</f>
        <v>13.028</v>
      </c>
      <c r="D1327">
        <f>12.6</f>
        <v>12.6</v>
      </c>
      <c r="E1327">
        <f>16.8</f>
        <v>16.8</v>
      </c>
    </row>
    <row r="1328" spans="1:5" x14ac:dyDescent="0.2">
      <c r="A1328" s="1">
        <v>43312</v>
      </c>
      <c r="B1328">
        <f>12.83</f>
        <v>12.83</v>
      </c>
      <c r="C1328">
        <f>12.5596</f>
        <v>12.5596</v>
      </c>
      <c r="D1328">
        <f>11.95</f>
        <v>11.95</v>
      </c>
      <c r="E1328">
        <f>16.79</f>
        <v>16.79</v>
      </c>
    </row>
    <row r="1329" spans="1:5" x14ac:dyDescent="0.2">
      <c r="A1329" s="1">
        <v>43311</v>
      </c>
      <c r="B1329">
        <f>14.26</f>
        <v>14.26</v>
      </c>
      <c r="C1329">
        <f>12.7107</f>
        <v>12.710699999999999</v>
      </c>
      <c r="D1329">
        <f>12.06</f>
        <v>12.06</v>
      </c>
      <c r="E1329">
        <f>17.05</f>
        <v>17.05</v>
      </c>
    </row>
    <row r="1330" spans="1:5" x14ac:dyDescent="0.2">
      <c r="A1330" s="1">
        <v>43308</v>
      </c>
      <c r="B1330">
        <f>13.03</f>
        <v>13.03</v>
      </c>
      <c r="C1330">
        <f>11.6594</f>
        <v>11.6594</v>
      </c>
      <c r="D1330">
        <f>11.46</f>
        <v>11.46</v>
      </c>
      <c r="E1330">
        <f>17.03</f>
        <v>17.03</v>
      </c>
    </row>
    <row r="1331" spans="1:5" x14ac:dyDescent="0.2">
      <c r="A1331" s="1">
        <v>43307</v>
      </c>
      <c r="B1331">
        <f>12.14</f>
        <v>12.14</v>
      </c>
      <c r="C1331">
        <f>12.1361</f>
        <v>12.136100000000001</v>
      </c>
      <c r="D1331">
        <f>11.69</f>
        <v>11.69</v>
      </c>
      <c r="E1331">
        <f>17.03</f>
        <v>17.03</v>
      </c>
    </row>
    <row r="1332" spans="1:5" x14ac:dyDescent="0.2">
      <c r="A1332" s="1">
        <v>43306</v>
      </c>
      <c r="B1332">
        <f>12.29</f>
        <v>12.29</v>
      </c>
      <c r="C1332">
        <f>13.5029</f>
        <v>13.5029</v>
      </c>
      <c r="D1332">
        <f>12.36</f>
        <v>12.36</v>
      </c>
      <c r="E1332">
        <f>17.38</f>
        <v>17.38</v>
      </c>
    </row>
    <row r="1333" spans="1:5" x14ac:dyDescent="0.2">
      <c r="A1333" s="1">
        <v>43305</v>
      </c>
      <c r="B1333">
        <f>12.41</f>
        <v>12.41</v>
      </c>
      <c r="C1333">
        <f>12.7259</f>
        <v>12.725899999999999</v>
      </c>
      <c r="D1333">
        <f>11.56</f>
        <v>11.56</v>
      </c>
      <c r="E1333">
        <f>16.76</f>
        <v>16.760000000000002</v>
      </c>
    </row>
    <row r="1334" spans="1:5" x14ac:dyDescent="0.2">
      <c r="A1334" s="1">
        <v>43304</v>
      </c>
      <c r="B1334">
        <f>12.62</f>
        <v>12.62</v>
      </c>
      <c r="C1334">
        <f>14.1892</f>
        <v>14.1892</v>
      </c>
      <c r="D1334">
        <f>12.34</f>
        <v>12.34</v>
      </c>
      <c r="E1334">
        <f>17.79</f>
        <v>17.79</v>
      </c>
    </row>
    <row r="1335" spans="1:5" x14ac:dyDescent="0.2">
      <c r="A1335" s="1">
        <v>43301</v>
      </c>
      <c r="B1335">
        <f>12.86</f>
        <v>12.86</v>
      </c>
      <c r="C1335">
        <f>13.7747</f>
        <v>13.774699999999999</v>
      </c>
      <c r="D1335">
        <f>11.96</f>
        <v>11.96</v>
      </c>
      <c r="E1335">
        <f>17.26</f>
        <v>17.260000000000002</v>
      </c>
    </row>
    <row r="1336" spans="1:5" x14ac:dyDescent="0.2">
      <c r="A1336" s="1">
        <v>43300</v>
      </c>
      <c r="B1336">
        <f>12.87</f>
        <v>12.87</v>
      </c>
      <c r="C1336">
        <f>12.8476</f>
        <v>12.8476</v>
      </c>
      <c r="D1336">
        <f>11.85</f>
        <v>11.85</v>
      </c>
      <c r="E1336">
        <f>17.51</f>
        <v>17.510000000000002</v>
      </c>
    </row>
    <row r="1337" spans="1:5" x14ac:dyDescent="0.2">
      <c r="A1337" s="1">
        <v>43299</v>
      </c>
      <c r="B1337">
        <f>12.1</f>
        <v>12.1</v>
      </c>
      <c r="C1337">
        <f>11.9617</f>
        <v>11.9617</v>
      </c>
      <c r="D1337">
        <f>11.91</f>
        <v>11.91</v>
      </c>
      <c r="E1337">
        <f>17.51</f>
        <v>17.510000000000002</v>
      </c>
    </row>
    <row r="1338" spans="1:5" x14ac:dyDescent="0.2">
      <c r="A1338" s="1">
        <v>43298</v>
      </c>
      <c r="B1338">
        <f>12.06</f>
        <v>12.06</v>
      </c>
      <c r="C1338">
        <f>12.556</f>
        <v>12.555999999999999</v>
      </c>
      <c r="D1338">
        <f>12.38</f>
        <v>12.38</v>
      </c>
      <c r="E1338">
        <f>17.5</f>
        <v>17.5</v>
      </c>
    </row>
    <row r="1339" spans="1:5" x14ac:dyDescent="0.2">
      <c r="A1339" s="1">
        <v>43297</v>
      </c>
      <c r="B1339">
        <f>12.83</f>
        <v>12.83</v>
      </c>
      <c r="C1339">
        <f>13.0323</f>
        <v>13.032299999999999</v>
      </c>
      <c r="D1339">
        <f>12.49</f>
        <v>12.49</v>
      </c>
      <c r="E1339">
        <f>17.5</f>
        <v>17.5</v>
      </c>
    </row>
    <row r="1340" spans="1:5" x14ac:dyDescent="0.2">
      <c r="A1340" s="1">
        <v>43294</v>
      </c>
      <c r="B1340">
        <f>12.18</f>
        <v>12.18</v>
      </c>
      <c r="C1340">
        <f>12.8035</f>
        <v>12.8035</v>
      </c>
      <c r="D1340">
        <f>11.66</f>
        <v>11.66</v>
      </c>
      <c r="E1340">
        <f>17.23</f>
        <v>17.23</v>
      </c>
    </row>
    <row r="1341" spans="1:5" x14ac:dyDescent="0.2">
      <c r="A1341" s="1">
        <v>43293</v>
      </c>
      <c r="B1341">
        <f>12.58</f>
        <v>12.58</v>
      </c>
      <c r="C1341">
        <f>13.4596</f>
        <v>13.4596</v>
      </c>
      <c r="D1341">
        <f>11.97</f>
        <v>11.97</v>
      </c>
      <c r="E1341">
        <f>17.22</f>
        <v>17.22</v>
      </c>
    </row>
    <row r="1342" spans="1:5" x14ac:dyDescent="0.2">
      <c r="A1342" s="1">
        <v>43292</v>
      </c>
      <c r="B1342">
        <f>13.63</f>
        <v>13.63</v>
      </c>
      <c r="C1342">
        <f>14.5961</f>
        <v>14.5961</v>
      </c>
      <c r="D1342">
        <f>12.4</f>
        <v>12.4</v>
      </c>
      <c r="E1342">
        <f>17.79</f>
        <v>17.79</v>
      </c>
    </row>
    <row r="1343" spans="1:5" x14ac:dyDescent="0.2">
      <c r="A1343" s="1">
        <v>43291</v>
      </c>
      <c r="B1343">
        <f>12.64</f>
        <v>12.64</v>
      </c>
      <c r="C1343">
        <f>12.9935</f>
        <v>12.993499999999999</v>
      </c>
      <c r="D1343">
        <f>11.77</f>
        <v>11.77</v>
      </c>
      <c r="E1343">
        <f>17.37</f>
        <v>17.37</v>
      </c>
    </row>
    <row r="1344" spans="1:5" x14ac:dyDescent="0.2">
      <c r="A1344" s="1">
        <v>43290</v>
      </c>
      <c r="B1344">
        <f>12.69</f>
        <v>12.69</v>
      </c>
      <c r="C1344">
        <f>14.0711</f>
        <v>14.071099999999999</v>
      </c>
      <c r="D1344">
        <f>12.67</f>
        <v>12.67</v>
      </c>
      <c r="E1344">
        <f>17.11</f>
        <v>17.11</v>
      </c>
    </row>
    <row r="1345" spans="1:5" x14ac:dyDescent="0.2">
      <c r="A1345" s="1">
        <v>43287</v>
      </c>
      <c r="B1345">
        <f>13.37</f>
        <v>13.37</v>
      </c>
      <c r="C1345">
        <f>14.7428</f>
        <v>14.742800000000001</v>
      </c>
      <c r="D1345">
        <f>13.37</f>
        <v>13.37</v>
      </c>
      <c r="E1345">
        <f>17.37</f>
        <v>17.37</v>
      </c>
    </row>
    <row r="1346" spans="1:5" x14ac:dyDescent="0.2">
      <c r="A1346" s="1">
        <v>43286</v>
      </c>
      <c r="B1346">
        <f>14.97</f>
        <v>14.97</v>
      </c>
      <c r="C1346">
        <f>15.731</f>
        <v>15.731</v>
      </c>
      <c r="D1346">
        <f>13.98</f>
        <v>13.98</v>
      </c>
      <c r="E1346">
        <f>17.55</f>
        <v>17.55</v>
      </c>
    </row>
    <row r="1347" spans="1:5" x14ac:dyDescent="0.2">
      <c r="A1347" s="1">
        <v>43285</v>
      </c>
      <c r="B1347" t="e">
        <f>NA()</f>
        <v>#N/A</v>
      </c>
      <c r="C1347">
        <f>16.2213</f>
        <v>16.221299999999999</v>
      </c>
      <c r="D1347">
        <f>14.48</f>
        <v>14.48</v>
      </c>
      <c r="E1347">
        <f>17.37</f>
        <v>17.37</v>
      </c>
    </row>
    <row r="1348" spans="1:5" x14ac:dyDescent="0.2">
      <c r="A1348" s="1">
        <v>43284</v>
      </c>
      <c r="B1348">
        <f>16.14</f>
        <v>16.14</v>
      </c>
      <c r="C1348">
        <f>16.3909</f>
        <v>16.390899999999998</v>
      </c>
      <c r="D1348">
        <f>14.81</f>
        <v>14.81</v>
      </c>
      <c r="E1348">
        <f>17.49</f>
        <v>17.489999999999998</v>
      </c>
    </row>
    <row r="1349" spans="1:5" x14ac:dyDescent="0.2">
      <c r="A1349" s="1">
        <v>43283</v>
      </c>
      <c r="B1349">
        <f>15.6</f>
        <v>15.6</v>
      </c>
      <c r="C1349">
        <f>17.9959</f>
        <v>17.995899999999999</v>
      </c>
      <c r="D1349">
        <f>15.94</f>
        <v>15.94</v>
      </c>
      <c r="E1349">
        <f>18.18</f>
        <v>18.18</v>
      </c>
    </row>
    <row r="1350" spans="1:5" x14ac:dyDescent="0.2">
      <c r="A1350" s="1">
        <v>43280</v>
      </c>
      <c r="B1350">
        <f>16.09</f>
        <v>16.09</v>
      </c>
      <c r="C1350">
        <f>16.6333</f>
        <v>16.633299999999998</v>
      </c>
      <c r="D1350">
        <f>14.22</f>
        <v>14.22</v>
      </c>
      <c r="E1350">
        <f>17.17</f>
        <v>17.170000000000002</v>
      </c>
    </row>
    <row r="1351" spans="1:5" x14ac:dyDescent="0.2">
      <c r="A1351" s="1">
        <v>43279</v>
      </c>
      <c r="B1351">
        <f>16.85</f>
        <v>16.850000000000001</v>
      </c>
      <c r="C1351">
        <f>18.4191</f>
        <v>18.4191</v>
      </c>
      <c r="D1351">
        <f>15.29</f>
        <v>15.29</v>
      </c>
      <c r="E1351">
        <f>17.69</f>
        <v>17.690000000000001</v>
      </c>
    </row>
    <row r="1352" spans="1:5" x14ac:dyDescent="0.2">
      <c r="A1352" s="1">
        <v>43278</v>
      </c>
      <c r="B1352">
        <f>17.91</f>
        <v>17.91</v>
      </c>
      <c r="C1352">
        <f>17.1802</f>
        <v>17.180199999999999</v>
      </c>
      <c r="D1352">
        <f>14.79</f>
        <v>14.79</v>
      </c>
      <c r="E1352">
        <f>17.95</f>
        <v>17.95</v>
      </c>
    </row>
    <row r="1353" spans="1:5" x14ac:dyDescent="0.2">
      <c r="A1353" s="1">
        <v>43277</v>
      </c>
      <c r="B1353">
        <f>15.92</f>
        <v>15.92</v>
      </c>
      <c r="C1353">
        <f>17.2411</f>
        <v>17.241099999999999</v>
      </c>
      <c r="D1353">
        <f>14.74</f>
        <v>14.74</v>
      </c>
      <c r="E1353">
        <f>17.42</f>
        <v>17.420000000000002</v>
      </c>
    </row>
    <row r="1354" spans="1:5" x14ac:dyDescent="0.2">
      <c r="A1354" s="1">
        <v>43276</v>
      </c>
      <c r="B1354">
        <f>17.33</f>
        <v>17.329999999999998</v>
      </c>
      <c r="C1354">
        <f>17.8727</f>
        <v>17.872699999999998</v>
      </c>
      <c r="D1354">
        <f>15.59</f>
        <v>15.59</v>
      </c>
      <c r="E1354">
        <f>17.68</f>
        <v>17.68</v>
      </c>
    </row>
    <row r="1355" spans="1:5" x14ac:dyDescent="0.2">
      <c r="A1355" s="1">
        <v>43273</v>
      </c>
      <c r="B1355">
        <f>13.77</f>
        <v>13.77</v>
      </c>
      <c r="C1355">
        <f>14.2065</f>
        <v>14.2065</v>
      </c>
      <c r="D1355">
        <f>12.57</f>
        <v>12.57</v>
      </c>
      <c r="E1355">
        <f>16.87</f>
        <v>16.87</v>
      </c>
    </row>
    <row r="1356" spans="1:5" x14ac:dyDescent="0.2">
      <c r="A1356" s="1">
        <v>43272</v>
      </c>
      <c r="B1356">
        <f>14.64</f>
        <v>14.64</v>
      </c>
      <c r="C1356">
        <f>16.0901</f>
        <v>16.0901</v>
      </c>
      <c r="D1356">
        <f>14.23</f>
        <v>14.23</v>
      </c>
      <c r="E1356">
        <f>16.63</f>
        <v>16.63</v>
      </c>
    </row>
    <row r="1357" spans="1:5" x14ac:dyDescent="0.2">
      <c r="A1357" s="1">
        <v>43271</v>
      </c>
      <c r="B1357">
        <f>12.79</f>
        <v>12.79</v>
      </c>
      <c r="C1357">
        <f>13.9834</f>
        <v>13.9834</v>
      </c>
      <c r="D1357">
        <f>13.18</f>
        <v>13.18</v>
      </c>
      <c r="E1357">
        <f>16.63</f>
        <v>16.63</v>
      </c>
    </row>
    <row r="1358" spans="1:5" x14ac:dyDescent="0.2">
      <c r="A1358" s="1">
        <v>43270</v>
      </c>
      <c r="B1358">
        <f>13.35</f>
        <v>13.35</v>
      </c>
      <c r="C1358">
        <f>14.8685</f>
        <v>14.868499999999999</v>
      </c>
      <c r="D1358">
        <f>13.6</f>
        <v>13.6</v>
      </c>
      <c r="E1358">
        <f>16.89</f>
        <v>16.89</v>
      </c>
    </row>
    <row r="1359" spans="1:5" x14ac:dyDescent="0.2">
      <c r="A1359" s="1">
        <v>43269</v>
      </c>
      <c r="B1359">
        <f>12.31</f>
        <v>12.31</v>
      </c>
      <c r="C1359">
        <f>13.763</f>
        <v>13.763</v>
      </c>
      <c r="D1359">
        <f>13.08</f>
        <v>13.08</v>
      </c>
      <c r="E1359">
        <f>16.63</f>
        <v>16.63</v>
      </c>
    </row>
    <row r="1360" spans="1:5" x14ac:dyDescent="0.2">
      <c r="A1360" s="1">
        <v>43266</v>
      </c>
      <c r="B1360">
        <f>11.98</f>
        <v>11.98</v>
      </c>
      <c r="C1360">
        <f>12.1297</f>
        <v>12.1297</v>
      </c>
      <c r="D1360">
        <f>12.08</f>
        <v>12.08</v>
      </c>
      <c r="E1360">
        <f>16.89</f>
        <v>16.89</v>
      </c>
    </row>
    <row r="1361" spans="1:5" x14ac:dyDescent="0.2">
      <c r="A1361" s="1">
        <v>43265</v>
      </c>
      <c r="B1361">
        <f>12.12</f>
        <v>12.12</v>
      </c>
      <c r="C1361">
        <f>11.4418</f>
        <v>11.441800000000001</v>
      </c>
      <c r="D1361">
        <f>10.89</f>
        <v>10.89</v>
      </c>
      <c r="E1361">
        <f>16.37</f>
        <v>16.37</v>
      </c>
    </row>
    <row r="1362" spans="1:5" x14ac:dyDescent="0.2">
      <c r="A1362" s="1">
        <v>43264</v>
      </c>
      <c r="B1362">
        <f>12.94</f>
        <v>12.94</v>
      </c>
      <c r="C1362">
        <f>13.198</f>
        <v>13.198</v>
      </c>
      <c r="D1362">
        <f>11.55</f>
        <v>11.55</v>
      </c>
      <c r="E1362">
        <f>16.37</f>
        <v>16.37</v>
      </c>
    </row>
    <row r="1363" spans="1:5" x14ac:dyDescent="0.2">
      <c r="A1363" s="1">
        <v>43263</v>
      </c>
      <c r="B1363">
        <f>12.34</f>
        <v>12.34</v>
      </c>
      <c r="C1363">
        <f>13.6885</f>
        <v>13.688499999999999</v>
      </c>
      <c r="D1363">
        <f>11.66</f>
        <v>11.66</v>
      </c>
      <c r="E1363">
        <f t="shared" ref="E1363:E1368" si="0">16.63</f>
        <v>16.63</v>
      </c>
    </row>
    <row r="1364" spans="1:5" x14ac:dyDescent="0.2">
      <c r="A1364" s="1">
        <v>43262</v>
      </c>
      <c r="B1364">
        <f>12.35</f>
        <v>12.35</v>
      </c>
      <c r="C1364">
        <f>13.9917</f>
        <v>13.9917</v>
      </c>
      <c r="D1364">
        <f>11.9</f>
        <v>11.9</v>
      </c>
      <c r="E1364">
        <f t="shared" si="0"/>
        <v>16.63</v>
      </c>
    </row>
    <row r="1365" spans="1:5" x14ac:dyDescent="0.2">
      <c r="A1365" s="1">
        <v>43259</v>
      </c>
      <c r="B1365">
        <f>12.18</f>
        <v>12.18</v>
      </c>
      <c r="C1365">
        <f>14.9616</f>
        <v>14.961600000000001</v>
      </c>
      <c r="D1365">
        <f>11.31</f>
        <v>11.31</v>
      </c>
      <c r="E1365">
        <f t="shared" si="0"/>
        <v>16.63</v>
      </c>
    </row>
    <row r="1366" spans="1:5" x14ac:dyDescent="0.2">
      <c r="A1366" s="1">
        <v>43258</v>
      </c>
      <c r="B1366">
        <f>12.13</f>
        <v>12.13</v>
      </c>
      <c r="C1366">
        <f>14.4204</f>
        <v>14.420400000000001</v>
      </c>
      <c r="D1366">
        <f>10.57</f>
        <v>10.57</v>
      </c>
      <c r="E1366">
        <f t="shared" si="0"/>
        <v>16.63</v>
      </c>
    </row>
    <row r="1367" spans="1:5" x14ac:dyDescent="0.2">
      <c r="A1367" s="1">
        <v>43257</v>
      </c>
      <c r="B1367">
        <f>11.64</f>
        <v>11.64</v>
      </c>
      <c r="C1367">
        <f>14.7989</f>
        <v>14.7989</v>
      </c>
      <c r="D1367">
        <f>12.53</f>
        <v>12.53</v>
      </c>
      <c r="E1367">
        <f t="shared" si="0"/>
        <v>16.63</v>
      </c>
    </row>
    <row r="1368" spans="1:5" x14ac:dyDescent="0.2">
      <c r="A1368" s="1">
        <v>43256</v>
      </c>
      <c r="B1368">
        <f>12.4</f>
        <v>12.4</v>
      </c>
      <c r="C1368">
        <f>14.7988</f>
        <v>14.7988</v>
      </c>
      <c r="D1368">
        <f>13.11</f>
        <v>13.11</v>
      </c>
      <c r="E1368">
        <f t="shared" si="0"/>
        <v>16.63</v>
      </c>
    </row>
    <row r="1369" spans="1:5" x14ac:dyDescent="0.2">
      <c r="A1369" s="1">
        <v>43255</v>
      </c>
      <c r="B1369">
        <f>12.74</f>
        <v>12.74</v>
      </c>
      <c r="C1369">
        <f>14.3641</f>
        <v>14.364100000000001</v>
      </c>
      <c r="D1369">
        <f>12.82</f>
        <v>12.82</v>
      </c>
      <c r="E1369">
        <f>16.89</f>
        <v>16.89</v>
      </c>
    </row>
    <row r="1370" spans="1:5" x14ac:dyDescent="0.2">
      <c r="A1370" s="1">
        <v>43252</v>
      </c>
      <c r="B1370">
        <f>13.46</f>
        <v>13.46</v>
      </c>
      <c r="C1370">
        <f>15.6231</f>
        <v>15.623100000000001</v>
      </c>
      <c r="D1370">
        <f>13.49</f>
        <v>13.49</v>
      </c>
      <c r="E1370">
        <f>16.88</f>
        <v>16.88</v>
      </c>
    </row>
    <row r="1371" spans="1:5" x14ac:dyDescent="0.2">
      <c r="A1371" s="1">
        <v>43251</v>
      </c>
      <c r="B1371">
        <f>15.43</f>
        <v>15.43</v>
      </c>
      <c r="C1371">
        <f>17.6547</f>
        <v>17.654699999999998</v>
      </c>
      <c r="D1371">
        <f>14.09</f>
        <v>14.09</v>
      </c>
      <c r="E1371">
        <f>17.15</f>
        <v>17.149999999999999</v>
      </c>
    </row>
    <row r="1372" spans="1:5" x14ac:dyDescent="0.2">
      <c r="A1372" s="1">
        <v>43250</v>
      </c>
      <c r="B1372">
        <f>14.94</f>
        <v>14.94</v>
      </c>
      <c r="C1372">
        <f>18.3411</f>
        <v>18.341100000000001</v>
      </c>
      <c r="D1372">
        <f>14.49</f>
        <v>14.49</v>
      </c>
      <c r="E1372">
        <f>17.67</f>
        <v>17.670000000000002</v>
      </c>
    </row>
    <row r="1373" spans="1:5" x14ac:dyDescent="0.2">
      <c r="A1373" s="1">
        <v>43249</v>
      </c>
      <c r="B1373">
        <f>17.02</f>
        <v>17.02</v>
      </c>
      <c r="C1373">
        <f>20.1545</f>
        <v>20.154499999999999</v>
      </c>
      <c r="D1373">
        <f>15.64</f>
        <v>15.64</v>
      </c>
      <c r="E1373">
        <f>17.67</f>
        <v>17.670000000000002</v>
      </c>
    </row>
    <row r="1374" spans="1:5" x14ac:dyDescent="0.2">
      <c r="A1374" s="1">
        <v>43248</v>
      </c>
      <c r="B1374" t="e">
        <f>NA()</f>
        <v>#N/A</v>
      </c>
      <c r="C1374">
        <f>17.7786</f>
        <v>17.778600000000001</v>
      </c>
      <c r="D1374" t="e">
        <f>NA()</f>
        <v>#N/A</v>
      </c>
      <c r="E1374">
        <f>16.89</f>
        <v>16.89</v>
      </c>
    </row>
    <row r="1375" spans="1:5" x14ac:dyDescent="0.2">
      <c r="A1375" s="1">
        <v>43245</v>
      </c>
      <c r="B1375">
        <f>13.22</f>
        <v>13.22</v>
      </c>
      <c r="C1375">
        <f>16.0228</f>
        <v>16.0228</v>
      </c>
      <c r="D1375">
        <f>13.32</f>
        <v>13.32</v>
      </c>
      <c r="E1375">
        <f>16.89</f>
        <v>16.89</v>
      </c>
    </row>
    <row r="1376" spans="1:5" x14ac:dyDescent="0.2">
      <c r="A1376" s="1">
        <v>43244</v>
      </c>
      <c r="B1376">
        <f>12.53</f>
        <v>12.53</v>
      </c>
      <c r="C1376">
        <f>15.6902</f>
        <v>15.690200000000001</v>
      </c>
      <c r="D1376">
        <f>13.92</f>
        <v>13.92</v>
      </c>
      <c r="E1376">
        <f>16.89</f>
        <v>16.89</v>
      </c>
    </row>
    <row r="1377" spans="1:5" x14ac:dyDescent="0.2">
      <c r="A1377" s="1">
        <v>43243</v>
      </c>
      <c r="B1377">
        <f>12.58</f>
        <v>12.58</v>
      </c>
      <c r="C1377">
        <f>15.0616</f>
        <v>15.0616</v>
      </c>
      <c r="D1377">
        <f>13.53</f>
        <v>13.53</v>
      </c>
      <c r="E1377">
        <f>17.15</f>
        <v>17.149999999999999</v>
      </c>
    </row>
    <row r="1378" spans="1:5" x14ac:dyDescent="0.2">
      <c r="A1378" s="1">
        <v>43242</v>
      </c>
      <c r="B1378">
        <f>13.22</f>
        <v>13.22</v>
      </c>
      <c r="C1378">
        <f>12.9845</f>
        <v>12.984500000000001</v>
      </c>
      <c r="D1378">
        <f>11.96</f>
        <v>11.96</v>
      </c>
      <c r="E1378">
        <f>16.89</f>
        <v>16.89</v>
      </c>
    </row>
    <row r="1379" spans="1:5" x14ac:dyDescent="0.2">
      <c r="A1379" s="1">
        <v>43241</v>
      </c>
      <c r="B1379">
        <f>13.08</f>
        <v>13.08</v>
      </c>
      <c r="C1379">
        <f>13.7761</f>
        <v>13.7761</v>
      </c>
      <c r="D1379">
        <f>13.26</f>
        <v>13.26</v>
      </c>
      <c r="E1379">
        <f>16.6</f>
        <v>16.600000000000001</v>
      </c>
    </row>
    <row r="1380" spans="1:5" x14ac:dyDescent="0.2">
      <c r="A1380" s="1">
        <v>43238</v>
      </c>
      <c r="B1380">
        <f>13.42</f>
        <v>13.42</v>
      </c>
      <c r="C1380">
        <f>13.9673</f>
        <v>13.9673</v>
      </c>
      <c r="D1380">
        <f>12.92</f>
        <v>12.92</v>
      </c>
      <c r="E1380">
        <f>16.85</f>
        <v>16.850000000000001</v>
      </c>
    </row>
    <row r="1381" spans="1:5" x14ac:dyDescent="0.2">
      <c r="A1381" s="1">
        <v>43237</v>
      </c>
      <c r="B1381">
        <f>13.43</f>
        <v>13.43</v>
      </c>
      <c r="C1381">
        <f>13.0848</f>
        <v>13.0848</v>
      </c>
      <c r="D1381">
        <f>11.86</f>
        <v>11.86</v>
      </c>
      <c r="E1381">
        <f>16.59</f>
        <v>16.59</v>
      </c>
    </row>
    <row r="1382" spans="1:5" x14ac:dyDescent="0.2">
      <c r="A1382" s="1">
        <v>43236</v>
      </c>
      <c r="B1382">
        <f>13.42</f>
        <v>13.42</v>
      </c>
      <c r="C1382">
        <f>13.5725</f>
        <v>13.5725</v>
      </c>
      <c r="D1382">
        <f>11.94</f>
        <v>11.94</v>
      </c>
      <c r="E1382">
        <f>16.32</f>
        <v>16.32</v>
      </c>
    </row>
    <row r="1383" spans="1:5" x14ac:dyDescent="0.2">
      <c r="A1383" s="1">
        <v>43235</v>
      </c>
      <c r="B1383">
        <f>14.63</f>
        <v>14.63</v>
      </c>
      <c r="C1383">
        <f>12.6765</f>
        <v>12.676500000000001</v>
      </c>
      <c r="D1383">
        <f>11.75</f>
        <v>11.75</v>
      </c>
      <c r="E1383">
        <f>16.84</f>
        <v>16.84</v>
      </c>
    </row>
    <row r="1384" spans="1:5" x14ac:dyDescent="0.2">
      <c r="A1384" s="1">
        <v>43234</v>
      </c>
      <c r="B1384">
        <f>12.93</f>
        <v>12.93</v>
      </c>
      <c r="C1384">
        <f>12.6448</f>
        <v>12.6448</v>
      </c>
      <c r="D1384">
        <f>12.05</f>
        <v>12.05</v>
      </c>
      <c r="E1384">
        <f>17.62</f>
        <v>17.62</v>
      </c>
    </row>
    <row r="1385" spans="1:5" x14ac:dyDescent="0.2">
      <c r="A1385" s="1">
        <v>43231</v>
      </c>
      <c r="B1385">
        <f>12.65</f>
        <v>12.65</v>
      </c>
      <c r="C1385">
        <f>12.4351</f>
        <v>12.4351</v>
      </c>
      <c r="D1385">
        <f>12.01</f>
        <v>12.01</v>
      </c>
      <c r="E1385">
        <f>17.61</f>
        <v>17.61</v>
      </c>
    </row>
    <row r="1386" spans="1:5" x14ac:dyDescent="0.2">
      <c r="A1386" s="1">
        <v>43230</v>
      </c>
      <c r="B1386">
        <f>13.23</f>
        <v>13.23</v>
      </c>
      <c r="C1386">
        <f>12.8229</f>
        <v>12.822900000000001</v>
      </c>
      <c r="D1386">
        <f>12.39</f>
        <v>12.39</v>
      </c>
      <c r="E1386">
        <f>17.61</f>
        <v>17.61</v>
      </c>
    </row>
    <row r="1387" spans="1:5" x14ac:dyDescent="0.2">
      <c r="A1387" s="1">
        <v>43229</v>
      </c>
      <c r="B1387">
        <f>13.42</f>
        <v>13.42</v>
      </c>
      <c r="C1387">
        <f>13.3529</f>
        <v>13.3529</v>
      </c>
      <c r="D1387">
        <f>12.49</f>
        <v>12.49</v>
      </c>
      <c r="E1387">
        <f>17.61</f>
        <v>17.61</v>
      </c>
    </row>
    <row r="1388" spans="1:5" x14ac:dyDescent="0.2">
      <c r="A1388" s="1">
        <v>43228</v>
      </c>
      <c r="B1388">
        <f>14.71</f>
        <v>14.71</v>
      </c>
      <c r="C1388">
        <f>13.7161</f>
        <v>13.716100000000001</v>
      </c>
      <c r="D1388">
        <f>12.04</f>
        <v>12.04</v>
      </c>
      <c r="E1388">
        <f>17.67</f>
        <v>17.670000000000002</v>
      </c>
    </row>
    <row r="1389" spans="1:5" x14ac:dyDescent="0.2">
      <c r="A1389" s="1">
        <v>43227</v>
      </c>
      <c r="B1389">
        <f>14.75</f>
        <v>14.75</v>
      </c>
      <c r="C1389">
        <f>13.3159</f>
        <v>13.315899999999999</v>
      </c>
      <c r="D1389" t="e">
        <f>NA()</f>
        <v>#N/A</v>
      </c>
      <c r="E1389">
        <f>17.6</f>
        <v>17.600000000000001</v>
      </c>
    </row>
    <row r="1390" spans="1:5" x14ac:dyDescent="0.2">
      <c r="A1390" s="1">
        <v>43224</v>
      </c>
      <c r="B1390">
        <f>14.77</f>
        <v>14.77</v>
      </c>
      <c r="C1390">
        <f>13.4198</f>
        <v>13.4198</v>
      </c>
      <c r="D1390">
        <f>11.75</f>
        <v>11.75</v>
      </c>
      <c r="E1390">
        <f>17.59</f>
        <v>17.59</v>
      </c>
    </row>
    <row r="1391" spans="1:5" x14ac:dyDescent="0.2">
      <c r="A1391" s="1">
        <v>43223</v>
      </c>
      <c r="B1391">
        <f>15.9</f>
        <v>15.9</v>
      </c>
      <c r="C1391">
        <f>14.4576</f>
        <v>14.457599999999999</v>
      </c>
      <c r="D1391">
        <f>13.04</f>
        <v>13.04</v>
      </c>
      <c r="E1391">
        <f>18.11</f>
        <v>18.11</v>
      </c>
    </row>
    <row r="1392" spans="1:5" x14ac:dyDescent="0.2">
      <c r="A1392" s="1">
        <v>43222</v>
      </c>
      <c r="B1392">
        <f>15.97</f>
        <v>15.97</v>
      </c>
      <c r="C1392">
        <f>13.5282</f>
        <v>13.5282</v>
      </c>
      <c r="D1392">
        <f>11.75</f>
        <v>11.75</v>
      </c>
      <c r="E1392">
        <f>17.59</f>
        <v>17.59</v>
      </c>
    </row>
    <row r="1393" spans="1:5" x14ac:dyDescent="0.2">
      <c r="A1393" s="1">
        <v>43221</v>
      </c>
      <c r="B1393">
        <f>15.49</f>
        <v>15.49</v>
      </c>
      <c r="C1393" t="e">
        <f>NA()</f>
        <v>#N/A</v>
      </c>
      <c r="D1393" t="e">
        <f>NA()</f>
        <v>#N/A</v>
      </c>
      <c r="E1393" t="e">
        <f>NA()</f>
        <v>#N/A</v>
      </c>
    </row>
    <row r="1394" spans="1:5" x14ac:dyDescent="0.2">
      <c r="A1394" s="1">
        <v>43220</v>
      </c>
      <c r="B1394">
        <f>15.93</f>
        <v>15.93</v>
      </c>
      <c r="C1394">
        <f>13.7154</f>
        <v>13.715400000000001</v>
      </c>
      <c r="D1394">
        <f>12.17</f>
        <v>12.17</v>
      </c>
      <c r="E1394">
        <f>17.32</f>
        <v>17.32</v>
      </c>
    </row>
    <row r="1395" spans="1:5" x14ac:dyDescent="0.2">
      <c r="A1395" s="1">
        <v>43217</v>
      </c>
      <c r="B1395">
        <f>15.41</f>
        <v>15.41</v>
      </c>
      <c r="C1395">
        <f>13.1315</f>
        <v>13.131500000000001</v>
      </c>
      <c r="D1395">
        <f>12.4</f>
        <v>12.4</v>
      </c>
      <c r="E1395" t="e">
        <f>NA()</f>
        <v>#N/A</v>
      </c>
    </row>
    <row r="1396" spans="1:5" x14ac:dyDescent="0.2">
      <c r="A1396" s="1">
        <v>43216</v>
      </c>
      <c r="B1396">
        <f>16.24</f>
        <v>16.239999999999998</v>
      </c>
      <c r="C1396">
        <f>13.6785</f>
        <v>13.6785</v>
      </c>
      <c r="D1396">
        <f>12.33</f>
        <v>12.33</v>
      </c>
      <c r="E1396">
        <f>17.3</f>
        <v>17.3</v>
      </c>
    </row>
    <row r="1397" spans="1:5" x14ac:dyDescent="0.2">
      <c r="A1397" s="1">
        <v>43215</v>
      </c>
      <c r="B1397">
        <f>17.84</f>
        <v>17.84</v>
      </c>
      <c r="C1397">
        <f>14.6576</f>
        <v>14.6576</v>
      </c>
      <c r="D1397">
        <f>13.4</f>
        <v>13.4</v>
      </c>
      <c r="E1397">
        <f>17.82</f>
        <v>17.82</v>
      </c>
    </row>
    <row r="1398" spans="1:5" x14ac:dyDescent="0.2">
      <c r="A1398" s="1">
        <v>43214</v>
      </c>
      <c r="B1398">
        <f>18.02</f>
        <v>18.02</v>
      </c>
      <c r="C1398">
        <f>13.4086</f>
        <v>13.4086</v>
      </c>
      <c r="D1398">
        <f>12.23</f>
        <v>12.23</v>
      </c>
      <c r="E1398">
        <f>17.56</f>
        <v>17.559999999999999</v>
      </c>
    </row>
    <row r="1399" spans="1:5" x14ac:dyDescent="0.2">
      <c r="A1399" s="1">
        <v>43213</v>
      </c>
      <c r="B1399">
        <f>16.34</f>
        <v>16.34</v>
      </c>
      <c r="C1399">
        <f>13.328</f>
        <v>13.327999999999999</v>
      </c>
      <c r="D1399">
        <f>12.26</f>
        <v>12.26</v>
      </c>
      <c r="E1399">
        <f>17.55</f>
        <v>17.55</v>
      </c>
    </row>
    <row r="1400" spans="1:5" x14ac:dyDescent="0.2">
      <c r="A1400" s="1">
        <v>43210</v>
      </c>
      <c r="B1400">
        <f>16.88</f>
        <v>16.88</v>
      </c>
      <c r="C1400">
        <f>13.756</f>
        <v>13.756</v>
      </c>
      <c r="D1400">
        <f>12.48</f>
        <v>12.48</v>
      </c>
      <c r="E1400">
        <f>17.54</f>
        <v>17.54</v>
      </c>
    </row>
    <row r="1401" spans="1:5" x14ac:dyDescent="0.2">
      <c r="A1401" s="1">
        <v>43209</v>
      </c>
      <c r="B1401">
        <f>15.96</f>
        <v>15.96</v>
      </c>
      <c r="C1401">
        <f>13.7415</f>
        <v>13.7415</v>
      </c>
      <c r="D1401">
        <f>12.35</f>
        <v>12.35</v>
      </c>
      <c r="E1401">
        <f>17.8</f>
        <v>17.8</v>
      </c>
    </row>
    <row r="1402" spans="1:5" x14ac:dyDescent="0.2">
      <c r="A1402" s="1">
        <v>43208</v>
      </c>
      <c r="B1402">
        <f>15.6</f>
        <v>15.6</v>
      </c>
      <c r="C1402">
        <f>13.0383</f>
        <v>13.0383</v>
      </c>
      <c r="D1402">
        <f>11.58</f>
        <v>11.58</v>
      </c>
      <c r="E1402">
        <f>17.27</f>
        <v>17.27</v>
      </c>
    </row>
    <row r="1403" spans="1:5" x14ac:dyDescent="0.2">
      <c r="A1403" s="1">
        <v>43207</v>
      </c>
      <c r="B1403">
        <f>15.25</f>
        <v>15.25</v>
      </c>
      <c r="C1403">
        <f>13.288</f>
        <v>13.288</v>
      </c>
      <c r="D1403">
        <f>11.62</f>
        <v>11.62</v>
      </c>
      <c r="E1403">
        <f>17.53</f>
        <v>17.53</v>
      </c>
    </row>
    <row r="1404" spans="1:5" x14ac:dyDescent="0.2">
      <c r="A1404" s="1">
        <v>43206</v>
      </c>
      <c r="B1404">
        <f>16.56</f>
        <v>16.559999999999999</v>
      </c>
      <c r="C1404">
        <f>14.5036</f>
        <v>14.5036</v>
      </c>
      <c r="D1404">
        <f>12.75</f>
        <v>12.75</v>
      </c>
      <c r="E1404">
        <f>17.8</f>
        <v>17.8</v>
      </c>
    </row>
    <row r="1405" spans="1:5" x14ac:dyDescent="0.2">
      <c r="A1405" s="1">
        <v>43203</v>
      </c>
      <c r="B1405">
        <f>17.41</f>
        <v>17.41</v>
      </c>
      <c r="C1405">
        <f>15.2974</f>
        <v>15.2974</v>
      </c>
      <c r="D1405">
        <f>12.58</f>
        <v>12.58</v>
      </c>
      <c r="E1405">
        <f>18.07</f>
        <v>18.07</v>
      </c>
    </row>
    <row r="1406" spans="1:5" x14ac:dyDescent="0.2">
      <c r="A1406" s="1">
        <v>43202</v>
      </c>
      <c r="B1406">
        <f>18.49</f>
        <v>18.489999999999998</v>
      </c>
      <c r="C1406">
        <f>15.8108</f>
        <v>15.8108</v>
      </c>
      <c r="D1406">
        <f>12.78</f>
        <v>12.78</v>
      </c>
      <c r="E1406">
        <f>18.08</f>
        <v>18.079999999999998</v>
      </c>
    </row>
    <row r="1407" spans="1:5" x14ac:dyDescent="0.2">
      <c r="A1407" s="1">
        <v>43201</v>
      </c>
      <c r="B1407">
        <f>20.24</f>
        <v>20.239999999999998</v>
      </c>
      <c r="C1407">
        <f>16.9837</f>
        <v>16.983699999999999</v>
      </c>
      <c r="D1407">
        <f>14.14</f>
        <v>14.14</v>
      </c>
      <c r="E1407">
        <f>18.34</f>
        <v>18.34</v>
      </c>
    </row>
    <row r="1408" spans="1:5" x14ac:dyDescent="0.2">
      <c r="A1408" s="1">
        <v>43200</v>
      </c>
      <c r="B1408">
        <f>20.47</f>
        <v>20.47</v>
      </c>
      <c r="C1408">
        <f>16.3164</f>
        <v>16.316400000000002</v>
      </c>
      <c r="D1408">
        <f>14.01</f>
        <v>14.01</v>
      </c>
      <c r="E1408">
        <f>17.82</f>
        <v>17.82</v>
      </c>
    </row>
    <row r="1409" spans="1:5" x14ac:dyDescent="0.2">
      <c r="A1409" s="1">
        <v>43199</v>
      </c>
      <c r="B1409">
        <f>21.77</f>
        <v>21.77</v>
      </c>
      <c r="C1409">
        <f>17.353</f>
        <v>17.353000000000002</v>
      </c>
      <c r="D1409">
        <f>15.06</f>
        <v>15.06</v>
      </c>
      <c r="E1409">
        <f>18.88</f>
        <v>18.88</v>
      </c>
    </row>
    <row r="1410" spans="1:5" x14ac:dyDescent="0.2">
      <c r="A1410" s="1">
        <v>43196</v>
      </c>
      <c r="B1410">
        <f>21.49</f>
        <v>21.49</v>
      </c>
      <c r="C1410">
        <f>17.4368</f>
        <v>17.436800000000002</v>
      </c>
      <c r="D1410">
        <f>15.3</f>
        <v>15.3</v>
      </c>
      <c r="E1410">
        <f>18.89</f>
        <v>18.89</v>
      </c>
    </row>
    <row r="1411" spans="1:5" x14ac:dyDescent="0.2">
      <c r="A1411" s="1">
        <v>43195</v>
      </c>
      <c r="B1411">
        <f>18.94</f>
        <v>18.940000000000001</v>
      </c>
      <c r="C1411">
        <f>16.9025</f>
        <v>16.9025</v>
      </c>
      <c r="D1411">
        <f>14.84</f>
        <v>14.84</v>
      </c>
      <c r="E1411">
        <f>18.37</f>
        <v>18.37</v>
      </c>
    </row>
    <row r="1412" spans="1:5" x14ac:dyDescent="0.2">
      <c r="A1412" s="1">
        <v>43194</v>
      </c>
      <c r="B1412">
        <f>20.06</f>
        <v>20.059999999999999</v>
      </c>
      <c r="C1412">
        <f>19.5763</f>
        <v>19.5763</v>
      </c>
      <c r="D1412">
        <f>16.55</f>
        <v>16.55</v>
      </c>
      <c r="E1412">
        <f>18.64</f>
        <v>18.64</v>
      </c>
    </row>
    <row r="1413" spans="1:5" x14ac:dyDescent="0.2">
      <c r="A1413" s="1">
        <v>43193</v>
      </c>
      <c r="B1413">
        <f>21.1</f>
        <v>21.1</v>
      </c>
      <c r="C1413">
        <f>18.8146</f>
        <v>18.814599999999999</v>
      </c>
      <c r="D1413">
        <f>16.57</f>
        <v>16.57</v>
      </c>
      <c r="E1413">
        <f>18.64</f>
        <v>18.64</v>
      </c>
    </row>
    <row r="1414" spans="1:5" x14ac:dyDescent="0.2">
      <c r="A1414" s="1">
        <v>43192</v>
      </c>
      <c r="B1414">
        <f>23.62</f>
        <v>23.62</v>
      </c>
      <c r="C1414" t="e">
        <f>NA()</f>
        <v>#N/A</v>
      </c>
      <c r="D1414" t="e">
        <f>NA()</f>
        <v>#N/A</v>
      </c>
      <c r="E1414" t="e">
        <f>NA()</f>
        <v>#N/A</v>
      </c>
    </row>
    <row r="1415" spans="1:5" x14ac:dyDescent="0.2">
      <c r="A1415" s="1">
        <v>43188</v>
      </c>
      <c r="B1415">
        <f>19.97</f>
        <v>19.97</v>
      </c>
      <c r="C1415">
        <f>17.4364</f>
        <v>17.436399999999999</v>
      </c>
      <c r="D1415">
        <f>15.75</f>
        <v>15.75</v>
      </c>
      <c r="E1415">
        <f>18.18</f>
        <v>18.18</v>
      </c>
    </row>
    <row r="1416" spans="1:5" x14ac:dyDescent="0.2">
      <c r="A1416" s="1">
        <v>43187</v>
      </c>
      <c r="B1416">
        <f>22.87</f>
        <v>22.87</v>
      </c>
      <c r="C1416">
        <f>19.6857</f>
        <v>19.685700000000001</v>
      </c>
      <c r="D1416">
        <f>17.17</f>
        <v>17.170000000000002</v>
      </c>
      <c r="E1416">
        <f>18.97</f>
        <v>18.97</v>
      </c>
    </row>
    <row r="1417" spans="1:5" x14ac:dyDescent="0.2">
      <c r="A1417" s="1">
        <v>43186</v>
      </c>
      <c r="B1417">
        <f>22.5</f>
        <v>22.5</v>
      </c>
      <c r="C1417">
        <f>18.9761</f>
        <v>18.976099999999999</v>
      </c>
      <c r="D1417">
        <f>16.18</f>
        <v>16.18</v>
      </c>
      <c r="E1417">
        <f>18.42</f>
        <v>18.420000000000002</v>
      </c>
    </row>
    <row r="1418" spans="1:5" x14ac:dyDescent="0.2">
      <c r="A1418" s="1">
        <v>43185</v>
      </c>
      <c r="B1418">
        <f>21.03</f>
        <v>21.03</v>
      </c>
      <c r="C1418">
        <f>22.0543</f>
        <v>22.054300000000001</v>
      </c>
      <c r="D1418">
        <f>18.66</f>
        <v>18.66</v>
      </c>
      <c r="E1418">
        <f>17.92</f>
        <v>17.920000000000002</v>
      </c>
    </row>
    <row r="1419" spans="1:5" x14ac:dyDescent="0.2">
      <c r="A1419" s="1">
        <v>43182</v>
      </c>
      <c r="B1419">
        <f>24.87</f>
        <v>24.87</v>
      </c>
      <c r="C1419">
        <f>21.0758</f>
        <v>21.075800000000001</v>
      </c>
      <c r="D1419">
        <f>18.28</f>
        <v>18.28</v>
      </c>
      <c r="E1419">
        <f>17.92</f>
        <v>17.920000000000002</v>
      </c>
    </row>
    <row r="1420" spans="1:5" x14ac:dyDescent="0.2">
      <c r="A1420" s="1">
        <v>43181</v>
      </c>
      <c r="B1420">
        <f>23.34</f>
        <v>23.34</v>
      </c>
      <c r="C1420">
        <f>18.551</f>
        <v>18.550999999999998</v>
      </c>
      <c r="D1420">
        <f>16.8</f>
        <v>16.8</v>
      </c>
      <c r="E1420">
        <f>17.65</f>
        <v>17.649999999999999</v>
      </c>
    </row>
    <row r="1421" spans="1:5" x14ac:dyDescent="0.2">
      <c r="A1421" s="1">
        <v>43180</v>
      </c>
      <c r="B1421">
        <f>17.86</f>
        <v>17.86</v>
      </c>
      <c r="C1421">
        <f>14.8531</f>
        <v>14.8531</v>
      </c>
      <c r="D1421">
        <f>14.37</f>
        <v>14.37</v>
      </c>
      <c r="E1421" t="e">
        <f>NA()</f>
        <v>#N/A</v>
      </c>
    </row>
    <row r="1422" spans="1:5" x14ac:dyDescent="0.2">
      <c r="A1422" s="1">
        <v>43179</v>
      </c>
      <c r="B1422">
        <f>18.2</f>
        <v>18.2</v>
      </c>
      <c r="C1422">
        <f>15.3836</f>
        <v>15.383599999999999</v>
      </c>
      <c r="D1422">
        <f>13.98</f>
        <v>13.98</v>
      </c>
      <c r="E1422">
        <f>17.12</f>
        <v>17.12</v>
      </c>
    </row>
    <row r="1423" spans="1:5" x14ac:dyDescent="0.2">
      <c r="A1423" s="1">
        <v>43178</v>
      </c>
      <c r="B1423">
        <f>19.02</f>
        <v>19.02</v>
      </c>
      <c r="C1423">
        <f>16.4988</f>
        <v>16.498799999999999</v>
      </c>
      <c r="D1423">
        <f>14.79</f>
        <v>14.79</v>
      </c>
      <c r="E1423">
        <f>16.31</f>
        <v>16.309999999999999</v>
      </c>
    </row>
    <row r="1424" spans="1:5" x14ac:dyDescent="0.2">
      <c r="A1424" s="1">
        <v>43175</v>
      </c>
      <c r="B1424">
        <f>15.8</f>
        <v>15.8</v>
      </c>
      <c r="C1424">
        <f>13.389</f>
        <v>13.388999999999999</v>
      </c>
      <c r="D1424">
        <f>12.19</f>
        <v>12.19</v>
      </c>
      <c r="E1424">
        <f>16.29</f>
        <v>16.29</v>
      </c>
    </row>
    <row r="1425" spans="1:5" x14ac:dyDescent="0.2">
      <c r="A1425" s="1">
        <v>43174</v>
      </c>
      <c r="B1425">
        <f>16.59</f>
        <v>16.59</v>
      </c>
      <c r="C1425">
        <f>15.2246</f>
        <v>15.224600000000001</v>
      </c>
      <c r="D1425">
        <f>13</f>
        <v>13</v>
      </c>
      <c r="E1425">
        <f>16.11</f>
        <v>16.11</v>
      </c>
    </row>
    <row r="1426" spans="1:5" x14ac:dyDescent="0.2">
      <c r="A1426" s="1">
        <v>43173</v>
      </c>
      <c r="B1426">
        <f>17.23</f>
        <v>17.23</v>
      </c>
      <c r="C1426">
        <f>16.9106</f>
        <v>16.910599999999999</v>
      </c>
      <c r="D1426">
        <f>13.73</f>
        <v>13.73</v>
      </c>
      <c r="E1426">
        <f>16.37</f>
        <v>16.37</v>
      </c>
    </row>
    <row r="1427" spans="1:5" x14ac:dyDescent="0.2">
      <c r="A1427" s="1">
        <v>43172</v>
      </c>
      <c r="B1427">
        <f>16.35</f>
        <v>16.350000000000001</v>
      </c>
      <c r="C1427">
        <f>16.6195</f>
        <v>16.619499999999999</v>
      </c>
      <c r="D1427">
        <f>13.29</f>
        <v>13.29</v>
      </c>
      <c r="E1427">
        <f>16.11</f>
        <v>16.11</v>
      </c>
    </row>
    <row r="1428" spans="1:5" x14ac:dyDescent="0.2">
      <c r="A1428" s="1">
        <v>43171</v>
      </c>
      <c r="B1428">
        <f>15.78</f>
        <v>15.78</v>
      </c>
      <c r="C1428">
        <f>15.4002</f>
        <v>15.4002</v>
      </c>
      <c r="D1428">
        <f>11.91</f>
        <v>11.91</v>
      </c>
      <c r="E1428">
        <f>16.11</f>
        <v>16.11</v>
      </c>
    </row>
    <row r="1429" spans="1:5" x14ac:dyDescent="0.2">
      <c r="A1429" s="1">
        <v>43168</v>
      </c>
      <c r="B1429">
        <f>14.64</f>
        <v>14.64</v>
      </c>
      <c r="C1429">
        <f>15.4054</f>
        <v>15.4054</v>
      </c>
      <c r="D1429">
        <f>11.38</f>
        <v>11.38</v>
      </c>
      <c r="E1429">
        <f>16.11</f>
        <v>16.11</v>
      </c>
    </row>
    <row r="1430" spans="1:5" x14ac:dyDescent="0.2">
      <c r="A1430" s="1">
        <v>43167</v>
      </c>
      <c r="B1430">
        <f>16.54</f>
        <v>16.54</v>
      </c>
      <c r="C1430">
        <f>16.6065</f>
        <v>16.6065</v>
      </c>
      <c r="D1430">
        <f>12.31</f>
        <v>12.31</v>
      </c>
      <c r="E1430">
        <f>16.11</f>
        <v>16.11</v>
      </c>
    </row>
    <row r="1431" spans="1:5" x14ac:dyDescent="0.2">
      <c r="A1431" s="1">
        <v>43166</v>
      </c>
      <c r="B1431">
        <f>17.76</f>
        <v>17.760000000000002</v>
      </c>
      <c r="C1431">
        <f>18.1546</f>
        <v>18.154599999999999</v>
      </c>
      <c r="D1431">
        <f>13.77</f>
        <v>13.77</v>
      </c>
      <c r="E1431">
        <f>16.11</f>
        <v>16.11</v>
      </c>
    </row>
    <row r="1432" spans="1:5" x14ac:dyDescent="0.2">
      <c r="A1432" s="1">
        <v>43165</v>
      </c>
      <c r="B1432">
        <f>18.36</f>
        <v>18.36</v>
      </c>
      <c r="C1432">
        <f>18.6852</f>
        <v>18.685199999999998</v>
      </c>
      <c r="D1432">
        <f>13.93</f>
        <v>13.93</v>
      </c>
      <c r="E1432">
        <f>15.59</f>
        <v>15.59</v>
      </c>
    </row>
    <row r="1433" spans="1:5" x14ac:dyDescent="0.2">
      <c r="A1433" s="1">
        <v>43164</v>
      </c>
      <c r="B1433">
        <f>18.73</f>
        <v>18.73</v>
      </c>
      <c r="C1433">
        <f>18.8922</f>
        <v>18.892199999999999</v>
      </c>
      <c r="D1433">
        <f>15.32</f>
        <v>15.32</v>
      </c>
      <c r="E1433">
        <f>16.37</f>
        <v>16.37</v>
      </c>
    </row>
    <row r="1434" spans="1:5" x14ac:dyDescent="0.2">
      <c r="A1434" s="1">
        <v>43161</v>
      </c>
      <c r="B1434">
        <f>19.59</f>
        <v>19.59</v>
      </c>
      <c r="C1434">
        <f>23.386</f>
        <v>23.385999999999999</v>
      </c>
      <c r="D1434">
        <f>19.12</f>
        <v>19.12</v>
      </c>
      <c r="E1434">
        <f>16.37</f>
        <v>16.37</v>
      </c>
    </row>
    <row r="1435" spans="1:5" x14ac:dyDescent="0.2">
      <c r="A1435" s="1">
        <v>43160</v>
      </c>
      <c r="B1435">
        <f>22.47</f>
        <v>22.47</v>
      </c>
      <c r="C1435">
        <f>20.5673</f>
        <v>20.567299999999999</v>
      </c>
      <c r="D1435">
        <f>16.63</f>
        <v>16.63</v>
      </c>
      <c r="E1435">
        <f>16.63</f>
        <v>16.63</v>
      </c>
    </row>
    <row r="1436" spans="1:5" x14ac:dyDescent="0.2">
      <c r="A1436" s="1">
        <v>43159</v>
      </c>
      <c r="B1436">
        <f>19.85</f>
        <v>19.850000000000001</v>
      </c>
      <c r="C1436">
        <f>18.0002</f>
        <v>18.0002</v>
      </c>
      <c r="D1436">
        <f>14.31</f>
        <v>14.31</v>
      </c>
      <c r="E1436">
        <f>16.37</f>
        <v>16.37</v>
      </c>
    </row>
    <row r="1437" spans="1:5" x14ac:dyDescent="0.2">
      <c r="A1437" s="1">
        <v>43158</v>
      </c>
      <c r="B1437">
        <f>18.59</f>
        <v>18.59</v>
      </c>
      <c r="C1437">
        <f>17.5944</f>
        <v>17.5944</v>
      </c>
      <c r="D1437">
        <f>13.85</f>
        <v>13.85</v>
      </c>
      <c r="E1437">
        <f>16.89</f>
        <v>16.89</v>
      </c>
    </row>
    <row r="1438" spans="1:5" x14ac:dyDescent="0.2">
      <c r="A1438" s="1">
        <v>43157</v>
      </c>
      <c r="B1438">
        <f>15.8</f>
        <v>15.8</v>
      </c>
      <c r="C1438">
        <f>16.7709</f>
        <v>16.770900000000001</v>
      </c>
      <c r="D1438">
        <f>13.39</f>
        <v>13.39</v>
      </c>
      <c r="E1438">
        <f>16.89</f>
        <v>16.89</v>
      </c>
    </row>
    <row r="1439" spans="1:5" x14ac:dyDescent="0.2">
      <c r="A1439" s="1">
        <v>43154</v>
      </c>
      <c r="B1439">
        <f>16.49</f>
        <v>16.489999999999998</v>
      </c>
      <c r="C1439">
        <f>18.1752</f>
        <v>18.1752</v>
      </c>
      <c r="D1439">
        <f>14.68</f>
        <v>14.68</v>
      </c>
      <c r="E1439">
        <f>16.63</f>
        <v>16.63</v>
      </c>
    </row>
    <row r="1440" spans="1:5" x14ac:dyDescent="0.2">
      <c r="A1440" s="1">
        <v>43153</v>
      </c>
      <c r="B1440">
        <f>18.72</f>
        <v>18.72</v>
      </c>
      <c r="C1440">
        <f>18.6903</f>
        <v>18.690300000000001</v>
      </c>
      <c r="D1440">
        <f>14.6</f>
        <v>14.6</v>
      </c>
      <c r="E1440">
        <f>16.89</f>
        <v>16.89</v>
      </c>
    </row>
    <row r="1441" spans="1:5" x14ac:dyDescent="0.2">
      <c r="A1441" s="1">
        <v>43152</v>
      </c>
      <c r="B1441">
        <f>20.02</f>
        <v>20.02</v>
      </c>
      <c r="C1441">
        <f>18.6489</f>
        <v>18.648900000000001</v>
      </c>
      <c r="D1441">
        <f>14.57</f>
        <v>14.57</v>
      </c>
      <c r="E1441">
        <f>16.89</f>
        <v>16.89</v>
      </c>
    </row>
    <row r="1442" spans="1:5" x14ac:dyDescent="0.2">
      <c r="A1442" s="1">
        <v>43151</v>
      </c>
      <c r="B1442">
        <f>20.6</f>
        <v>20.6</v>
      </c>
      <c r="C1442">
        <f>18.6401</f>
        <v>18.6401</v>
      </c>
      <c r="D1442">
        <f>14.67</f>
        <v>14.67</v>
      </c>
      <c r="E1442">
        <f>17.15</f>
        <v>17.149999999999999</v>
      </c>
    </row>
    <row r="1443" spans="1:5" x14ac:dyDescent="0.2">
      <c r="A1443" s="1">
        <v>43150</v>
      </c>
      <c r="B1443" t="e">
        <f>NA()</f>
        <v>#N/A</v>
      </c>
      <c r="C1443">
        <f>19.1283</f>
        <v>19.128299999999999</v>
      </c>
      <c r="D1443">
        <f>15.3</f>
        <v>15.3</v>
      </c>
      <c r="E1443">
        <f>16.63</f>
        <v>16.63</v>
      </c>
    </row>
    <row r="1444" spans="1:5" x14ac:dyDescent="0.2">
      <c r="A1444" s="1">
        <v>43147</v>
      </c>
      <c r="B1444">
        <f>19.46</f>
        <v>19.46</v>
      </c>
      <c r="C1444">
        <f>17.7606</f>
        <v>17.7606</v>
      </c>
      <c r="D1444">
        <f>14.15</f>
        <v>14.15</v>
      </c>
      <c r="E1444">
        <f>16.39</f>
        <v>16.39</v>
      </c>
    </row>
    <row r="1445" spans="1:5" x14ac:dyDescent="0.2">
      <c r="A1445" s="1">
        <v>43146</v>
      </c>
      <c r="B1445">
        <f>19.13</f>
        <v>19.13</v>
      </c>
      <c r="C1445">
        <f>20.5158</f>
        <v>20.515799999999999</v>
      </c>
      <c r="D1445">
        <f>16.43</f>
        <v>16.43</v>
      </c>
      <c r="E1445">
        <f>17.21</f>
        <v>17.21</v>
      </c>
    </row>
    <row r="1446" spans="1:5" x14ac:dyDescent="0.2">
      <c r="A1446" s="1">
        <v>43145</v>
      </c>
      <c r="B1446">
        <f>19.26</f>
        <v>19.260000000000002</v>
      </c>
      <c r="C1446">
        <f>20.7053</f>
        <v>20.705300000000001</v>
      </c>
      <c r="D1446">
        <f>16.34</f>
        <v>16.34</v>
      </c>
      <c r="E1446">
        <f>17.99</f>
        <v>17.989999999999998</v>
      </c>
    </row>
    <row r="1447" spans="1:5" x14ac:dyDescent="0.2">
      <c r="A1447" s="1">
        <v>43144</v>
      </c>
      <c r="B1447">
        <f>24.97</f>
        <v>24.97</v>
      </c>
      <c r="C1447">
        <f>25.9501</f>
        <v>25.950099999999999</v>
      </c>
      <c r="D1447">
        <f>20.7</f>
        <v>20.7</v>
      </c>
      <c r="E1447">
        <f>17.73</f>
        <v>17.73</v>
      </c>
    </row>
    <row r="1448" spans="1:5" x14ac:dyDescent="0.2">
      <c r="A1448" s="1">
        <v>43143</v>
      </c>
      <c r="B1448">
        <f>25.61</f>
        <v>25.61</v>
      </c>
      <c r="C1448">
        <f>28.1626</f>
        <v>28.162600000000001</v>
      </c>
      <c r="D1448">
        <f>21.77</f>
        <v>21.77</v>
      </c>
      <c r="E1448">
        <f>16.92</f>
        <v>16.920000000000002</v>
      </c>
    </row>
    <row r="1449" spans="1:5" x14ac:dyDescent="0.2">
      <c r="A1449" s="1">
        <v>43140</v>
      </c>
      <c r="B1449">
        <f>29.06</f>
        <v>29.06</v>
      </c>
      <c r="C1449">
        <f>34.737</f>
        <v>34.737000000000002</v>
      </c>
      <c r="D1449">
        <f>25.54</f>
        <v>25.54</v>
      </c>
      <c r="E1449">
        <f>17.45</f>
        <v>17.45</v>
      </c>
    </row>
    <row r="1450" spans="1:5" x14ac:dyDescent="0.2">
      <c r="A1450" s="1">
        <v>43139</v>
      </c>
      <c r="B1450">
        <f>33.46</f>
        <v>33.46</v>
      </c>
      <c r="C1450">
        <f>32.0402</f>
        <v>32.040199999999999</v>
      </c>
      <c r="D1450">
        <f>21.29</f>
        <v>21.29</v>
      </c>
      <c r="E1450">
        <f>17.19</f>
        <v>17.190000000000001</v>
      </c>
    </row>
    <row r="1451" spans="1:5" x14ac:dyDescent="0.2">
      <c r="A1451" s="1">
        <v>43138</v>
      </c>
      <c r="B1451">
        <f>27.73</f>
        <v>27.73</v>
      </c>
      <c r="C1451">
        <f>21.3656</f>
        <v>21.365600000000001</v>
      </c>
      <c r="D1451">
        <f>16.54</f>
        <v>16.54</v>
      </c>
      <c r="E1451">
        <f>17.19</f>
        <v>17.190000000000001</v>
      </c>
    </row>
    <row r="1452" spans="1:5" x14ac:dyDescent="0.2">
      <c r="A1452" s="1">
        <v>43137</v>
      </c>
      <c r="B1452">
        <f>29.98</f>
        <v>29.98</v>
      </c>
      <c r="C1452">
        <f>30.1771</f>
        <v>30.177099999999999</v>
      </c>
      <c r="D1452">
        <f>22.79</f>
        <v>22.79</v>
      </c>
      <c r="E1452">
        <f>16.93</f>
        <v>16.93</v>
      </c>
    </row>
    <row r="1453" spans="1:5" x14ac:dyDescent="0.2">
      <c r="A1453" s="1">
        <v>43136</v>
      </c>
      <c r="B1453">
        <f>37.32</f>
        <v>37.32</v>
      </c>
      <c r="C1453">
        <f>18.855</f>
        <v>18.855</v>
      </c>
      <c r="D1453">
        <f>15</f>
        <v>15</v>
      </c>
      <c r="E1453">
        <f>16.22</f>
        <v>16.22</v>
      </c>
    </row>
    <row r="1454" spans="1:5" x14ac:dyDescent="0.2">
      <c r="A1454" s="1">
        <v>43133</v>
      </c>
      <c r="B1454">
        <f>17.31</f>
        <v>17.309999999999999</v>
      </c>
      <c r="C1454">
        <f>17.5594</f>
        <v>17.5594</v>
      </c>
      <c r="D1454">
        <f>13.78</f>
        <v>13.78</v>
      </c>
      <c r="E1454">
        <f>15.41</f>
        <v>15.41</v>
      </c>
    </row>
    <row r="1455" spans="1:5" x14ac:dyDescent="0.2">
      <c r="A1455" s="1">
        <v>43132</v>
      </c>
      <c r="B1455">
        <f>13.47</f>
        <v>13.47</v>
      </c>
      <c r="C1455">
        <f>16.1394</f>
        <v>16.139399999999998</v>
      </c>
      <c r="D1455">
        <f>13.4</f>
        <v>13.4</v>
      </c>
      <c r="E1455">
        <f>15.14</f>
        <v>15.14</v>
      </c>
    </row>
    <row r="1456" spans="1:5" x14ac:dyDescent="0.2">
      <c r="A1456" s="1">
        <v>43131</v>
      </c>
      <c r="B1456">
        <f>13.54</f>
        <v>13.54</v>
      </c>
      <c r="C1456">
        <f>15.1644</f>
        <v>15.164400000000001</v>
      </c>
      <c r="D1456">
        <f>13.21</f>
        <v>13.21</v>
      </c>
      <c r="E1456">
        <f>15.13</f>
        <v>15.13</v>
      </c>
    </row>
    <row r="1457" spans="1:5" x14ac:dyDescent="0.2">
      <c r="A1457" s="1">
        <v>43130</v>
      </c>
      <c r="B1457">
        <f>14.79</f>
        <v>14.79</v>
      </c>
      <c r="C1457">
        <f>14.811</f>
        <v>14.811</v>
      </c>
      <c r="D1457">
        <f>12.72</f>
        <v>12.72</v>
      </c>
      <c r="E1457">
        <f>15.64</f>
        <v>15.64</v>
      </c>
    </row>
    <row r="1458" spans="1:5" x14ac:dyDescent="0.2">
      <c r="A1458" s="1">
        <v>43129</v>
      </c>
      <c r="B1458">
        <f>13.84</f>
        <v>13.84</v>
      </c>
      <c r="C1458">
        <f>13.2927</f>
        <v>13.2927</v>
      </c>
      <c r="D1458">
        <f>11.75</f>
        <v>11.75</v>
      </c>
      <c r="E1458">
        <f>14.79</f>
        <v>14.79</v>
      </c>
    </row>
    <row r="1459" spans="1:5" x14ac:dyDescent="0.2">
      <c r="A1459" s="1">
        <v>43126</v>
      </c>
      <c r="B1459">
        <f>11.08</f>
        <v>11.08</v>
      </c>
      <c r="C1459">
        <f>12.4779</f>
        <v>12.4779</v>
      </c>
      <c r="D1459">
        <f>10.73</f>
        <v>10.73</v>
      </c>
      <c r="E1459">
        <f>14.72</f>
        <v>14.72</v>
      </c>
    </row>
    <row r="1460" spans="1:5" x14ac:dyDescent="0.2">
      <c r="A1460" s="1">
        <v>43125</v>
      </c>
      <c r="B1460">
        <f>11.58</f>
        <v>11.58</v>
      </c>
      <c r="C1460">
        <f>12.691</f>
        <v>12.691000000000001</v>
      </c>
      <c r="D1460">
        <f>11.44</f>
        <v>11.44</v>
      </c>
      <c r="E1460">
        <f>14.7</f>
        <v>14.7</v>
      </c>
    </row>
    <row r="1461" spans="1:5" x14ac:dyDescent="0.2">
      <c r="A1461" s="1">
        <v>43124</v>
      </c>
      <c r="B1461">
        <f>11.47</f>
        <v>11.47</v>
      </c>
      <c r="C1461">
        <f>12.3924</f>
        <v>12.3924</v>
      </c>
      <c r="D1461">
        <f>11</f>
        <v>11</v>
      </c>
      <c r="E1461">
        <f>14.67</f>
        <v>14.67</v>
      </c>
    </row>
    <row r="1462" spans="1:5" x14ac:dyDescent="0.2">
      <c r="A1462" s="1">
        <v>43123</v>
      </c>
      <c r="B1462">
        <f>11.1</f>
        <v>11.1</v>
      </c>
      <c r="C1462">
        <f>11.9508</f>
        <v>11.950799999999999</v>
      </c>
      <c r="D1462">
        <f>9.98</f>
        <v>9.98</v>
      </c>
      <c r="E1462">
        <f>14.65</f>
        <v>14.65</v>
      </c>
    </row>
    <row r="1463" spans="1:5" x14ac:dyDescent="0.2">
      <c r="A1463" s="1">
        <v>43122</v>
      </c>
      <c r="B1463">
        <f>11.03</f>
        <v>11.03</v>
      </c>
      <c r="C1463">
        <f>11.9678</f>
        <v>11.9678</v>
      </c>
      <c r="D1463">
        <f>10.63</f>
        <v>10.63</v>
      </c>
      <c r="E1463">
        <f>14.62</f>
        <v>14.62</v>
      </c>
    </row>
    <row r="1464" spans="1:5" x14ac:dyDescent="0.2">
      <c r="A1464" s="1">
        <v>43119</v>
      </c>
      <c r="B1464">
        <f>11.27</f>
        <v>11.27</v>
      </c>
      <c r="C1464">
        <f>11.8533</f>
        <v>11.853300000000001</v>
      </c>
      <c r="D1464">
        <f>10.53</f>
        <v>10.53</v>
      </c>
      <c r="E1464">
        <f>14.54</f>
        <v>14.54</v>
      </c>
    </row>
    <row r="1465" spans="1:5" x14ac:dyDescent="0.2">
      <c r="A1465" s="1">
        <v>43118</v>
      </c>
      <c r="B1465">
        <f>12.22</f>
        <v>12.22</v>
      </c>
      <c r="C1465">
        <f>11.9883</f>
        <v>11.988300000000001</v>
      </c>
      <c r="D1465">
        <f>10.43</f>
        <v>10.43</v>
      </c>
      <c r="E1465">
        <f>14.51</f>
        <v>14.51</v>
      </c>
    </row>
    <row r="1466" spans="1:5" x14ac:dyDescent="0.2">
      <c r="A1466" s="1">
        <v>43117</v>
      </c>
      <c r="B1466">
        <f>11.91</f>
        <v>11.91</v>
      </c>
      <c r="C1466">
        <f>11.9473</f>
        <v>11.9473</v>
      </c>
      <c r="D1466">
        <f>10.21</f>
        <v>10.210000000000001</v>
      </c>
      <c r="E1466">
        <f>14.48</f>
        <v>14.48</v>
      </c>
    </row>
    <row r="1467" spans="1:5" x14ac:dyDescent="0.2">
      <c r="A1467" s="1">
        <v>43116</v>
      </c>
      <c r="B1467">
        <f>11.66</f>
        <v>11.66</v>
      </c>
      <c r="C1467">
        <f>11.3466</f>
        <v>11.3466</v>
      </c>
      <c r="D1467">
        <f>9.95</f>
        <v>9.9499999999999993</v>
      </c>
      <c r="E1467">
        <f>14.35</f>
        <v>14.35</v>
      </c>
    </row>
    <row r="1468" spans="1:5" x14ac:dyDescent="0.2">
      <c r="A1468" s="1">
        <v>43115</v>
      </c>
      <c r="B1468" t="e">
        <f>NA()</f>
        <v>#N/A</v>
      </c>
      <c r="C1468">
        <f>11.0727</f>
        <v>11.072699999999999</v>
      </c>
      <c r="D1468">
        <f>9.74</f>
        <v>9.74</v>
      </c>
      <c r="E1468">
        <f>14.58</f>
        <v>14.58</v>
      </c>
    </row>
    <row r="1469" spans="1:5" x14ac:dyDescent="0.2">
      <c r="A1469" s="1">
        <v>43112</v>
      </c>
      <c r="B1469">
        <f>10.16</f>
        <v>10.16</v>
      </c>
      <c r="C1469">
        <f>10.9024</f>
        <v>10.9024</v>
      </c>
      <c r="D1469">
        <f>9.07</f>
        <v>9.07</v>
      </c>
      <c r="E1469">
        <f>14.48</f>
        <v>14.48</v>
      </c>
    </row>
    <row r="1470" spans="1:5" x14ac:dyDescent="0.2">
      <c r="A1470" s="1">
        <v>43111</v>
      </c>
      <c r="B1470">
        <f>9.88</f>
        <v>9.8800000000000008</v>
      </c>
      <c r="C1470">
        <f>11.3595</f>
        <v>11.359500000000001</v>
      </c>
      <c r="D1470">
        <f>9.13</f>
        <v>9.1300000000000008</v>
      </c>
      <c r="E1470">
        <f>14.44</f>
        <v>14.44</v>
      </c>
    </row>
    <row r="1471" spans="1:5" x14ac:dyDescent="0.2">
      <c r="A1471" s="1">
        <v>43110</v>
      </c>
      <c r="B1471">
        <f>9.82</f>
        <v>9.82</v>
      </c>
      <c r="C1471">
        <f>11.759</f>
        <v>11.759</v>
      </c>
      <c r="D1471">
        <f>9.97</f>
        <v>9.9700000000000006</v>
      </c>
      <c r="E1471">
        <f>14.41</f>
        <v>14.41</v>
      </c>
    </row>
    <row r="1472" spans="1:5" x14ac:dyDescent="0.2">
      <c r="A1472" s="1">
        <v>43109</v>
      </c>
      <c r="B1472">
        <f>10.08</f>
        <v>10.08</v>
      </c>
      <c r="C1472">
        <f>11.262</f>
        <v>11.262</v>
      </c>
      <c r="D1472">
        <f>9.75</f>
        <v>9.75</v>
      </c>
      <c r="E1472">
        <f>14.37</f>
        <v>14.37</v>
      </c>
    </row>
    <row r="1473" spans="1:5" x14ac:dyDescent="0.2">
      <c r="A1473" s="1">
        <v>43108</v>
      </c>
      <c r="B1473">
        <f>9.52</f>
        <v>9.52</v>
      </c>
      <c r="C1473">
        <f>11.4954</f>
        <v>11.4954</v>
      </c>
      <c r="D1473">
        <f>9.92</f>
        <v>9.92</v>
      </c>
      <c r="E1473">
        <f>15.16</f>
        <v>15.16</v>
      </c>
    </row>
    <row r="1474" spans="1:5" x14ac:dyDescent="0.2">
      <c r="A1474" s="1">
        <v>43105</v>
      </c>
      <c r="B1474">
        <f>9.22</f>
        <v>9.2200000000000006</v>
      </c>
      <c r="C1474">
        <f>11.1245</f>
        <v>11.124499999999999</v>
      </c>
      <c r="D1474">
        <f>9.6</f>
        <v>9.6</v>
      </c>
      <c r="E1474">
        <f>15.25</f>
        <v>15.25</v>
      </c>
    </row>
    <row r="1475" spans="1:5" x14ac:dyDescent="0.2">
      <c r="A1475" s="1">
        <v>43104</v>
      </c>
      <c r="B1475">
        <f>9.22</f>
        <v>9.2200000000000006</v>
      </c>
      <c r="C1475">
        <f>11.4105</f>
        <v>11.410500000000001</v>
      </c>
      <c r="D1475">
        <f>9.73</f>
        <v>9.73</v>
      </c>
      <c r="E1475">
        <f>15.5</f>
        <v>15.5</v>
      </c>
    </row>
    <row r="1476" spans="1:5" x14ac:dyDescent="0.2">
      <c r="A1476" s="1">
        <v>43103</v>
      </c>
      <c r="B1476">
        <f>9.15</f>
        <v>9.15</v>
      </c>
      <c r="C1476">
        <f>12.1367</f>
        <v>12.136699999999999</v>
      </c>
      <c r="D1476">
        <f>9.95</f>
        <v>9.9499999999999993</v>
      </c>
      <c r="E1476">
        <f>15.23</f>
        <v>15.23</v>
      </c>
    </row>
    <row r="1477" spans="1:5" x14ac:dyDescent="0.2">
      <c r="A1477" s="1">
        <v>43102</v>
      </c>
      <c r="B1477">
        <f>9.77</f>
        <v>9.77</v>
      </c>
      <c r="C1477">
        <f>13.3676</f>
        <v>13.367599999999999</v>
      </c>
      <c r="D1477">
        <f>10.33</f>
        <v>10.33</v>
      </c>
      <c r="E1477">
        <f>15.22</f>
        <v>15.22</v>
      </c>
    </row>
    <row r="1478" spans="1:5" x14ac:dyDescent="0.2">
      <c r="A1478" s="1">
        <v>43098</v>
      </c>
      <c r="B1478">
        <f>11.04</f>
        <v>11.04</v>
      </c>
      <c r="C1478">
        <f>13.5114</f>
        <v>13.5114</v>
      </c>
      <c r="D1478">
        <f>10.47</f>
        <v>10.47</v>
      </c>
      <c r="E1478">
        <f>14.92</f>
        <v>14.92</v>
      </c>
    </row>
    <row r="1479" spans="1:5" x14ac:dyDescent="0.2">
      <c r="A1479" s="1">
        <v>43097</v>
      </c>
      <c r="B1479">
        <f>10.18</f>
        <v>10.18</v>
      </c>
      <c r="C1479">
        <f>13.6229</f>
        <v>13.6229</v>
      </c>
      <c r="D1479">
        <f>10.44</f>
        <v>10.44</v>
      </c>
      <c r="E1479">
        <f>15.17</f>
        <v>15.17</v>
      </c>
    </row>
    <row r="1480" spans="1:5" x14ac:dyDescent="0.2">
      <c r="A1480" s="1">
        <v>43096</v>
      </c>
      <c r="B1480">
        <f>10.47</f>
        <v>10.47</v>
      </c>
      <c r="C1480">
        <f>12.7143</f>
        <v>12.7143</v>
      </c>
      <c r="D1480">
        <f>10.22</f>
        <v>10.220000000000001</v>
      </c>
      <c r="E1480">
        <f>15.16</f>
        <v>15.16</v>
      </c>
    </row>
    <row r="1481" spans="1:5" x14ac:dyDescent="0.2">
      <c r="A1481" s="1">
        <v>43095</v>
      </c>
      <c r="B1481">
        <f>10.25</f>
        <v>10.25</v>
      </c>
      <c r="C1481" t="e">
        <f>NA()</f>
        <v>#N/A</v>
      </c>
      <c r="D1481" t="e">
        <f>NA()</f>
        <v>#N/A</v>
      </c>
      <c r="E1481" t="e">
        <f>NA()</f>
        <v>#N/A</v>
      </c>
    </row>
    <row r="1482" spans="1:5" x14ac:dyDescent="0.2">
      <c r="A1482" s="1">
        <v>43091</v>
      </c>
      <c r="B1482">
        <f>9.9</f>
        <v>9.9</v>
      </c>
      <c r="C1482">
        <f>12.0057</f>
        <v>12.005699999999999</v>
      </c>
      <c r="D1482">
        <f>9.71</f>
        <v>9.7100000000000009</v>
      </c>
      <c r="E1482">
        <f>15.1</f>
        <v>15.1</v>
      </c>
    </row>
    <row r="1483" spans="1:5" x14ac:dyDescent="0.2">
      <c r="A1483" s="1">
        <v>43090</v>
      </c>
      <c r="B1483">
        <f>9.62</f>
        <v>9.6199999999999992</v>
      </c>
      <c r="C1483">
        <f>11.7371</f>
        <v>11.7371</v>
      </c>
      <c r="D1483">
        <f>9.98</f>
        <v>9.98</v>
      </c>
      <c r="E1483">
        <f>14.29</f>
        <v>14.29</v>
      </c>
    </row>
    <row r="1484" spans="1:5" x14ac:dyDescent="0.2">
      <c r="A1484" s="1">
        <v>43089</v>
      </c>
      <c r="B1484">
        <f>9.72</f>
        <v>9.7200000000000006</v>
      </c>
      <c r="C1484">
        <f>12.5108</f>
        <v>12.5108</v>
      </c>
      <c r="D1484">
        <f>10.87</f>
        <v>10.87</v>
      </c>
      <c r="E1484">
        <f>14.81</f>
        <v>14.81</v>
      </c>
    </row>
    <row r="1485" spans="1:5" x14ac:dyDescent="0.2">
      <c r="A1485" s="1">
        <v>43088</v>
      </c>
      <c r="B1485">
        <f>10.03</f>
        <v>10.029999999999999</v>
      </c>
      <c r="C1485">
        <f>11.197</f>
        <v>11.196999999999999</v>
      </c>
      <c r="D1485">
        <f>9.42</f>
        <v>9.42</v>
      </c>
      <c r="E1485">
        <f>14.81</f>
        <v>14.81</v>
      </c>
    </row>
    <row r="1486" spans="1:5" x14ac:dyDescent="0.2">
      <c r="A1486" s="1">
        <v>43087</v>
      </c>
      <c r="B1486">
        <f>9.53</f>
        <v>9.5299999999999994</v>
      </c>
      <c r="C1486">
        <f>10.6783</f>
        <v>10.6783</v>
      </c>
      <c r="D1486">
        <f>9.22</f>
        <v>9.2200000000000006</v>
      </c>
      <c r="E1486">
        <f>14.81</f>
        <v>14.81</v>
      </c>
    </row>
    <row r="1487" spans="1:5" x14ac:dyDescent="0.2">
      <c r="A1487" s="1">
        <v>43084</v>
      </c>
      <c r="B1487">
        <f>9.42</f>
        <v>9.42</v>
      </c>
      <c r="C1487">
        <f>11.792</f>
        <v>11.792</v>
      </c>
      <c r="D1487">
        <f>9.47</f>
        <v>9.4700000000000006</v>
      </c>
      <c r="E1487">
        <f>15.07</f>
        <v>15.07</v>
      </c>
    </row>
    <row r="1488" spans="1:5" x14ac:dyDescent="0.2">
      <c r="A1488" s="1">
        <v>43083</v>
      </c>
      <c r="B1488">
        <f>10.49</f>
        <v>10.49</v>
      </c>
      <c r="C1488">
        <f>12.2635</f>
        <v>12.263500000000001</v>
      </c>
      <c r="D1488">
        <f>10.02</f>
        <v>10.02</v>
      </c>
      <c r="E1488">
        <f>14.81</f>
        <v>14.81</v>
      </c>
    </row>
    <row r="1489" spans="1:5" x14ac:dyDescent="0.2">
      <c r="A1489" s="1">
        <v>43082</v>
      </c>
      <c r="B1489">
        <f>10.18</f>
        <v>10.18</v>
      </c>
      <c r="C1489">
        <f>12.7344</f>
        <v>12.734400000000001</v>
      </c>
      <c r="D1489">
        <f>9.62</f>
        <v>9.6199999999999992</v>
      </c>
      <c r="E1489">
        <f>14.81</f>
        <v>14.81</v>
      </c>
    </row>
    <row r="1490" spans="1:5" x14ac:dyDescent="0.2">
      <c r="A1490" s="1">
        <v>43081</v>
      </c>
      <c r="B1490">
        <f>9.92</f>
        <v>9.92</v>
      </c>
      <c r="C1490">
        <f>12.4734</f>
        <v>12.4734</v>
      </c>
      <c r="D1490">
        <f>9.3</f>
        <v>9.3000000000000007</v>
      </c>
      <c r="E1490">
        <f>14.81</f>
        <v>14.81</v>
      </c>
    </row>
    <row r="1491" spans="1:5" x14ac:dyDescent="0.2">
      <c r="A1491" s="1">
        <v>43080</v>
      </c>
      <c r="B1491">
        <f>9.34</f>
        <v>9.34</v>
      </c>
      <c r="C1491">
        <f>12.9236</f>
        <v>12.9236</v>
      </c>
      <c r="D1491">
        <f>10.23</f>
        <v>10.23</v>
      </c>
      <c r="E1491">
        <f>14.81</f>
        <v>14.81</v>
      </c>
    </row>
    <row r="1492" spans="1:5" x14ac:dyDescent="0.2">
      <c r="A1492" s="1">
        <v>43077</v>
      </c>
      <c r="B1492">
        <f>9.58</f>
        <v>9.58</v>
      </c>
      <c r="C1492">
        <f>12.8484</f>
        <v>12.8484</v>
      </c>
      <c r="D1492" t="e">
        <f>NA()</f>
        <v>#N/A</v>
      </c>
      <c r="E1492">
        <f>14.8</f>
        <v>14.8</v>
      </c>
    </row>
    <row r="1493" spans="1:5" x14ac:dyDescent="0.2">
      <c r="A1493" s="1">
        <v>43076</v>
      </c>
      <c r="B1493">
        <f>10.16</f>
        <v>10.16</v>
      </c>
      <c r="C1493">
        <f>13.4513</f>
        <v>13.4513</v>
      </c>
      <c r="D1493">
        <f>11.05</f>
        <v>11.05</v>
      </c>
      <c r="E1493">
        <f>15.06</f>
        <v>15.06</v>
      </c>
    </row>
    <row r="1494" spans="1:5" x14ac:dyDescent="0.2">
      <c r="A1494" s="1">
        <v>43075</v>
      </c>
      <c r="B1494">
        <f>11.02</f>
        <v>11.02</v>
      </c>
      <c r="C1494">
        <f>13.9107</f>
        <v>13.9107</v>
      </c>
      <c r="D1494">
        <f>11.25</f>
        <v>11.25</v>
      </c>
      <c r="E1494">
        <f>15.05</f>
        <v>15.05</v>
      </c>
    </row>
    <row r="1495" spans="1:5" x14ac:dyDescent="0.2">
      <c r="A1495" s="1">
        <v>43074</v>
      </c>
      <c r="B1495">
        <f>11.33</f>
        <v>11.33</v>
      </c>
      <c r="C1495">
        <f>13.1587</f>
        <v>13.1587</v>
      </c>
      <c r="D1495">
        <f>11.02</f>
        <v>11.02</v>
      </c>
      <c r="E1495">
        <f>15.05</f>
        <v>15.05</v>
      </c>
    </row>
    <row r="1496" spans="1:5" x14ac:dyDescent="0.2">
      <c r="A1496" s="1">
        <v>43073</v>
      </c>
      <c r="B1496">
        <f>11.68</f>
        <v>11.68</v>
      </c>
      <c r="C1496">
        <f>13.7242</f>
        <v>13.7242</v>
      </c>
      <c r="D1496">
        <f>11.22</f>
        <v>11.22</v>
      </c>
      <c r="E1496">
        <f>14</f>
        <v>14</v>
      </c>
    </row>
    <row r="1497" spans="1:5" x14ac:dyDescent="0.2">
      <c r="A1497" s="1">
        <v>43070</v>
      </c>
      <c r="B1497">
        <f>11.43</f>
        <v>11.43</v>
      </c>
      <c r="C1497">
        <f>16.0124</f>
        <v>16.0124</v>
      </c>
      <c r="D1497">
        <f>13.36</f>
        <v>13.36</v>
      </c>
      <c r="E1497">
        <f>13.98</f>
        <v>13.98</v>
      </c>
    </row>
    <row r="1498" spans="1:5" x14ac:dyDescent="0.2">
      <c r="A1498" s="1">
        <v>43069</v>
      </c>
      <c r="B1498">
        <f>11.28</f>
        <v>11.28</v>
      </c>
      <c r="C1498">
        <f>13.4708</f>
        <v>13.470800000000001</v>
      </c>
      <c r="D1498">
        <f>11.11</f>
        <v>11.11</v>
      </c>
      <c r="E1498">
        <f>14.24</f>
        <v>14.24</v>
      </c>
    </row>
    <row r="1499" spans="1:5" x14ac:dyDescent="0.2">
      <c r="A1499" s="1">
        <v>43068</v>
      </c>
      <c r="B1499">
        <f>10.7</f>
        <v>10.7</v>
      </c>
      <c r="C1499">
        <f>13.5436</f>
        <v>13.5436</v>
      </c>
      <c r="D1499" t="e">
        <f>NA()</f>
        <v>#N/A</v>
      </c>
      <c r="E1499">
        <f>13.97</f>
        <v>13.97</v>
      </c>
    </row>
    <row r="1500" spans="1:5" x14ac:dyDescent="0.2">
      <c r="A1500" s="1">
        <v>43067</v>
      </c>
      <c r="B1500">
        <f>10.03</f>
        <v>10.029999999999999</v>
      </c>
      <c r="C1500">
        <f>12.8773</f>
        <v>12.8773</v>
      </c>
      <c r="D1500">
        <f>10.09</f>
        <v>10.09</v>
      </c>
      <c r="E1500">
        <f>14.22</f>
        <v>14.22</v>
      </c>
    </row>
    <row r="1501" spans="1:5" x14ac:dyDescent="0.2">
      <c r="A1501" s="1">
        <v>43066</v>
      </c>
      <c r="B1501">
        <f>9.87</f>
        <v>9.8699999999999992</v>
      </c>
      <c r="C1501">
        <f>13.5459</f>
        <v>13.5459</v>
      </c>
      <c r="D1501">
        <f>10.52</f>
        <v>10.52</v>
      </c>
      <c r="E1501">
        <f>13.96</f>
        <v>13.96</v>
      </c>
    </row>
    <row r="1502" spans="1:5" x14ac:dyDescent="0.2">
      <c r="A1502" s="1">
        <v>43063</v>
      </c>
      <c r="B1502">
        <f>9.67</f>
        <v>9.67</v>
      </c>
      <c r="C1502">
        <f>12.8582</f>
        <v>12.8582</v>
      </c>
      <c r="D1502">
        <f>10.44</f>
        <v>10.44</v>
      </c>
      <c r="E1502">
        <f>13.93</f>
        <v>13.93</v>
      </c>
    </row>
    <row r="1503" spans="1:5" x14ac:dyDescent="0.2">
      <c r="A1503" s="1">
        <v>43062</v>
      </c>
      <c r="B1503" t="e">
        <f>NA()</f>
        <v>#N/A</v>
      </c>
      <c r="C1503">
        <f>12.7296</f>
        <v>12.7296</v>
      </c>
      <c r="D1503">
        <f>10.47</f>
        <v>10.47</v>
      </c>
      <c r="E1503">
        <f>13.94</f>
        <v>13.94</v>
      </c>
    </row>
    <row r="1504" spans="1:5" x14ac:dyDescent="0.2">
      <c r="A1504" s="1">
        <v>43061</v>
      </c>
      <c r="B1504">
        <f>9.88</f>
        <v>9.8800000000000008</v>
      </c>
      <c r="C1504">
        <f>12.8717</f>
        <v>12.871700000000001</v>
      </c>
      <c r="D1504">
        <f>10.36</f>
        <v>10.36</v>
      </c>
      <c r="E1504">
        <f>14.18</f>
        <v>14.18</v>
      </c>
    </row>
    <row r="1505" spans="1:5" x14ac:dyDescent="0.2">
      <c r="A1505" s="1">
        <v>43060</v>
      </c>
      <c r="B1505">
        <f>9.73</f>
        <v>9.73</v>
      </c>
      <c r="C1505">
        <f>12.9355</f>
        <v>12.935499999999999</v>
      </c>
      <c r="D1505">
        <f>10.36</f>
        <v>10.36</v>
      </c>
      <c r="E1505">
        <f>13.41</f>
        <v>13.41</v>
      </c>
    </row>
    <row r="1506" spans="1:5" x14ac:dyDescent="0.2">
      <c r="A1506" s="1">
        <v>43059</v>
      </c>
      <c r="B1506">
        <f>10.65</f>
        <v>10.65</v>
      </c>
      <c r="C1506">
        <f>13.7039</f>
        <v>13.703900000000001</v>
      </c>
      <c r="D1506">
        <f>10.96</f>
        <v>10.96</v>
      </c>
      <c r="E1506">
        <f>13.66</f>
        <v>13.66</v>
      </c>
    </row>
    <row r="1507" spans="1:5" x14ac:dyDescent="0.2">
      <c r="A1507" s="1">
        <v>43056</v>
      </c>
      <c r="B1507">
        <f>11.43</f>
        <v>11.43</v>
      </c>
      <c r="C1507">
        <f>14.7428</f>
        <v>14.742800000000001</v>
      </c>
      <c r="D1507">
        <f>11.1</f>
        <v>11.1</v>
      </c>
      <c r="E1507">
        <f>13.63</f>
        <v>13.63</v>
      </c>
    </row>
    <row r="1508" spans="1:5" x14ac:dyDescent="0.2">
      <c r="A1508" s="1">
        <v>43055</v>
      </c>
      <c r="B1508">
        <f>11.76</f>
        <v>11.76</v>
      </c>
      <c r="C1508">
        <f>15.0291</f>
        <v>15.0291</v>
      </c>
      <c r="D1508">
        <f>11.14</f>
        <v>11.14</v>
      </c>
      <c r="E1508">
        <f>13.63</f>
        <v>13.63</v>
      </c>
    </row>
    <row r="1509" spans="1:5" x14ac:dyDescent="0.2">
      <c r="A1509" s="1">
        <v>43054</v>
      </c>
      <c r="B1509">
        <f>13.13</f>
        <v>13.13</v>
      </c>
      <c r="C1509">
        <f>15.5778</f>
        <v>15.5778</v>
      </c>
      <c r="D1509">
        <f>11.62</f>
        <v>11.62</v>
      </c>
      <c r="E1509">
        <f>13.88</f>
        <v>13.88</v>
      </c>
    </row>
    <row r="1510" spans="1:5" x14ac:dyDescent="0.2">
      <c r="A1510" s="1">
        <v>43053</v>
      </c>
      <c r="B1510">
        <f>11.59</f>
        <v>11.59</v>
      </c>
      <c r="C1510">
        <f>15.2348</f>
        <v>15.2348</v>
      </c>
      <c r="D1510">
        <f>11.31</f>
        <v>11.31</v>
      </c>
      <c r="E1510">
        <f>13.87</f>
        <v>13.87</v>
      </c>
    </row>
    <row r="1511" spans="1:5" x14ac:dyDescent="0.2">
      <c r="A1511" s="1">
        <v>43052</v>
      </c>
      <c r="B1511">
        <f>11.5</f>
        <v>11.5</v>
      </c>
      <c r="C1511">
        <f>14.3816</f>
        <v>14.381600000000001</v>
      </c>
      <c r="D1511">
        <f>11.17</f>
        <v>11.17</v>
      </c>
      <c r="E1511">
        <f>13.3</f>
        <v>13.3</v>
      </c>
    </row>
    <row r="1512" spans="1:5" x14ac:dyDescent="0.2">
      <c r="A1512" s="1">
        <v>43049</v>
      </c>
      <c r="B1512">
        <f>11.29</f>
        <v>11.29</v>
      </c>
      <c r="C1512">
        <f>14.453</f>
        <v>14.452999999999999</v>
      </c>
      <c r="D1512">
        <f>11.15</f>
        <v>11.15</v>
      </c>
      <c r="E1512">
        <f>13.52</f>
        <v>13.52</v>
      </c>
    </row>
    <row r="1513" spans="1:5" x14ac:dyDescent="0.2">
      <c r="A1513" s="1">
        <v>43048</v>
      </c>
      <c r="B1513">
        <f>10.5</f>
        <v>10.5</v>
      </c>
      <c r="C1513">
        <f>13.9158</f>
        <v>13.915800000000001</v>
      </c>
      <c r="D1513">
        <f>10.8</f>
        <v>10.8</v>
      </c>
      <c r="E1513">
        <f>13.51</f>
        <v>13.51</v>
      </c>
    </row>
    <row r="1514" spans="1:5" x14ac:dyDescent="0.2">
      <c r="A1514" s="1">
        <v>43047</v>
      </c>
      <c r="B1514">
        <f>9.78</f>
        <v>9.7799999999999994</v>
      </c>
      <c r="C1514">
        <f>12.4069</f>
        <v>12.4069</v>
      </c>
      <c r="D1514">
        <f>10.01</f>
        <v>10.01</v>
      </c>
      <c r="E1514">
        <f>13.49</f>
        <v>13.49</v>
      </c>
    </row>
    <row r="1515" spans="1:5" x14ac:dyDescent="0.2">
      <c r="A1515" s="1">
        <v>43046</v>
      </c>
      <c r="B1515">
        <f>9.89</f>
        <v>9.89</v>
      </c>
      <c r="C1515">
        <f>12.1337</f>
        <v>12.133699999999999</v>
      </c>
      <c r="D1515">
        <f>9.98</f>
        <v>9.98</v>
      </c>
      <c r="E1515">
        <f>13.22</f>
        <v>13.22</v>
      </c>
    </row>
    <row r="1516" spans="1:5" x14ac:dyDescent="0.2">
      <c r="A1516" s="1">
        <v>43045</v>
      </c>
      <c r="B1516">
        <f>9.4</f>
        <v>9.4</v>
      </c>
      <c r="C1516">
        <f>11.6934</f>
        <v>11.6934</v>
      </c>
      <c r="D1516">
        <f>10.02</f>
        <v>10.02</v>
      </c>
      <c r="E1516">
        <f>13.99</f>
        <v>13.99</v>
      </c>
    </row>
    <row r="1517" spans="1:5" x14ac:dyDescent="0.2">
      <c r="A1517" s="1">
        <v>43042</v>
      </c>
      <c r="B1517">
        <f>9.14</f>
        <v>9.14</v>
      </c>
      <c r="C1517">
        <f>11.5635</f>
        <v>11.563499999999999</v>
      </c>
      <c r="D1517">
        <f>9.51</f>
        <v>9.51</v>
      </c>
      <c r="E1517">
        <f>13.94</f>
        <v>13.94</v>
      </c>
    </row>
    <row r="1518" spans="1:5" x14ac:dyDescent="0.2">
      <c r="A1518" s="1">
        <v>43041</v>
      </c>
      <c r="B1518">
        <f>9.93</f>
        <v>9.93</v>
      </c>
      <c r="C1518">
        <f>12.0219</f>
        <v>12.0219</v>
      </c>
      <c r="D1518">
        <f>10.07</f>
        <v>10.07</v>
      </c>
      <c r="E1518">
        <f>14.19</f>
        <v>14.19</v>
      </c>
    </row>
    <row r="1519" spans="1:5" x14ac:dyDescent="0.2">
      <c r="A1519" s="1">
        <v>43040</v>
      </c>
      <c r="B1519">
        <f>10.2</f>
        <v>10.199999999999999</v>
      </c>
      <c r="C1519">
        <f>11.7924</f>
        <v>11.792400000000001</v>
      </c>
      <c r="D1519">
        <f>10.37</f>
        <v>10.37</v>
      </c>
      <c r="E1519">
        <f>13.91</f>
        <v>13.91</v>
      </c>
    </row>
    <row r="1520" spans="1:5" x14ac:dyDescent="0.2">
      <c r="A1520" s="1">
        <v>43039</v>
      </c>
      <c r="B1520">
        <f>10.18</f>
        <v>10.18</v>
      </c>
      <c r="C1520">
        <f>11.9864</f>
        <v>11.9864</v>
      </c>
      <c r="D1520">
        <f>10.47</f>
        <v>10.47</v>
      </c>
      <c r="E1520">
        <f>13.89</f>
        <v>13.89</v>
      </c>
    </row>
    <row r="1521" spans="1:5" x14ac:dyDescent="0.2">
      <c r="A1521" s="1">
        <v>43038</v>
      </c>
      <c r="B1521">
        <f>10.5</f>
        <v>10.5</v>
      </c>
      <c r="C1521">
        <f>12.8308</f>
        <v>12.8308</v>
      </c>
      <c r="D1521">
        <f>10.67</f>
        <v>10.67</v>
      </c>
      <c r="E1521">
        <f>13.88</f>
        <v>13.88</v>
      </c>
    </row>
    <row r="1522" spans="1:5" x14ac:dyDescent="0.2">
      <c r="A1522" s="1">
        <v>43035</v>
      </c>
      <c r="B1522">
        <f>9.8</f>
        <v>9.8000000000000007</v>
      </c>
      <c r="C1522">
        <f>12.4951</f>
        <v>12.495100000000001</v>
      </c>
      <c r="D1522">
        <f>10.41</f>
        <v>10.41</v>
      </c>
      <c r="E1522">
        <f>13.82</f>
        <v>13.82</v>
      </c>
    </row>
    <row r="1523" spans="1:5" x14ac:dyDescent="0.2">
      <c r="A1523" s="1">
        <v>43034</v>
      </c>
      <c r="B1523">
        <f>11.3</f>
        <v>11.3</v>
      </c>
      <c r="C1523">
        <f>12.9159</f>
        <v>12.915900000000001</v>
      </c>
      <c r="D1523">
        <f>10.6</f>
        <v>10.6</v>
      </c>
      <c r="E1523">
        <f>13.8</f>
        <v>13.8</v>
      </c>
    </row>
    <row r="1524" spans="1:5" x14ac:dyDescent="0.2">
      <c r="A1524" s="1">
        <v>43033</v>
      </c>
      <c r="B1524">
        <f>11.23</f>
        <v>11.23</v>
      </c>
      <c r="C1524">
        <f>14.5349</f>
        <v>14.5349</v>
      </c>
      <c r="D1524">
        <f>12.08</f>
        <v>12.08</v>
      </c>
      <c r="E1524">
        <f>13.78</f>
        <v>13.78</v>
      </c>
    </row>
    <row r="1525" spans="1:5" x14ac:dyDescent="0.2">
      <c r="A1525" s="1">
        <v>43032</v>
      </c>
      <c r="B1525">
        <f>11.16</f>
        <v>11.16</v>
      </c>
      <c r="C1525">
        <f>12.9424</f>
        <v>12.942399999999999</v>
      </c>
      <c r="D1525">
        <f>10.27</f>
        <v>10.27</v>
      </c>
      <c r="E1525">
        <f>14.03</f>
        <v>14.03</v>
      </c>
    </row>
    <row r="1526" spans="1:5" x14ac:dyDescent="0.2">
      <c r="A1526" s="1">
        <v>43031</v>
      </c>
      <c r="B1526">
        <f>11.07</f>
        <v>11.07</v>
      </c>
      <c r="C1526">
        <f>12.5904</f>
        <v>12.590400000000001</v>
      </c>
      <c r="D1526">
        <f>10.12</f>
        <v>10.119999999999999</v>
      </c>
      <c r="E1526">
        <f>13.34</f>
        <v>13.34</v>
      </c>
    </row>
    <row r="1527" spans="1:5" x14ac:dyDescent="0.2">
      <c r="A1527" s="1">
        <v>43028</v>
      </c>
      <c r="B1527">
        <f>9.97</f>
        <v>9.9700000000000006</v>
      </c>
      <c r="C1527">
        <f>12.2167</f>
        <v>12.216699999999999</v>
      </c>
      <c r="D1527">
        <f>10.08</f>
        <v>10.08</v>
      </c>
      <c r="E1527">
        <f>13.27</f>
        <v>13.27</v>
      </c>
    </row>
    <row r="1528" spans="1:5" x14ac:dyDescent="0.2">
      <c r="A1528" s="1">
        <v>43027</v>
      </c>
      <c r="B1528">
        <f>10.05</f>
        <v>10.050000000000001</v>
      </c>
      <c r="C1528">
        <f>12.4435</f>
        <v>12.4435</v>
      </c>
      <c r="D1528">
        <f>9.85</f>
        <v>9.85</v>
      </c>
      <c r="E1528">
        <f>13.51</f>
        <v>13.51</v>
      </c>
    </row>
    <row r="1529" spans="1:5" x14ac:dyDescent="0.2">
      <c r="A1529" s="1">
        <v>43026</v>
      </c>
      <c r="B1529">
        <f>10.07</f>
        <v>10.07</v>
      </c>
      <c r="C1529">
        <f>11.0514</f>
        <v>11.051399999999999</v>
      </c>
      <c r="D1529">
        <f>8.97</f>
        <v>8.9700000000000006</v>
      </c>
      <c r="E1529">
        <f>13.23</f>
        <v>13.23</v>
      </c>
    </row>
    <row r="1530" spans="1:5" x14ac:dyDescent="0.2">
      <c r="A1530" s="1">
        <v>43025</v>
      </c>
      <c r="B1530">
        <f>10.31</f>
        <v>10.31</v>
      </c>
      <c r="C1530">
        <f>11.6299</f>
        <v>11.629899999999999</v>
      </c>
      <c r="D1530">
        <f>9.27</f>
        <v>9.27</v>
      </c>
      <c r="E1530">
        <f>13.48</f>
        <v>13.48</v>
      </c>
    </row>
    <row r="1531" spans="1:5" x14ac:dyDescent="0.2">
      <c r="A1531" s="1">
        <v>43024</v>
      </c>
      <c r="B1531">
        <f>9.91</f>
        <v>9.91</v>
      </c>
      <c r="C1531">
        <f>11.9037</f>
        <v>11.903700000000001</v>
      </c>
      <c r="D1531">
        <f>9.26</f>
        <v>9.26</v>
      </c>
      <c r="E1531">
        <f>13.98</f>
        <v>13.98</v>
      </c>
    </row>
    <row r="1532" spans="1:5" x14ac:dyDescent="0.2">
      <c r="A1532" s="1">
        <v>43021</v>
      </c>
      <c r="B1532">
        <f>9.61</f>
        <v>9.61</v>
      </c>
      <c r="C1532">
        <f>11.8458</f>
        <v>11.845800000000001</v>
      </c>
      <c r="D1532">
        <f>9.14</f>
        <v>9.14</v>
      </c>
      <c r="E1532">
        <f>13.93</f>
        <v>13.93</v>
      </c>
    </row>
    <row r="1533" spans="1:5" x14ac:dyDescent="0.2">
      <c r="A1533" s="1">
        <v>43020</v>
      </c>
      <c r="B1533">
        <f>9.91</f>
        <v>9.91</v>
      </c>
      <c r="C1533">
        <f>12.3247</f>
        <v>12.3247</v>
      </c>
      <c r="D1533">
        <f>9.74</f>
        <v>9.74</v>
      </c>
      <c r="E1533">
        <f>14.17</f>
        <v>14.17</v>
      </c>
    </row>
    <row r="1534" spans="1:5" x14ac:dyDescent="0.2">
      <c r="A1534" s="1">
        <v>43019</v>
      </c>
      <c r="B1534">
        <f>9.85</f>
        <v>9.85</v>
      </c>
      <c r="C1534">
        <f>12.6695</f>
        <v>12.669499999999999</v>
      </c>
      <c r="D1534">
        <f>10.07</f>
        <v>10.07</v>
      </c>
      <c r="E1534">
        <f>13.89</f>
        <v>13.89</v>
      </c>
    </row>
    <row r="1535" spans="1:5" x14ac:dyDescent="0.2">
      <c r="A1535" s="1">
        <v>43018</v>
      </c>
      <c r="B1535">
        <f>10.08</f>
        <v>10.08</v>
      </c>
      <c r="C1535">
        <f>13.3944</f>
        <v>13.394399999999999</v>
      </c>
      <c r="D1535">
        <f>10.33</f>
        <v>10.33</v>
      </c>
      <c r="E1535">
        <f>13.6</f>
        <v>13.6</v>
      </c>
    </row>
    <row r="1536" spans="1:5" x14ac:dyDescent="0.2">
      <c r="A1536" s="1">
        <v>43017</v>
      </c>
      <c r="B1536">
        <f>10.33</f>
        <v>10.33</v>
      </c>
      <c r="C1536">
        <f>12.6102</f>
        <v>12.610200000000001</v>
      </c>
      <c r="D1536">
        <f>10.2</f>
        <v>10.199999999999999</v>
      </c>
      <c r="E1536">
        <f>14.11</f>
        <v>14.11</v>
      </c>
    </row>
    <row r="1537" spans="1:5" x14ac:dyDescent="0.2">
      <c r="A1537" s="1">
        <v>43014</v>
      </c>
      <c r="B1537">
        <f>9.65</f>
        <v>9.65</v>
      </c>
      <c r="C1537">
        <f>12.5055</f>
        <v>12.5055</v>
      </c>
      <c r="D1537">
        <f>10.15</f>
        <v>10.15</v>
      </c>
      <c r="E1537">
        <f>14.05</f>
        <v>14.05</v>
      </c>
    </row>
    <row r="1538" spans="1:5" x14ac:dyDescent="0.2">
      <c r="A1538" s="1">
        <v>43013</v>
      </c>
      <c r="B1538">
        <f>9.19</f>
        <v>9.19</v>
      </c>
      <c r="C1538">
        <f>12.087</f>
        <v>12.087</v>
      </c>
      <c r="D1538">
        <f>10.12</f>
        <v>10.119999999999999</v>
      </c>
      <c r="E1538">
        <f>14.02</f>
        <v>14.02</v>
      </c>
    </row>
    <row r="1539" spans="1:5" x14ac:dyDescent="0.2">
      <c r="A1539" s="1">
        <v>43012</v>
      </c>
      <c r="B1539">
        <f>9.63</f>
        <v>9.6300000000000008</v>
      </c>
      <c r="C1539">
        <f>12.7752</f>
        <v>12.7752</v>
      </c>
      <c r="D1539">
        <f>10.79</f>
        <v>10.79</v>
      </c>
      <c r="E1539">
        <f>14</f>
        <v>14</v>
      </c>
    </row>
    <row r="1540" spans="1:5" x14ac:dyDescent="0.2">
      <c r="A1540" s="1">
        <v>43011</v>
      </c>
      <c r="B1540">
        <f>9.51</f>
        <v>9.51</v>
      </c>
      <c r="C1540">
        <f>11.8365</f>
        <v>11.836499999999999</v>
      </c>
      <c r="D1540">
        <f>10.43</f>
        <v>10.43</v>
      </c>
      <c r="E1540">
        <f>13.98</f>
        <v>13.98</v>
      </c>
    </row>
    <row r="1541" spans="1:5" x14ac:dyDescent="0.2">
      <c r="A1541" s="1">
        <v>43010</v>
      </c>
      <c r="B1541">
        <f>9.45</f>
        <v>9.4499999999999993</v>
      </c>
      <c r="C1541">
        <f>12.1739</f>
        <v>12.1739</v>
      </c>
      <c r="D1541">
        <f>10.68</f>
        <v>10.68</v>
      </c>
      <c r="E1541">
        <f>14.42</f>
        <v>14.42</v>
      </c>
    </row>
    <row r="1542" spans="1:5" x14ac:dyDescent="0.2">
      <c r="A1542" s="1">
        <v>43007</v>
      </c>
      <c r="B1542">
        <f>9.51</f>
        <v>9.51</v>
      </c>
      <c r="C1542">
        <f>12.1208</f>
        <v>12.120799999999999</v>
      </c>
      <c r="D1542">
        <f>10.63</f>
        <v>10.63</v>
      </c>
      <c r="E1542">
        <f>14.36</f>
        <v>14.36</v>
      </c>
    </row>
    <row r="1543" spans="1:5" x14ac:dyDescent="0.2">
      <c r="A1543" s="1">
        <v>43006</v>
      </c>
      <c r="B1543">
        <f>9.55</f>
        <v>9.5500000000000007</v>
      </c>
      <c r="C1543">
        <f>12.1259</f>
        <v>12.1259</v>
      </c>
      <c r="D1543">
        <f>10.63</f>
        <v>10.63</v>
      </c>
      <c r="E1543">
        <f>14.61</f>
        <v>14.61</v>
      </c>
    </row>
    <row r="1544" spans="1:5" x14ac:dyDescent="0.2">
      <c r="A1544" s="1">
        <v>43005</v>
      </c>
      <c r="B1544">
        <f>9.87</f>
        <v>9.8699999999999992</v>
      </c>
      <c r="C1544">
        <f>12.1282</f>
        <v>12.1282</v>
      </c>
      <c r="D1544">
        <f>10.88</f>
        <v>10.88</v>
      </c>
      <c r="E1544">
        <f>14.33</f>
        <v>14.33</v>
      </c>
    </row>
    <row r="1545" spans="1:5" x14ac:dyDescent="0.2">
      <c r="A1545" s="1">
        <v>43004</v>
      </c>
      <c r="B1545">
        <f>10.17</f>
        <v>10.17</v>
      </c>
      <c r="C1545">
        <f>12.5406</f>
        <v>12.5406</v>
      </c>
      <c r="D1545">
        <f>11.27</f>
        <v>11.27</v>
      </c>
      <c r="E1545">
        <f>15.07</f>
        <v>15.07</v>
      </c>
    </row>
    <row r="1546" spans="1:5" x14ac:dyDescent="0.2">
      <c r="A1546" s="1">
        <v>43003</v>
      </c>
      <c r="B1546">
        <f>10.21</f>
        <v>10.210000000000001</v>
      </c>
      <c r="C1546">
        <f>12.3663</f>
        <v>12.366300000000001</v>
      </c>
      <c r="D1546">
        <f>11.44</f>
        <v>11.44</v>
      </c>
      <c r="E1546" t="e">
        <f>NA()</f>
        <v>#N/A</v>
      </c>
    </row>
    <row r="1547" spans="1:5" x14ac:dyDescent="0.2">
      <c r="A1547" s="1">
        <v>43000</v>
      </c>
      <c r="B1547">
        <f>9.59</f>
        <v>9.59</v>
      </c>
      <c r="C1547">
        <f>11.708</f>
        <v>11.708</v>
      </c>
      <c r="D1547">
        <f>10.86</f>
        <v>10.86</v>
      </c>
      <c r="E1547">
        <f>13.96</f>
        <v>13.96</v>
      </c>
    </row>
    <row r="1548" spans="1:5" x14ac:dyDescent="0.2">
      <c r="A1548" s="1">
        <v>42999</v>
      </c>
      <c r="B1548">
        <f>9.67</f>
        <v>9.67</v>
      </c>
      <c r="C1548">
        <f>11.1906</f>
        <v>11.1906</v>
      </c>
      <c r="D1548">
        <f>10.81</f>
        <v>10.81</v>
      </c>
      <c r="E1548">
        <f>14.03</f>
        <v>14.03</v>
      </c>
    </row>
    <row r="1549" spans="1:5" x14ac:dyDescent="0.2">
      <c r="A1549" s="1">
        <v>42998</v>
      </c>
      <c r="B1549">
        <f>9.78</f>
        <v>9.7799999999999994</v>
      </c>
      <c r="C1549">
        <f>11.7949</f>
        <v>11.7949</v>
      </c>
      <c r="D1549">
        <f>11.15</f>
        <v>11.15</v>
      </c>
      <c r="E1549">
        <f>15.33</f>
        <v>15.33</v>
      </c>
    </row>
    <row r="1550" spans="1:5" x14ac:dyDescent="0.2">
      <c r="A1550" s="1">
        <v>42997</v>
      </c>
      <c r="B1550">
        <f>10.18</f>
        <v>10.18</v>
      </c>
      <c r="C1550">
        <f>11.7216</f>
        <v>11.7216</v>
      </c>
      <c r="D1550">
        <f>10.58</f>
        <v>10.58</v>
      </c>
      <c r="E1550">
        <f>13.77</f>
        <v>13.77</v>
      </c>
    </row>
    <row r="1551" spans="1:5" x14ac:dyDescent="0.2">
      <c r="A1551" s="1">
        <v>42996</v>
      </c>
      <c r="B1551">
        <f>10.15</f>
        <v>10.15</v>
      </c>
      <c r="C1551">
        <f>11.943</f>
        <v>11.943</v>
      </c>
      <c r="D1551">
        <f>10.79</f>
        <v>10.79</v>
      </c>
      <c r="E1551">
        <f>13.77</f>
        <v>13.77</v>
      </c>
    </row>
    <row r="1552" spans="1:5" x14ac:dyDescent="0.2">
      <c r="A1552" s="1">
        <v>42993</v>
      </c>
      <c r="B1552">
        <f>10.17</f>
        <v>10.17</v>
      </c>
      <c r="C1552">
        <f>12.1972</f>
        <v>12.1972</v>
      </c>
      <c r="D1552">
        <f>11.44</f>
        <v>11.44</v>
      </c>
      <c r="E1552">
        <f>13.77</f>
        <v>13.77</v>
      </c>
    </row>
    <row r="1553" spans="1:5" x14ac:dyDescent="0.2">
      <c r="A1553" s="1">
        <v>42992</v>
      </c>
      <c r="B1553">
        <f>10.44</f>
        <v>10.44</v>
      </c>
      <c r="C1553">
        <f>12.2739</f>
        <v>12.273899999999999</v>
      </c>
      <c r="D1553">
        <f>11.08</f>
        <v>11.08</v>
      </c>
      <c r="E1553">
        <f>13.77</f>
        <v>13.77</v>
      </c>
    </row>
    <row r="1554" spans="1:5" x14ac:dyDescent="0.2">
      <c r="A1554" s="1">
        <v>42991</v>
      </c>
      <c r="B1554">
        <f>10.5</f>
        <v>10.5</v>
      </c>
      <c r="C1554">
        <f>13.0423</f>
        <v>13.042299999999999</v>
      </c>
      <c r="D1554">
        <f>10.32</f>
        <v>10.32</v>
      </c>
      <c r="E1554">
        <f>13.51</f>
        <v>13.51</v>
      </c>
    </row>
    <row r="1555" spans="1:5" x14ac:dyDescent="0.2">
      <c r="A1555" s="1">
        <v>42990</v>
      </c>
      <c r="B1555">
        <f>10.58</f>
        <v>10.58</v>
      </c>
      <c r="C1555">
        <f>13.4464</f>
        <v>13.446400000000001</v>
      </c>
      <c r="D1555">
        <f>10.16</f>
        <v>10.16</v>
      </c>
      <c r="E1555">
        <f>13.5</f>
        <v>13.5</v>
      </c>
    </row>
    <row r="1556" spans="1:5" x14ac:dyDescent="0.2">
      <c r="A1556" s="1">
        <v>42989</v>
      </c>
      <c r="B1556">
        <f>10.73</f>
        <v>10.73</v>
      </c>
      <c r="C1556">
        <f>13.96</f>
        <v>13.96</v>
      </c>
      <c r="D1556">
        <f>10.26</f>
        <v>10.26</v>
      </c>
      <c r="E1556">
        <f>13.5</f>
        <v>13.5</v>
      </c>
    </row>
    <row r="1557" spans="1:5" x14ac:dyDescent="0.2">
      <c r="A1557" s="1">
        <v>42986</v>
      </c>
      <c r="B1557">
        <f>12.12</f>
        <v>12.12</v>
      </c>
      <c r="C1557">
        <f>15.199</f>
        <v>15.199</v>
      </c>
      <c r="D1557">
        <f>11.48</f>
        <v>11.48</v>
      </c>
      <c r="E1557">
        <f>14.28</f>
        <v>14.28</v>
      </c>
    </row>
    <row r="1558" spans="1:5" x14ac:dyDescent="0.2">
      <c r="A1558" s="1">
        <v>42985</v>
      </c>
      <c r="B1558">
        <f>11.55</f>
        <v>11.55</v>
      </c>
      <c r="C1558">
        <f>15.1482</f>
        <v>15.148199999999999</v>
      </c>
      <c r="D1558">
        <f>11.53</f>
        <v>11.53</v>
      </c>
      <c r="E1558">
        <f>13.76</f>
        <v>13.76</v>
      </c>
    </row>
    <row r="1559" spans="1:5" x14ac:dyDescent="0.2">
      <c r="A1559" s="1">
        <v>42984</v>
      </c>
      <c r="B1559">
        <f>11.63</f>
        <v>11.63</v>
      </c>
      <c r="C1559">
        <f>16.3786</f>
        <v>16.378599999999999</v>
      </c>
      <c r="D1559">
        <f>13.18</f>
        <v>13.18</v>
      </c>
      <c r="E1559">
        <f>14.03</f>
        <v>14.03</v>
      </c>
    </row>
    <row r="1560" spans="1:5" x14ac:dyDescent="0.2">
      <c r="A1560" s="1">
        <v>42983</v>
      </c>
      <c r="B1560">
        <f>12.23</f>
        <v>12.23</v>
      </c>
      <c r="C1560">
        <f>16.4848</f>
        <v>16.4848</v>
      </c>
      <c r="D1560">
        <f>13.13</f>
        <v>13.13</v>
      </c>
      <c r="E1560">
        <f>14</f>
        <v>14</v>
      </c>
    </row>
    <row r="1561" spans="1:5" x14ac:dyDescent="0.2">
      <c r="A1561" s="1">
        <v>42982</v>
      </c>
      <c r="B1561" t="e">
        <f>NA()</f>
        <v>#N/A</v>
      </c>
      <c r="C1561">
        <f>16.2117</f>
        <v>16.2117</v>
      </c>
      <c r="D1561">
        <f>12.74</f>
        <v>12.74</v>
      </c>
      <c r="E1561">
        <f>14.26</f>
        <v>14.26</v>
      </c>
    </row>
    <row r="1562" spans="1:5" x14ac:dyDescent="0.2">
      <c r="A1562" s="1">
        <v>42979</v>
      </c>
      <c r="B1562">
        <f>10.13</f>
        <v>10.130000000000001</v>
      </c>
      <c r="C1562">
        <f>14.7167</f>
        <v>14.716699999999999</v>
      </c>
      <c r="D1562">
        <f>11.34</f>
        <v>11.34</v>
      </c>
      <c r="E1562">
        <f>13.99</f>
        <v>13.99</v>
      </c>
    </row>
    <row r="1563" spans="1:5" x14ac:dyDescent="0.2">
      <c r="A1563" s="1">
        <v>42978</v>
      </c>
      <c r="B1563">
        <f>10.59</f>
        <v>10.59</v>
      </c>
      <c r="C1563">
        <f>15.6317</f>
        <v>15.6317</v>
      </c>
      <c r="D1563">
        <f>11.79</f>
        <v>11.79</v>
      </c>
      <c r="E1563">
        <f>14</f>
        <v>14</v>
      </c>
    </row>
    <row r="1564" spans="1:5" x14ac:dyDescent="0.2">
      <c r="A1564" s="1">
        <v>42977</v>
      </c>
      <c r="B1564">
        <f>11.22</f>
        <v>11.22</v>
      </c>
      <c r="C1564">
        <f>16.468</f>
        <v>16.468</v>
      </c>
      <c r="D1564">
        <f>12.37</f>
        <v>12.37</v>
      </c>
      <c r="E1564">
        <f>14.25</f>
        <v>14.25</v>
      </c>
    </row>
    <row r="1565" spans="1:5" x14ac:dyDescent="0.2">
      <c r="A1565" s="1">
        <v>42976</v>
      </c>
      <c r="B1565">
        <f>11.7</f>
        <v>11.7</v>
      </c>
      <c r="C1565">
        <f>17.3169</f>
        <v>17.3169</v>
      </c>
      <c r="D1565">
        <f>12.6</f>
        <v>12.6</v>
      </c>
      <c r="E1565" t="e">
        <f>NA()</f>
        <v>#N/A</v>
      </c>
    </row>
    <row r="1566" spans="1:5" x14ac:dyDescent="0.2">
      <c r="A1566" s="1">
        <v>42975</v>
      </c>
      <c r="B1566">
        <f>11.32</f>
        <v>11.32</v>
      </c>
      <c r="C1566">
        <f>15.8508</f>
        <v>15.8508</v>
      </c>
      <c r="D1566" t="e">
        <f>NA()</f>
        <v>#N/A</v>
      </c>
      <c r="E1566">
        <f>14.26</f>
        <v>14.26</v>
      </c>
    </row>
    <row r="1567" spans="1:5" x14ac:dyDescent="0.2">
      <c r="A1567" s="1">
        <v>42972</v>
      </c>
      <c r="B1567">
        <f>11.28</f>
        <v>11.28</v>
      </c>
      <c r="C1567">
        <f>15.3262</f>
        <v>15.3262</v>
      </c>
      <c r="D1567">
        <f>11.09</f>
        <v>11.09</v>
      </c>
      <c r="E1567">
        <f>14.26</f>
        <v>14.26</v>
      </c>
    </row>
    <row r="1568" spans="1:5" x14ac:dyDescent="0.2">
      <c r="A1568" s="1">
        <v>42971</v>
      </c>
      <c r="B1568">
        <f>12.23</f>
        <v>12.23</v>
      </c>
      <c r="C1568">
        <f>15.6665</f>
        <v>15.666499999999999</v>
      </c>
      <c r="D1568">
        <f>11.24</f>
        <v>11.24</v>
      </c>
      <c r="E1568">
        <f>14.02</f>
        <v>14.02</v>
      </c>
    </row>
    <row r="1569" spans="1:5" x14ac:dyDescent="0.2">
      <c r="A1569" s="1">
        <v>42970</v>
      </c>
      <c r="B1569">
        <f>12.25</f>
        <v>12.25</v>
      </c>
      <c r="C1569">
        <f>16.2275</f>
        <v>16.227499999999999</v>
      </c>
      <c r="D1569">
        <f>11.63</f>
        <v>11.63</v>
      </c>
      <c r="E1569">
        <f>14.25</f>
        <v>14.25</v>
      </c>
    </row>
    <row r="1570" spans="1:5" x14ac:dyDescent="0.2">
      <c r="A1570" s="1">
        <v>42969</v>
      </c>
      <c r="B1570">
        <f>11.35</f>
        <v>11.35</v>
      </c>
      <c r="C1570">
        <f>16.412</f>
        <v>16.411999999999999</v>
      </c>
      <c r="D1570">
        <f>11.96</f>
        <v>11.96</v>
      </c>
      <c r="E1570">
        <f>14.25</f>
        <v>14.25</v>
      </c>
    </row>
    <row r="1571" spans="1:5" x14ac:dyDescent="0.2">
      <c r="A1571" s="1">
        <v>42968</v>
      </c>
      <c r="B1571">
        <f>13.19</f>
        <v>13.19</v>
      </c>
      <c r="C1571">
        <f>18.5553</f>
        <v>18.555299999999999</v>
      </c>
      <c r="D1571">
        <f>13.48</f>
        <v>13.48</v>
      </c>
      <c r="E1571">
        <f>14.6</f>
        <v>14.6</v>
      </c>
    </row>
    <row r="1572" spans="1:5" x14ac:dyDescent="0.2">
      <c r="A1572" s="1">
        <v>42965</v>
      </c>
      <c r="B1572">
        <f>14.26</f>
        <v>14.26</v>
      </c>
      <c r="C1572">
        <f>17.5746</f>
        <v>17.5746</v>
      </c>
      <c r="D1572">
        <f>13.75</f>
        <v>13.75</v>
      </c>
      <c r="E1572">
        <f>14.82</f>
        <v>14.82</v>
      </c>
    </row>
    <row r="1573" spans="1:5" x14ac:dyDescent="0.2">
      <c r="A1573" s="1">
        <v>42964</v>
      </c>
      <c r="B1573">
        <f>15.55</f>
        <v>15.55</v>
      </c>
      <c r="C1573">
        <f>15.3859</f>
        <v>15.385899999999999</v>
      </c>
      <c r="D1573">
        <f>11.58</f>
        <v>11.58</v>
      </c>
      <c r="E1573">
        <f>14.28</f>
        <v>14.28</v>
      </c>
    </row>
    <row r="1574" spans="1:5" x14ac:dyDescent="0.2">
      <c r="A1574" s="1">
        <v>42963</v>
      </c>
      <c r="B1574">
        <f>11.74</f>
        <v>11.74</v>
      </c>
      <c r="C1574">
        <f>14.2468</f>
        <v>14.2468</v>
      </c>
      <c r="D1574">
        <f>11.12</f>
        <v>11.12</v>
      </c>
      <c r="E1574">
        <f>14.01</f>
        <v>14.01</v>
      </c>
    </row>
    <row r="1575" spans="1:5" x14ac:dyDescent="0.2">
      <c r="A1575" s="1">
        <v>42962</v>
      </c>
      <c r="B1575">
        <f>12.04</f>
        <v>12.04</v>
      </c>
      <c r="C1575">
        <f>14.8801</f>
        <v>14.880100000000001</v>
      </c>
      <c r="D1575">
        <f>11.23</f>
        <v>11.23</v>
      </c>
      <c r="E1575">
        <f>16.26</f>
        <v>16.260000000000002</v>
      </c>
    </row>
    <row r="1576" spans="1:5" x14ac:dyDescent="0.2">
      <c r="A1576" s="1">
        <v>42961</v>
      </c>
      <c r="B1576">
        <f>12.33</f>
        <v>12.33</v>
      </c>
      <c r="C1576">
        <f>15.6664</f>
        <v>15.666399999999999</v>
      </c>
      <c r="D1576">
        <f>12.02</f>
        <v>12.02</v>
      </c>
      <c r="E1576">
        <f>15.64</f>
        <v>15.64</v>
      </c>
    </row>
    <row r="1577" spans="1:5" x14ac:dyDescent="0.2">
      <c r="A1577" s="1">
        <v>42958</v>
      </c>
      <c r="B1577">
        <f>15.51</f>
        <v>15.51</v>
      </c>
      <c r="C1577">
        <f>19.3101</f>
        <v>19.310099999999998</v>
      </c>
      <c r="D1577">
        <f>14.89</f>
        <v>14.89</v>
      </c>
      <c r="E1577">
        <f>15.13</f>
        <v>15.13</v>
      </c>
    </row>
    <row r="1578" spans="1:5" x14ac:dyDescent="0.2">
      <c r="A1578" s="1">
        <v>42957</v>
      </c>
      <c r="B1578">
        <f>16.04</f>
        <v>16.04</v>
      </c>
      <c r="C1578">
        <f>18.9131</f>
        <v>18.9131</v>
      </c>
      <c r="D1578">
        <f>13.9</f>
        <v>13.9</v>
      </c>
      <c r="E1578">
        <f>13.64</f>
        <v>13.64</v>
      </c>
    </row>
    <row r="1579" spans="1:5" x14ac:dyDescent="0.2">
      <c r="A1579" s="1">
        <v>42956</v>
      </c>
      <c r="B1579">
        <f>11.11</f>
        <v>11.11</v>
      </c>
      <c r="C1579">
        <f>15.0152</f>
        <v>15.0152</v>
      </c>
      <c r="D1579">
        <f>10.94</f>
        <v>10.94</v>
      </c>
      <c r="E1579" t="e">
        <f>NA()</f>
        <v>#N/A</v>
      </c>
    </row>
    <row r="1580" spans="1:5" x14ac:dyDescent="0.2">
      <c r="A1580" s="1">
        <v>42955</v>
      </c>
      <c r="B1580">
        <f>10.96</f>
        <v>10.96</v>
      </c>
      <c r="C1580">
        <f>12.7883</f>
        <v>12.7883</v>
      </c>
      <c r="D1580">
        <f>9.58</f>
        <v>9.58</v>
      </c>
      <c r="E1580">
        <f>12.41</f>
        <v>12.41</v>
      </c>
    </row>
    <row r="1581" spans="1:5" x14ac:dyDescent="0.2">
      <c r="A1581" s="1">
        <v>42954</v>
      </c>
      <c r="B1581">
        <f>9.93</f>
        <v>9.93</v>
      </c>
      <c r="C1581">
        <f>13.1992</f>
        <v>13.199199999999999</v>
      </c>
      <c r="D1581">
        <f>10.03</f>
        <v>10.029999999999999</v>
      </c>
      <c r="E1581">
        <f>14.69</f>
        <v>14.69</v>
      </c>
    </row>
    <row r="1582" spans="1:5" x14ac:dyDescent="0.2">
      <c r="A1582" s="1">
        <v>42951</v>
      </c>
      <c r="B1582">
        <f>10.03</f>
        <v>10.029999999999999</v>
      </c>
      <c r="C1582">
        <f>13.0654</f>
        <v>13.0654</v>
      </c>
      <c r="D1582">
        <f>9.98</f>
        <v>9.98</v>
      </c>
      <c r="E1582">
        <f>14.51</f>
        <v>14.51</v>
      </c>
    </row>
    <row r="1583" spans="1:5" x14ac:dyDescent="0.2">
      <c r="A1583" s="1">
        <v>42950</v>
      </c>
      <c r="B1583">
        <f>10.44</f>
        <v>10.44</v>
      </c>
      <c r="C1583">
        <f>13.7302</f>
        <v>13.7302</v>
      </c>
      <c r="D1583">
        <f>10.16</f>
        <v>10.16</v>
      </c>
      <c r="E1583">
        <f>14.49</f>
        <v>14.49</v>
      </c>
    </row>
    <row r="1584" spans="1:5" x14ac:dyDescent="0.2">
      <c r="A1584" s="1">
        <v>42949</v>
      </c>
      <c r="B1584">
        <f>10.28</f>
        <v>10.28</v>
      </c>
      <c r="C1584">
        <f>13.7531</f>
        <v>13.7531</v>
      </c>
      <c r="D1584">
        <f>10.62</f>
        <v>10.62</v>
      </c>
      <c r="E1584">
        <f>14.18</f>
        <v>14.18</v>
      </c>
    </row>
    <row r="1585" spans="1:5" x14ac:dyDescent="0.2">
      <c r="A1585" s="1">
        <v>42948</v>
      </c>
      <c r="B1585">
        <f>10.09</f>
        <v>10.09</v>
      </c>
      <c r="C1585">
        <f>13.4724</f>
        <v>13.4724</v>
      </c>
      <c r="D1585">
        <f>10.59</f>
        <v>10.59</v>
      </c>
      <c r="E1585">
        <f>14.02</f>
        <v>14.02</v>
      </c>
    </row>
    <row r="1586" spans="1:5" x14ac:dyDescent="0.2">
      <c r="A1586" s="1">
        <v>42947</v>
      </c>
      <c r="B1586">
        <f>10.26</f>
        <v>10.26</v>
      </c>
      <c r="C1586">
        <f>13.9033</f>
        <v>13.9033</v>
      </c>
      <c r="D1586">
        <f>11.14</f>
        <v>11.14</v>
      </c>
      <c r="E1586">
        <f>14.74</f>
        <v>14.74</v>
      </c>
    </row>
    <row r="1587" spans="1:5" x14ac:dyDescent="0.2">
      <c r="A1587" s="1">
        <v>42944</v>
      </c>
      <c r="B1587">
        <f>10.29</f>
        <v>10.29</v>
      </c>
      <c r="C1587">
        <f>13.7331</f>
        <v>13.7331</v>
      </c>
      <c r="D1587">
        <f>10.76</f>
        <v>10.76</v>
      </c>
      <c r="E1587">
        <f>14.66</f>
        <v>14.66</v>
      </c>
    </row>
    <row r="1588" spans="1:5" x14ac:dyDescent="0.2">
      <c r="A1588" s="1">
        <v>42943</v>
      </c>
      <c r="B1588">
        <f>10.11</f>
        <v>10.11</v>
      </c>
      <c r="C1588">
        <f>12.7697</f>
        <v>12.7697</v>
      </c>
      <c r="D1588">
        <f>10.07</f>
        <v>10.07</v>
      </c>
      <c r="E1588">
        <f>16.74</f>
        <v>16.739999999999998</v>
      </c>
    </row>
    <row r="1589" spans="1:5" x14ac:dyDescent="0.2">
      <c r="A1589" s="1">
        <v>42942</v>
      </c>
      <c r="B1589">
        <f>9.6</f>
        <v>9.6</v>
      </c>
      <c r="C1589">
        <f>12.9971</f>
        <v>12.9971</v>
      </c>
      <c r="D1589">
        <f>9.96</f>
        <v>9.9600000000000009</v>
      </c>
      <c r="E1589">
        <f>16.67</f>
        <v>16.670000000000002</v>
      </c>
    </row>
    <row r="1590" spans="1:5" x14ac:dyDescent="0.2">
      <c r="A1590" s="1">
        <v>42941</v>
      </c>
      <c r="B1590">
        <f>9.43</f>
        <v>9.43</v>
      </c>
      <c r="C1590">
        <f>13.6357</f>
        <v>13.6357</v>
      </c>
      <c r="D1590">
        <f>10.55</f>
        <v>10.55</v>
      </c>
      <c r="E1590">
        <f>16.86</f>
        <v>16.86</v>
      </c>
    </row>
    <row r="1591" spans="1:5" x14ac:dyDescent="0.2">
      <c r="A1591" s="1">
        <v>42940</v>
      </c>
      <c r="B1591">
        <f>9.43</f>
        <v>9.43</v>
      </c>
      <c r="C1591">
        <f>15.0827</f>
        <v>15.082700000000001</v>
      </c>
      <c r="D1591">
        <f>11.42</f>
        <v>11.42</v>
      </c>
      <c r="E1591">
        <f>16.79</f>
        <v>16.79</v>
      </c>
    </row>
    <row r="1592" spans="1:5" x14ac:dyDescent="0.2">
      <c r="A1592" s="1">
        <v>42937</v>
      </c>
      <c r="B1592">
        <f>9.36</f>
        <v>9.36</v>
      </c>
      <c r="C1592">
        <f>15.3262</f>
        <v>15.3262</v>
      </c>
      <c r="D1592">
        <f>10.66</f>
        <v>10.66</v>
      </c>
      <c r="E1592">
        <f>16.58</f>
        <v>16.579999999999998</v>
      </c>
    </row>
    <row r="1593" spans="1:5" x14ac:dyDescent="0.2">
      <c r="A1593" s="1">
        <v>42936</v>
      </c>
      <c r="B1593">
        <f>9.58</f>
        <v>9.58</v>
      </c>
      <c r="C1593">
        <f>13.0879</f>
        <v>13.087899999999999</v>
      </c>
      <c r="D1593">
        <f>10.15</f>
        <v>10.15</v>
      </c>
      <c r="E1593">
        <f>16.51</f>
        <v>16.510000000000002</v>
      </c>
    </row>
    <row r="1594" spans="1:5" x14ac:dyDescent="0.2">
      <c r="A1594" s="1">
        <v>42935</v>
      </c>
      <c r="B1594">
        <f>9.79</f>
        <v>9.7899999999999991</v>
      </c>
      <c r="C1594">
        <f>13.2685</f>
        <v>13.2685</v>
      </c>
      <c r="D1594">
        <f>10.38</f>
        <v>10.38</v>
      </c>
      <c r="E1594">
        <f>16.28</f>
        <v>16.28</v>
      </c>
    </row>
    <row r="1595" spans="1:5" x14ac:dyDescent="0.2">
      <c r="A1595" s="1">
        <v>42934</v>
      </c>
      <c r="B1595">
        <f>9.89</f>
        <v>9.89</v>
      </c>
      <c r="C1595">
        <f>13.6841</f>
        <v>13.684100000000001</v>
      </c>
      <c r="D1595">
        <f>10.66</f>
        <v>10.66</v>
      </c>
      <c r="E1595">
        <f>16.58</f>
        <v>16.579999999999998</v>
      </c>
    </row>
    <row r="1596" spans="1:5" x14ac:dyDescent="0.2">
      <c r="A1596" s="1">
        <v>42933</v>
      </c>
      <c r="B1596">
        <f>9.82</f>
        <v>9.82</v>
      </c>
      <c r="C1596">
        <f>12.6334</f>
        <v>12.6334</v>
      </c>
      <c r="D1596">
        <f>10.18</f>
        <v>10.18</v>
      </c>
      <c r="E1596">
        <f>16.11</f>
        <v>16.11</v>
      </c>
    </row>
    <row r="1597" spans="1:5" x14ac:dyDescent="0.2">
      <c r="A1597" s="1">
        <v>42930</v>
      </c>
      <c r="B1597">
        <f>9.51</f>
        <v>9.51</v>
      </c>
      <c r="C1597">
        <f>12.6504</f>
        <v>12.650399999999999</v>
      </c>
      <c r="D1597">
        <f>10.17</f>
        <v>10.17</v>
      </c>
      <c r="E1597">
        <f>15.78</f>
        <v>15.78</v>
      </c>
    </row>
    <row r="1598" spans="1:5" x14ac:dyDescent="0.2">
      <c r="A1598" s="1">
        <v>42929</v>
      </c>
      <c r="B1598">
        <f>9.9</f>
        <v>9.9</v>
      </c>
      <c r="C1598">
        <f>13.1228</f>
        <v>13.1228</v>
      </c>
      <c r="D1598">
        <f>10.01</f>
        <v>10.01</v>
      </c>
      <c r="E1598">
        <f>15.71</f>
        <v>15.71</v>
      </c>
    </row>
    <row r="1599" spans="1:5" x14ac:dyDescent="0.2">
      <c r="A1599" s="1">
        <v>42928</v>
      </c>
      <c r="B1599">
        <f>10.3</f>
        <v>10.3</v>
      </c>
      <c r="C1599">
        <f>13.7485</f>
        <v>13.7485</v>
      </c>
      <c r="D1599">
        <f>10.56</f>
        <v>10.56</v>
      </c>
      <c r="E1599">
        <f>15.9</f>
        <v>15.9</v>
      </c>
    </row>
    <row r="1600" spans="1:5" x14ac:dyDescent="0.2">
      <c r="A1600" s="1">
        <v>42927</v>
      </c>
      <c r="B1600">
        <f>10.89</f>
        <v>10.89</v>
      </c>
      <c r="C1600">
        <f>14.7732</f>
        <v>14.773199999999999</v>
      </c>
      <c r="D1600">
        <f>11.45</f>
        <v>11.45</v>
      </c>
      <c r="E1600">
        <f>16.09</f>
        <v>16.09</v>
      </c>
    </row>
    <row r="1601" spans="1:5" x14ac:dyDescent="0.2">
      <c r="A1601" s="1">
        <v>42926</v>
      </c>
      <c r="B1601">
        <f>11.11</f>
        <v>11.11</v>
      </c>
      <c r="C1601">
        <f>14.783</f>
        <v>14.782999999999999</v>
      </c>
      <c r="D1601">
        <f>11.72</f>
        <v>11.72</v>
      </c>
      <c r="E1601">
        <f>16.02</f>
        <v>16.02</v>
      </c>
    </row>
    <row r="1602" spans="1:5" x14ac:dyDescent="0.2">
      <c r="A1602" s="1">
        <v>42923</v>
      </c>
      <c r="B1602">
        <f>11.19</f>
        <v>11.19</v>
      </c>
      <c r="C1602">
        <f>15.1824</f>
        <v>15.182399999999999</v>
      </c>
      <c r="D1602">
        <f>12.15</f>
        <v>12.15</v>
      </c>
      <c r="E1602">
        <f>15.8</f>
        <v>15.8</v>
      </c>
    </row>
    <row r="1603" spans="1:5" x14ac:dyDescent="0.2">
      <c r="A1603" s="1">
        <v>42922</v>
      </c>
      <c r="B1603">
        <f>12.54</f>
        <v>12.54</v>
      </c>
      <c r="C1603">
        <f>15.4722</f>
        <v>15.472200000000001</v>
      </c>
      <c r="D1603">
        <f>12.28</f>
        <v>12.28</v>
      </c>
      <c r="E1603" t="e">
        <f>NA()</f>
        <v>#N/A</v>
      </c>
    </row>
    <row r="1604" spans="1:5" x14ac:dyDescent="0.2">
      <c r="A1604" s="1">
        <v>42921</v>
      </c>
      <c r="B1604">
        <f>11.07</f>
        <v>11.07</v>
      </c>
      <c r="C1604">
        <f>14.7011</f>
        <v>14.7011</v>
      </c>
      <c r="D1604">
        <f>11.31</f>
        <v>11.31</v>
      </c>
      <c r="E1604">
        <f>15.3</f>
        <v>15.3</v>
      </c>
    </row>
    <row r="1605" spans="1:5" x14ac:dyDescent="0.2">
      <c r="A1605" s="1">
        <v>42920</v>
      </c>
      <c r="B1605" t="e">
        <f>NA()</f>
        <v>#N/A</v>
      </c>
      <c r="C1605">
        <f>14.3929</f>
        <v>14.392899999999999</v>
      </c>
      <c r="D1605">
        <f>11.13</f>
        <v>11.13</v>
      </c>
      <c r="E1605">
        <f>15.48</f>
        <v>15.48</v>
      </c>
    </row>
    <row r="1606" spans="1:5" x14ac:dyDescent="0.2">
      <c r="A1606" s="1">
        <v>42919</v>
      </c>
      <c r="B1606">
        <f>11.22</f>
        <v>11.22</v>
      </c>
      <c r="C1606">
        <f>14.4888</f>
        <v>14.488799999999999</v>
      </c>
      <c r="D1606">
        <f>11.4</f>
        <v>11.4</v>
      </c>
      <c r="E1606">
        <f>15.41</f>
        <v>15.41</v>
      </c>
    </row>
    <row r="1607" spans="1:5" x14ac:dyDescent="0.2">
      <c r="A1607" s="1">
        <v>42916</v>
      </c>
      <c r="B1607">
        <f>11.18</f>
        <v>11.18</v>
      </c>
      <c r="C1607">
        <f>17.2533</f>
        <v>17.253299999999999</v>
      </c>
      <c r="D1607">
        <f>13.3</f>
        <v>13.3</v>
      </c>
      <c r="E1607">
        <f>15.43</f>
        <v>15.43</v>
      </c>
    </row>
    <row r="1608" spans="1:5" x14ac:dyDescent="0.2">
      <c r="A1608" s="1">
        <v>42915</v>
      </c>
      <c r="B1608">
        <f>11.44</f>
        <v>11.44</v>
      </c>
      <c r="C1608">
        <f>17.6032</f>
        <v>17.603200000000001</v>
      </c>
      <c r="D1608">
        <f>13.1</f>
        <v>13.1</v>
      </c>
      <c r="E1608">
        <f>15.35</f>
        <v>15.35</v>
      </c>
    </row>
    <row r="1609" spans="1:5" x14ac:dyDescent="0.2">
      <c r="A1609" s="1">
        <v>42914</v>
      </c>
      <c r="B1609">
        <f>10.03</f>
        <v>10.029999999999999</v>
      </c>
      <c r="C1609">
        <f>14.8525</f>
        <v>14.852499999999999</v>
      </c>
      <c r="D1609">
        <f>11.73</f>
        <v>11.73</v>
      </c>
      <c r="E1609">
        <f>15.01</f>
        <v>15.01</v>
      </c>
    </row>
    <row r="1610" spans="1:5" x14ac:dyDescent="0.2">
      <c r="A1610" s="1">
        <v>42913</v>
      </c>
      <c r="B1610">
        <f>11.06</f>
        <v>11.06</v>
      </c>
      <c r="C1610">
        <f>14.7743</f>
        <v>14.7743</v>
      </c>
      <c r="D1610">
        <f>11.28</f>
        <v>11.28</v>
      </c>
      <c r="E1610">
        <f>14.89</f>
        <v>14.89</v>
      </c>
    </row>
    <row r="1611" spans="1:5" x14ac:dyDescent="0.2">
      <c r="A1611" s="1">
        <v>42912</v>
      </c>
      <c r="B1611">
        <f>9.9</f>
        <v>9.9</v>
      </c>
      <c r="C1611">
        <f>13.6567</f>
        <v>13.656700000000001</v>
      </c>
      <c r="D1611">
        <f>10.99</f>
        <v>10.99</v>
      </c>
      <c r="E1611">
        <f>14.81</f>
        <v>14.81</v>
      </c>
    </row>
    <row r="1612" spans="1:5" x14ac:dyDescent="0.2">
      <c r="A1612" s="1">
        <v>42909</v>
      </c>
      <c r="B1612">
        <f>10.02</f>
        <v>10.02</v>
      </c>
      <c r="C1612">
        <f>14.2214</f>
        <v>14.221399999999999</v>
      </c>
      <c r="D1612">
        <f>11.4</f>
        <v>11.4</v>
      </c>
      <c r="E1612">
        <f>14.56</f>
        <v>14.56</v>
      </c>
    </row>
    <row r="1613" spans="1:5" x14ac:dyDescent="0.2">
      <c r="A1613" s="1">
        <v>42908</v>
      </c>
      <c r="B1613">
        <f>10.48</f>
        <v>10.48</v>
      </c>
      <c r="C1613">
        <f>14.0328</f>
        <v>14.0328</v>
      </c>
      <c r="D1613">
        <f>11.67</f>
        <v>11.67</v>
      </c>
      <c r="E1613">
        <f>15.27</f>
        <v>15.27</v>
      </c>
    </row>
    <row r="1614" spans="1:5" x14ac:dyDescent="0.2">
      <c r="A1614" s="1">
        <v>42907</v>
      </c>
      <c r="B1614">
        <f>10.75</f>
        <v>10.75</v>
      </c>
      <c r="C1614">
        <f>14.1788</f>
        <v>14.178800000000001</v>
      </c>
      <c r="D1614">
        <f>11.49</f>
        <v>11.49</v>
      </c>
      <c r="E1614">
        <f>14.93</f>
        <v>14.93</v>
      </c>
    </row>
    <row r="1615" spans="1:5" x14ac:dyDescent="0.2">
      <c r="A1615" s="1">
        <v>42906</v>
      </c>
      <c r="B1615">
        <f>10.86</f>
        <v>10.86</v>
      </c>
      <c r="C1615">
        <f>14.0291</f>
        <v>14.0291</v>
      </c>
      <c r="D1615">
        <f>10.78</f>
        <v>10.78</v>
      </c>
      <c r="E1615">
        <f>14.85</f>
        <v>14.85</v>
      </c>
    </row>
    <row r="1616" spans="1:5" x14ac:dyDescent="0.2">
      <c r="A1616" s="1">
        <v>42905</v>
      </c>
      <c r="B1616">
        <f>10.37</f>
        <v>10.37</v>
      </c>
      <c r="C1616">
        <f>13.0325</f>
        <v>13.032500000000001</v>
      </c>
      <c r="D1616">
        <f>10.06</f>
        <v>10.06</v>
      </c>
      <c r="E1616">
        <f>14.52</f>
        <v>14.52</v>
      </c>
    </row>
    <row r="1617" spans="1:5" x14ac:dyDescent="0.2">
      <c r="A1617" s="1">
        <v>42902</v>
      </c>
      <c r="B1617">
        <f>10.38</f>
        <v>10.38</v>
      </c>
      <c r="C1617">
        <f>13.7442</f>
        <v>13.744199999999999</v>
      </c>
      <c r="D1617">
        <f>10.82</f>
        <v>10.82</v>
      </c>
      <c r="E1617" t="e">
        <f>NA()</f>
        <v>#N/A</v>
      </c>
    </row>
    <row r="1618" spans="1:5" x14ac:dyDescent="0.2">
      <c r="A1618" s="1">
        <v>42901</v>
      </c>
      <c r="B1618">
        <f>10.9</f>
        <v>10.9</v>
      </c>
      <c r="C1618">
        <f>14.9445</f>
        <v>14.9445</v>
      </c>
      <c r="D1618">
        <f>11.27</f>
        <v>11.27</v>
      </c>
      <c r="E1618">
        <f>15.07</f>
        <v>15.07</v>
      </c>
    </row>
    <row r="1619" spans="1:5" x14ac:dyDescent="0.2">
      <c r="A1619" s="1">
        <v>42900</v>
      </c>
      <c r="B1619">
        <f>10.64</f>
        <v>10.64</v>
      </c>
      <c r="C1619">
        <f>13.9464</f>
        <v>13.946400000000001</v>
      </c>
      <c r="D1619">
        <f>10.31</f>
        <v>10.31</v>
      </c>
      <c r="E1619">
        <f>14.81</f>
        <v>14.81</v>
      </c>
    </row>
    <row r="1620" spans="1:5" x14ac:dyDescent="0.2">
      <c r="A1620" s="1">
        <v>42899</v>
      </c>
      <c r="B1620">
        <f>10.42</f>
        <v>10.42</v>
      </c>
      <c r="C1620">
        <f>13.5587</f>
        <v>13.5587</v>
      </c>
      <c r="D1620">
        <f>10.34</f>
        <v>10.34</v>
      </c>
      <c r="E1620">
        <f>14.81</f>
        <v>14.81</v>
      </c>
    </row>
    <row r="1621" spans="1:5" x14ac:dyDescent="0.2">
      <c r="A1621" s="1">
        <v>42898</v>
      </c>
      <c r="B1621">
        <f>11.46</f>
        <v>11.46</v>
      </c>
      <c r="C1621">
        <f>14.5102</f>
        <v>14.510199999999999</v>
      </c>
      <c r="D1621">
        <f>10.7</f>
        <v>10.7</v>
      </c>
      <c r="E1621">
        <f>14.81</f>
        <v>14.81</v>
      </c>
    </row>
    <row r="1622" spans="1:5" x14ac:dyDescent="0.2">
      <c r="A1622" s="1">
        <v>42895</v>
      </c>
      <c r="B1622">
        <f>10.7</f>
        <v>10.7</v>
      </c>
      <c r="C1622">
        <f>13.3926</f>
        <v>13.3926</v>
      </c>
      <c r="D1622">
        <f>9.65</f>
        <v>9.65</v>
      </c>
      <c r="E1622">
        <f>14.29</f>
        <v>14.29</v>
      </c>
    </row>
    <row r="1623" spans="1:5" x14ac:dyDescent="0.2">
      <c r="A1623" s="1">
        <v>42894</v>
      </c>
      <c r="B1623">
        <f>10.16</f>
        <v>10.16</v>
      </c>
      <c r="C1623">
        <f>14.0799</f>
        <v>14.0799</v>
      </c>
      <c r="D1623">
        <f>10.93</f>
        <v>10.93</v>
      </c>
      <c r="E1623">
        <f>14.04</f>
        <v>14.04</v>
      </c>
    </row>
    <row r="1624" spans="1:5" x14ac:dyDescent="0.2">
      <c r="A1624" s="1">
        <v>42893</v>
      </c>
      <c r="B1624">
        <f>10.39</f>
        <v>10.39</v>
      </c>
      <c r="C1624">
        <f>14.6073</f>
        <v>14.6073</v>
      </c>
      <c r="D1624">
        <f>12.03</f>
        <v>12.03</v>
      </c>
      <c r="E1624">
        <f>14.04</f>
        <v>14.04</v>
      </c>
    </row>
    <row r="1625" spans="1:5" x14ac:dyDescent="0.2">
      <c r="A1625" s="1">
        <v>42892</v>
      </c>
      <c r="B1625">
        <f>10.45</f>
        <v>10.45</v>
      </c>
      <c r="C1625">
        <f>14.3862</f>
        <v>14.386200000000001</v>
      </c>
      <c r="D1625">
        <f>12.15</f>
        <v>12.15</v>
      </c>
      <c r="E1625">
        <f>14.06</f>
        <v>14.06</v>
      </c>
    </row>
    <row r="1626" spans="1:5" x14ac:dyDescent="0.2">
      <c r="A1626" s="1">
        <v>42891</v>
      </c>
      <c r="B1626">
        <f>10.07</f>
        <v>10.07</v>
      </c>
      <c r="C1626">
        <f>13.9431</f>
        <v>13.943099999999999</v>
      </c>
      <c r="D1626">
        <f>11.81</f>
        <v>11.81</v>
      </c>
      <c r="E1626">
        <f>15.03</f>
        <v>15.03</v>
      </c>
    </row>
    <row r="1627" spans="1:5" x14ac:dyDescent="0.2">
      <c r="A1627" s="1">
        <v>42888</v>
      </c>
      <c r="B1627">
        <f>9.75</f>
        <v>9.75</v>
      </c>
      <c r="C1627">
        <f>13.3345</f>
        <v>13.3345</v>
      </c>
      <c r="D1627">
        <f>11.5</f>
        <v>11.5</v>
      </c>
      <c r="E1627">
        <f>15</f>
        <v>15</v>
      </c>
    </row>
    <row r="1628" spans="1:5" x14ac:dyDescent="0.2">
      <c r="A1628" s="1">
        <v>42887</v>
      </c>
      <c r="B1628">
        <f>9.89</f>
        <v>9.89</v>
      </c>
      <c r="C1628">
        <f>13.6227</f>
        <v>13.6227</v>
      </c>
      <c r="D1628">
        <f>11.48</f>
        <v>11.48</v>
      </c>
      <c r="E1628">
        <f>15</f>
        <v>15</v>
      </c>
    </row>
    <row r="1629" spans="1:5" x14ac:dyDescent="0.2">
      <c r="A1629" s="1">
        <v>42886</v>
      </c>
      <c r="B1629">
        <f>10.41</f>
        <v>10.41</v>
      </c>
      <c r="C1629">
        <f>14.5538</f>
        <v>14.553800000000001</v>
      </c>
      <c r="D1629">
        <f>11.71</f>
        <v>11.71</v>
      </c>
      <c r="E1629">
        <f>14.47</f>
        <v>14.47</v>
      </c>
    </row>
    <row r="1630" spans="1:5" x14ac:dyDescent="0.2">
      <c r="A1630" s="1">
        <v>42885</v>
      </c>
      <c r="B1630">
        <f>10.38</f>
        <v>10.38</v>
      </c>
      <c r="C1630">
        <f>14.4715</f>
        <v>14.471500000000001</v>
      </c>
      <c r="D1630">
        <f>11.29</f>
        <v>11.29</v>
      </c>
      <c r="E1630">
        <f>14.2</f>
        <v>14.2</v>
      </c>
    </row>
    <row r="1631" spans="1:5" x14ac:dyDescent="0.2">
      <c r="A1631" s="1">
        <v>42884</v>
      </c>
      <c r="B1631" t="e">
        <f>NA()</f>
        <v>#N/A</v>
      </c>
      <c r="C1631">
        <f>14.1781</f>
        <v>14.178100000000001</v>
      </c>
      <c r="D1631" t="e">
        <f>NA()</f>
        <v>#N/A</v>
      </c>
      <c r="E1631">
        <f>14.2</f>
        <v>14.2</v>
      </c>
    </row>
    <row r="1632" spans="1:5" x14ac:dyDescent="0.2">
      <c r="A1632" s="1">
        <v>42881</v>
      </c>
      <c r="B1632">
        <f>9.81</f>
        <v>9.81</v>
      </c>
      <c r="C1632">
        <f>13.8547</f>
        <v>13.854699999999999</v>
      </c>
      <c r="D1632">
        <f>10.53</f>
        <v>10.53</v>
      </c>
      <c r="E1632">
        <f>14.17</f>
        <v>14.17</v>
      </c>
    </row>
    <row r="1633" spans="1:5" x14ac:dyDescent="0.2">
      <c r="A1633" s="1">
        <v>42880</v>
      </c>
      <c r="B1633">
        <f>9.99</f>
        <v>9.99</v>
      </c>
      <c r="C1633">
        <f>13.9599</f>
        <v>13.959899999999999</v>
      </c>
      <c r="D1633">
        <f>10.29</f>
        <v>10.29</v>
      </c>
      <c r="E1633">
        <f>14.15</f>
        <v>14.15</v>
      </c>
    </row>
    <row r="1634" spans="1:5" x14ac:dyDescent="0.2">
      <c r="A1634" s="1">
        <v>42879</v>
      </c>
      <c r="B1634">
        <f>10.02</f>
        <v>10.02</v>
      </c>
      <c r="C1634">
        <f>13.8757</f>
        <v>13.8757</v>
      </c>
      <c r="D1634">
        <f>10.45</f>
        <v>10.45</v>
      </c>
      <c r="E1634">
        <f>13.88</f>
        <v>13.88</v>
      </c>
    </row>
    <row r="1635" spans="1:5" x14ac:dyDescent="0.2">
      <c r="A1635" s="1">
        <v>42878</v>
      </c>
      <c r="B1635">
        <f>10.72</f>
        <v>10.72</v>
      </c>
      <c r="C1635">
        <f>13.8428</f>
        <v>13.8428</v>
      </c>
      <c r="D1635">
        <f>10.75</f>
        <v>10.75</v>
      </c>
      <c r="E1635">
        <f>13.61</f>
        <v>13.61</v>
      </c>
    </row>
    <row r="1636" spans="1:5" x14ac:dyDescent="0.2">
      <c r="A1636" s="1">
        <v>42877</v>
      </c>
      <c r="B1636">
        <f>10.93</f>
        <v>10.93</v>
      </c>
      <c r="C1636">
        <f>14.8259</f>
        <v>14.825900000000001</v>
      </c>
      <c r="D1636">
        <f>11.38</f>
        <v>11.38</v>
      </c>
      <c r="E1636">
        <f>13.6</f>
        <v>13.6</v>
      </c>
    </row>
    <row r="1637" spans="1:5" x14ac:dyDescent="0.2">
      <c r="A1637" s="1">
        <v>42874</v>
      </c>
      <c r="B1637">
        <f>12.04</f>
        <v>12.04</v>
      </c>
      <c r="C1637">
        <f>15.4679</f>
        <v>15.4679</v>
      </c>
      <c r="D1637">
        <f>11.83</f>
        <v>11.83</v>
      </c>
      <c r="E1637">
        <f>13.56</f>
        <v>13.56</v>
      </c>
    </row>
    <row r="1638" spans="1:5" x14ac:dyDescent="0.2">
      <c r="A1638" s="1">
        <v>42873</v>
      </c>
      <c r="B1638">
        <f>14.66</f>
        <v>14.66</v>
      </c>
      <c r="C1638">
        <f>17.0825</f>
        <v>17.0825</v>
      </c>
      <c r="D1638">
        <f>13.36</f>
        <v>13.36</v>
      </c>
      <c r="E1638">
        <f>13.57</f>
        <v>13.57</v>
      </c>
    </row>
    <row r="1639" spans="1:5" x14ac:dyDescent="0.2">
      <c r="A1639" s="1">
        <v>42872</v>
      </c>
      <c r="B1639">
        <f>15.59</f>
        <v>15.59</v>
      </c>
      <c r="C1639">
        <f>16.1438</f>
        <v>16.143799999999999</v>
      </c>
      <c r="D1639">
        <f>12.22</f>
        <v>12.22</v>
      </c>
      <c r="E1639">
        <f>13.79</f>
        <v>13.79</v>
      </c>
    </row>
    <row r="1640" spans="1:5" x14ac:dyDescent="0.2">
      <c r="A1640" s="1">
        <v>42871</v>
      </c>
      <c r="B1640">
        <f>10.65</f>
        <v>10.65</v>
      </c>
      <c r="C1640">
        <f>13.5401</f>
        <v>13.540100000000001</v>
      </c>
      <c r="D1640">
        <f>10.79</f>
        <v>10.79</v>
      </c>
      <c r="E1640">
        <f>13.77</f>
        <v>13.77</v>
      </c>
    </row>
    <row r="1641" spans="1:5" x14ac:dyDescent="0.2">
      <c r="A1641" s="1">
        <v>42870</v>
      </c>
      <c r="B1641">
        <f>10.42</f>
        <v>10.42</v>
      </c>
      <c r="C1641">
        <f>14.2041</f>
        <v>14.2041</v>
      </c>
      <c r="D1641">
        <f>10.52</f>
        <v>10.52</v>
      </c>
      <c r="E1641">
        <f>13.96</f>
        <v>13.96</v>
      </c>
    </row>
    <row r="1642" spans="1:5" x14ac:dyDescent="0.2">
      <c r="A1642" s="1">
        <v>42867</v>
      </c>
      <c r="B1642">
        <f>10.4</f>
        <v>10.4</v>
      </c>
      <c r="C1642">
        <f>13.8689</f>
        <v>13.8689</v>
      </c>
      <c r="D1642">
        <f>10.27</f>
        <v>10.27</v>
      </c>
      <c r="E1642">
        <f>13.9</f>
        <v>13.9</v>
      </c>
    </row>
    <row r="1643" spans="1:5" x14ac:dyDescent="0.2">
      <c r="A1643" s="1">
        <v>42866</v>
      </c>
      <c r="B1643">
        <f>10.6</f>
        <v>10.6</v>
      </c>
      <c r="C1643">
        <f>14.3491</f>
        <v>14.3491</v>
      </c>
      <c r="D1643">
        <f>10.4</f>
        <v>10.4</v>
      </c>
      <c r="E1643">
        <f>13.88</f>
        <v>13.88</v>
      </c>
    </row>
    <row r="1644" spans="1:5" x14ac:dyDescent="0.2">
      <c r="A1644" s="1">
        <v>42865</v>
      </c>
      <c r="B1644">
        <f>10.21</f>
        <v>10.210000000000001</v>
      </c>
      <c r="C1644">
        <f>14.0655</f>
        <v>14.0655</v>
      </c>
      <c r="D1644">
        <f>10.86</f>
        <v>10.86</v>
      </c>
      <c r="E1644">
        <f>14.28</f>
        <v>14.28</v>
      </c>
    </row>
    <row r="1645" spans="1:5" x14ac:dyDescent="0.2">
      <c r="A1645" s="1">
        <v>42864</v>
      </c>
      <c r="B1645">
        <f>9.96</f>
        <v>9.9600000000000009</v>
      </c>
      <c r="C1645">
        <f>14.0868</f>
        <v>14.0868</v>
      </c>
      <c r="D1645">
        <f>10.49</f>
        <v>10.49</v>
      </c>
      <c r="E1645">
        <f>14.26</f>
        <v>14.26</v>
      </c>
    </row>
    <row r="1646" spans="1:5" x14ac:dyDescent="0.2">
      <c r="A1646" s="1">
        <v>42863</v>
      </c>
      <c r="B1646">
        <f>9.77</f>
        <v>9.77</v>
      </c>
      <c r="C1646">
        <f>14.393</f>
        <v>14.393000000000001</v>
      </c>
      <c r="D1646">
        <f>10.85</f>
        <v>10.85</v>
      </c>
      <c r="E1646">
        <f>14.51</f>
        <v>14.51</v>
      </c>
    </row>
    <row r="1647" spans="1:5" x14ac:dyDescent="0.2">
      <c r="A1647" s="1">
        <v>42860</v>
      </c>
      <c r="B1647">
        <f>10.57</f>
        <v>10.57</v>
      </c>
      <c r="C1647">
        <f>17.0143</f>
        <v>17.014299999999999</v>
      </c>
      <c r="D1647">
        <f>11.2</f>
        <v>11.2</v>
      </c>
      <c r="E1647">
        <f>14.46</f>
        <v>14.46</v>
      </c>
    </row>
    <row r="1648" spans="1:5" x14ac:dyDescent="0.2">
      <c r="A1648" s="1">
        <v>42859</v>
      </c>
      <c r="B1648">
        <f>10.46</f>
        <v>10.46</v>
      </c>
      <c r="C1648">
        <f>16.4843</f>
        <v>16.484300000000001</v>
      </c>
      <c r="D1648">
        <f>11.21</f>
        <v>11.21</v>
      </c>
      <c r="E1648">
        <f>14.71</f>
        <v>14.71</v>
      </c>
    </row>
    <row r="1649" spans="1:5" x14ac:dyDescent="0.2">
      <c r="A1649" s="1">
        <v>42858</v>
      </c>
      <c r="B1649">
        <f>10.68</f>
        <v>10.68</v>
      </c>
      <c r="C1649">
        <f>17.3982</f>
        <v>17.398199999999999</v>
      </c>
      <c r="D1649">
        <f>12.12</f>
        <v>12.12</v>
      </c>
      <c r="E1649">
        <f>14.63</f>
        <v>14.63</v>
      </c>
    </row>
    <row r="1650" spans="1:5" x14ac:dyDescent="0.2">
      <c r="A1650" s="1">
        <v>42857</v>
      </c>
      <c r="B1650">
        <f>10.59</f>
        <v>10.59</v>
      </c>
      <c r="C1650">
        <f>17.2673</f>
        <v>17.267299999999999</v>
      </c>
      <c r="D1650">
        <f>11.8</f>
        <v>11.8</v>
      </c>
      <c r="E1650">
        <f>14.56</f>
        <v>14.56</v>
      </c>
    </row>
    <row r="1651" spans="1:5" x14ac:dyDescent="0.2">
      <c r="A1651" s="1">
        <v>42856</v>
      </c>
      <c r="B1651">
        <f>10.11</f>
        <v>10.11</v>
      </c>
      <c r="C1651" t="e">
        <f>NA()</f>
        <v>#N/A</v>
      </c>
      <c r="D1651" t="e">
        <f>NA()</f>
        <v>#N/A</v>
      </c>
      <c r="E1651" t="e">
        <f>NA()</f>
        <v>#N/A</v>
      </c>
    </row>
    <row r="1652" spans="1:5" x14ac:dyDescent="0.2">
      <c r="A1652" s="1">
        <v>42853</v>
      </c>
      <c r="B1652">
        <f>10.82</f>
        <v>10.82</v>
      </c>
      <c r="C1652">
        <f>17.0495</f>
        <v>17.049499999999998</v>
      </c>
      <c r="D1652">
        <f>11.4</f>
        <v>11.4</v>
      </c>
      <c r="E1652">
        <f>14.46</f>
        <v>14.46</v>
      </c>
    </row>
    <row r="1653" spans="1:5" x14ac:dyDescent="0.2">
      <c r="A1653" s="1">
        <v>42852</v>
      </c>
      <c r="B1653">
        <f>10.36</f>
        <v>10.36</v>
      </c>
      <c r="C1653">
        <f>16.107</f>
        <v>16.106999999999999</v>
      </c>
      <c r="D1653">
        <f>11.23</f>
        <v>11.23</v>
      </c>
      <c r="E1653" t="e">
        <f>NA()</f>
        <v>#N/A</v>
      </c>
    </row>
    <row r="1654" spans="1:5" x14ac:dyDescent="0.2">
      <c r="A1654" s="1">
        <v>42851</v>
      </c>
      <c r="B1654">
        <f>10.85</f>
        <v>10.85</v>
      </c>
      <c r="C1654">
        <f>15.584</f>
        <v>15.584</v>
      </c>
      <c r="D1654">
        <f>11.12</f>
        <v>11.12</v>
      </c>
      <c r="E1654">
        <f>14.41</f>
        <v>14.41</v>
      </c>
    </row>
    <row r="1655" spans="1:5" x14ac:dyDescent="0.2">
      <c r="A1655" s="1">
        <v>42850</v>
      </c>
      <c r="B1655">
        <f>10.76</f>
        <v>10.76</v>
      </c>
      <c r="C1655">
        <f>15.4196</f>
        <v>15.419600000000001</v>
      </c>
      <c r="D1655">
        <f>10.92</f>
        <v>10.92</v>
      </c>
      <c r="E1655">
        <f>14.65</f>
        <v>14.65</v>
      </c>
    </row>
    <row r="1656" spans="1:5" x14ac:dyDescent="0.2">
      <c r="A1656" s="1">
        <v>42849</v>
      </c>
      <c r="B1656">
        <f>10.84</f>
        <v>10.84</v>
      </c>
      <c r="C1656">
        <f>16.2463</f>
        <v>16.246300000000002</v>
      </c>
      <c r="D1656">
        <f>11.52</f>
        <v>11.52</v>
      </c>
      <c r="E1656">
        <f>15.33</f>
        <v>15.33</v>
      </c>
    </row>
    <row r="1657" spans="1:5" x14ac:dyDescent="0.2">
      <c r="A1657" s="1">
        <v>42846</v>
      </c>
      <c r="B1657">
        <f>14.63</f>
        <v>14.63</v>
      </c>
      <c r="C1657">
        <f>25.0928</f>
        <v>25.0928</v>
      </c>
      <c r="D1657">
        <f>15.99</f>
        <v>15.99</v>
      </c>
      <c r="E1657">
        <f>15.76</f>
        <v>15.76</v>
      </c>
    </row>
    <row r="1658" spans="1:5" x14ac:dyDescent="0.2">
      <c r="A1658" s="1">
        <v>42845</v>
      </c>
      <c r="B1658">
        <f>14.15</f>
        <v>14.15</v>
      </c>
      <c r="C1658">
        <f>24.8992</f>
        <v>24.8992</v>
      </c>
      <c r="D1658">
        <f>16.29</f>
        <v>16.29</v>
      </c>
      <c r="E1658">
        <f>15.46</f>
        <v>15.46</v>
      </c>
    </row>
    <row r="1659" spans="1:5" x14ac:dyDescent="0.2">
      <c r="A1659" s="1">
        <v>42844</v>
      </c>
      <c r="B1659">
        <f>14.93</f>
        <v>14.93</v>
      </c>
      <c r="C1659">
        <f>24.2021</f>
        <v>24.202100000000002</v>
      </c>
      <c r="D1659">
        <f>16.18</f>
        <v>16.18</v>
      </c>
      <c r="E1659">
        <f>15.82</f>
        <v>15.82</v>
      </c>
    </row>
    <row r="1660" spans="1:5" x14ac:dyDescent="0.2">
      <c r="A1660" s="1">
        <v>42843</v>
      </c>
      <c r="B1660">
        <f>14.42</f>
        <v>14.42</v>
      </c>
      <c r="C1660">
        <f>25.5942</f>
        <v>25.594200000000001</v>
      </c>
      <c r="D1660">
        <f>16.5</f>
        <v>16.5</v>
      </c>
      <c r="E1660">
        <f>15.82</f>
        <v>15.82</v>
      </c>
    </row>
    <row r="1661" spans="1:5" x14ac:dyDescent="0.2">
      <c r="A1661" s="1">
        <v>42842</v>
      </c>
      <c r="B1661">
        <f>14.66</f>
        <v>14.66</v>
      </c>
      <c r="C1661" t="e">
        <f>NA()</f>
        <v>#N/A</v>
      </c>
      <c r="D1661" t="e">
        <f>NA()</f>
        <v>#N/A</v>
      </c>
      <c r="E1661" t="e">
        <f>NA()</f>
        <v>#N/A</v>
      </c>
    </row>
    <row r="1662" spans="1:5" x14ac:dyDescent="0.2">
      <c r="A1662" s="1">
        <v>42838</v>
      </c>
      <c r="B1662">
        <f>15.96</f>
        <v>15.96</v>
      </c>
      <c r="C1662">
        <f>23.3883</f>
        <v>23.388300000000001</v>
      </c>
      <c r="D1662">
        <f>14.45</f>
        <v>14.45</v>
      </c>
      <c r="E1662">
        <f>15.11</f>
        <v>15.11</v>
      </c>
    </row>
    <row r="1663" spans="1:5" x14ac:dyDescent="0.2">
      <c r="A1663" s="1">
        <v>42837</v>
      </c>
      <c r="B1663">
        <f>15.77</f>
        <v>15.77</v>
      </c>
      <c r="C1663">
        <f>22.7155</f>
        <v>22.715499999999999</v>
      </c>
      <c r="D1663">
        <f>14.28</f>
        <v>14.28</v>
      </c>
      <c r="E1663">
        <f>15.3</f>
        <v>15.3</v>
      </c>
    </row>
    <row r="1664" spans="1:5" x14ac:dyDescent="0.2">
      <c r="A1664" s="1">
        <v>42836</v>
      </c>
      <c r="B1664">
        <f>15.07</f>
        <v>15.07</v>
      </c>
      <c r="C1664">
        <f>22.9518</f>
        <v>22.951799999999999</v>
      </c>
      <c r="D1664">
        <f>14.5</f>
        <v>14.5</v>
      </c>
      <c r="E1664">
        <f>15.52</f>
        <v>15.52</v>
      </c>
    </row>
    <row r="1665" spans="1:5" x14ac:dyDescent="0.2">
      <c r="A1665" s="1">
        <v>42835</v>
      </c>
      <c r="B1665">
        <f>14.05</f>
        <v>14.05</v>
      </c>
      <c r="C1665">
        <f>22.0934</f>
        <v>22.093399999999999</v>
      </c>
      <c r="D1665">
        <f>14.03</f>
        <v>14.03</v>
      </c>
      <c r="E1665">
        <f>15.77</f>
        <v>15.77</v>
      </c>
    </row>
    <row r="1666" spans="1:5" x14ac:dyDescent="0.2">
      <c r="A1666" s="1">
        <v>42832</v>
      </c>
      <c r="B1666">
        <f>12.87</f>
        <v>12.87</v>
      </c>
      <c r="C1666">
        <f>19.5373</f>
        <v>19.537299999999998</v>
      </c>
      <c r="D1666">
        <f>12.68</f>
        <v>12.68</v>
      </c>
      <c r="E1666">
        <f>16.09</f>
        <v>16.09</v>
      </c>
    </row>
    <row r="1667" spans="1:5" x14ac:dyDescent="0.2">
      <c r="A1667" s="1">
        <v>42831</v>
      </c>
      <c r="B1667">
        <f>12.39</f>
        <v>12.39</v>
      </c>
      <c r="C1667">
        <f>18.8703</f>
        <v>18.8703</v>
      </c>
      <c r="D1667">
        <f>12.9</f>
        <v>12.9</v>
      </c>
      <c r="E1667">
        <f>16.18</f>
        <v>16.18</v>
      </c>
    </row>
    <row r="1668" spans="1:5" x14ac:dyDescent="0.2">
      <c r="A1668" s="1">
        <v>42830</v>
      </c>
      <c r="B1668">
        <f>12.89</f>
        <v>12.89</v>
      </c>
      <c r="C1668">
        <f>18.5205</f>
        <v>18.520499999999998</v>
      </c>
      <c r="D1668">
        <f>12.32</f>
        <v>12.32</v>
      </c>
      <c r="E1668">
        <f>16.31</f>
        <v>16.309999999999999</v>
      </c>
    </row>
    <row r="1669" spans="1:5" x14ac:dyDescent="0.2">
      <c r="A1669" s="1">
        <v>42829</v>
      </c>
      <c r="B1669">
        <f>11.79</f>
        <v>11.79</v>
      </c>
      <c r="C1669">
        <f>18.005</f>
        <v>18.004999999999999</v>
      </c>
      <c r="D1669">
        <f>12.52</f>
        <v>12.52</v>
      </c>
      <c r="E1669">
        <f>16.55</f>
        <v>16.55</v>
      </c>
    </row>
    <row r="1670" spans="1:5" x14ac:dyDescent="0.2">
      <c r="A1670" s="1">
        <v>42828</v>
      </c>
      <c r="B1670">
        <f>12.38</f>
        <v>12.38</v>
      </c>
      <c r="C1670">
        <f>17.9597</f>
        <v>17.959700000000002</v>
      </c>
      <c r="D1670">
        <f>12.67</f>
        <v>12.67</v>
      </c>
      <c r="E1670">
        <f>16.52</f>
        <v>16.52</v>
      </c>
    </row>
    <row r="1671" spans="1:5" x14ac:dyDescent="0.2">
      <c r="A1671" s="1">
        <v>42825</v>
      </c>
      <c r="B1671">
        <f>12.37</f>
        <v>12.37</v>
      </c>
      <c r="C1671">
        <f>16.5221</f>
        <v>16.522099999999998</v>
      </c>
      <c r="D1671">
        <f>11.8</f>
        <v>11.8</v>
      </c>
      <c r="E1671">
        <f>16.72</f>
        <v>16.72</v>
      </c>
    </row>
    <row r="1672" spans="1:5" x14ac:dyDescent="0.2">
      <c r="A1672" s="1">
        <v>42824</v>
      </c>
      <c r="B1672">
        <f>11.54</f>
        <v>11.54</v>
      </c>
      <c r="C1672">
        <f>16.1041</f>
        <v>16.104099999999999</v>
      </c>
      <c r="D1672">
        <f>11.62</f>
        <v>11.62</v>
      </c>
      <c r="E1672">
        <f>16.69</f>
        <v>16.690000000000001</v>
      </c>
    </row>
    <row r="1673" spans="1:5" x14ac:dyDescent="0.2">
      <c r="A1673" s="1">
        <v>42823</v>
      </c>
      <c r="B1673">
        <f>11.42</f>
        <v>11.42</v>
      </c>
      <c r="C1673">
        <f>15.9304</f>
        <v>15.930400000000001</v>
      </c>
      <c r="D1673">
        <f>11.86</f>
        <v>11.86</v>
      </c>
      <c r="E1673">
        <f>16.67</f>
        <v>16.670000000000002</v>
      </c>
    </row>
    <row r="1674" spans="1:5" x14ac:dyDescent="0.2">
      <c r="A1674" s="1">
        <v>42822</v>
      </c>
      <c r="B1674">
        <f>11.53</f>
        <v>11.53</v>
      </c>
      <c r="C1674">
        <f>15.8635</f>
        <v>15.8635</v>
      </c>
      <c r="D1674">
        <f>12.36</f>
        <v>12.36</v>
      </c>
      <c r="E1674">
        <f>16.71</f>
        <v>16.71</v>
      </c>
    </row>
    <row r="1675" spans="1:5" x14ac:dyDescent="0.2">
      <c r="A1675" s="1">
        <v>42821</v>
      </c>
      <c r="B1675">
        <f>12.5</f>
        <v>12.5</v>
      </c>
      <c r="C1675">
        <f>16.3493</f>
        <v>16.349299999999999</v>
      </c>
      <c r="D1675">
        <f>13.48</f>
        <v>13.48</v>
      </c>
      <c r="E1675">
        <f>16.94</f>
        <v>16.940000000000001</v>
      </c>
    </row>
    <row r="1676" spans="1:5" x14ac:dyDescent="0.2">
      <c r="A1676" s="1">
        <v>42818</v>
      </c>
      <c r="B1676">
        <f>12.96</f>
        <v>12.96</v>
      </c>
      <c r="C1676">
        <f>15.1975</f>
        <v>15.1975</v>
      </c>
      <c r="D1676">
        <f>12.53</f>
        <v>12.53</v>
      </c>
      <c r="E1676">
        <f>16.93</f>
        <v>16.93</v>
      </c>
    </row>
    <row r="1677" spans="1:5" x14ac:dyDescent="0.2">
      <c r="A1677" s="1">
        <v>42817</v>
      </c>
      <c r="B1677">
        <f>13.12</f>
        <v>13.12</v>
      </c>
      <c r="C1677">
        <f>15.0982</f>
        <v>15.0982</v>
      </c>
      <c r="D1677">
        <f>11.98</f>
        <v>11.98</v>
      </c>
      <c r="E1677">
        <f>17.84</f>
        <v>17.84</v>
      </c>
    </row>
    <row r="1678" spans="1:5" x14ac:dyDescent="0.2">
      <c r="A1678" s="1">
        <v>42816</v>
      </c>
      <c r="B1678">
        <f>12.81</f>
        <v>12.81</v>
      </c>
      <c r="C1678">
        <f>14.5148</f>
        <v>14.514799999999999</v>
      </c>
      <c r="D1678">
        <f>11.61</f>
        <v>11.61</v>
      </c>
      <c r="E1678">
        <f>17.81</f>
        <v>17.809999999999999</v>
      </c>
    </row>
    <row r="1679" spans="1:5" x14ac:dyDescent="0.2">
      <c r="A1679" s="1">
        <v>42815</v>
      </c>
      <c r="B1679">
        <f>12.47</f>
        <v>12.47</v>
      </c>
      <c r="C1679">
        <f>13.7745</f>
        <v>13.7745</v>
      </c>
      <c r="D1679">
        <f>10.43</f>
        <v>10.43</v>
      </c>
      <c r="E1679" t="e">
        <f>NA()</f>
        <v>#N/A</v>
      </c>
    </row>
    <row r="1680" spans="1:5" x14ac:dyDescent="0.2">
      <c r="A1680" s="1">
        <v>42814</v>
      </c>
      <c r="B1680">
        <f>11.34</f>
        <v>11.34</v>
      </c>
      <c r="C1680">
        <f>13.0797</f>
        <v>13.079700000000001</v>
      </c>
      <c r="D1680">
        <f>9.89</f>
        <v>9.89</v>
      </c>
      <c r="E1680">
        <f>17.47</f>
        <v>17.47</v>
      </c>
    </row>
    <row r="1681" spans="1:5" x14ac:dyDescent="0.2">
      <c r="A1681" s="1">
        <v>42811</v>
      </c>
      <c r="B1681">
        <f>11.28</f>
        <v>11.28</v>
      </c>
      <c r="C1681">
        <f>11.1647</f>
        <v>11.1647</v>
      </c>
      <c r="D1681">
        <f>8.95</f>
        <v>8.9499999999999993</v>
      </c>
      <c r="E1681">
        <f>17.16</f>
        <v>17.16</v>
      </c>
    </row>
    <row r="1682" spans="1:5" x14ac:dyDescent="0.2">
      <c r="A1682" s="1">
        <v>42810</v>
      </c>
      <c r="B1682">
        <f>11.21</f>
        <v>11.21</v>
      </c>
      <c r="C1682">
        <f>11.5181</f>
        <v>11.5181</v>
      </c>
      <c r="D1682">
        <f>8.61</f>
        <v>8.61</v>
      </c>
      <c r="E1682" t="e">
        <f>NA()</f>
        <v>#N/A</v>
      </c>
    </row>
    <row r="1683" spans="1:5" x14ac:dyDescent="0.2">
      <c r="A1683" s="1">
        <v>42809</v>
      </c>
      <c r="B1683">
        <f>11.63</f>
        <v>11.63</v>
      </c>
      <c r="C1683">
        <f>15.5983</f>
        <v>15.5983</v>
      </c>
      <c r="D1683">
        <f>9.69</f>
        <v>9.69</v>
      </c>
      <c r="E1683">
        <f>16.89</f>
        <v>16.89</v>
      </c>
    </row>
    <row r="1684" spans="1:5" x14ac:dyDescent="0.2">
      <c r="A1684" s="1">
        <v>42808</v>
      </c>
      <c r="B1684">
        <f>12.3</f>
        <v>12.3</v>
      </c>
      <c r="C1684">
        <f>15.9737</f>
        <v>15.973699999999999</v>
      </c>
      <c r="D1684">
        <f>9.41</f>
        <v>9.41</v>
      </c>
      <c r="E1684">
        <f>16.9</f>
        <v>16.899999999999999</v>
      </c>
    </row>
    <row r="1685" spans="1:5" x14ac:dyDescent="0.2">
      <c r="A1685" s="1">
        <v>42807</v>
      </c>
      <c r="B1685">
        <f>11.35</f>
        <v>11.35</v>
      </c>
      <c r="C1685">
        <f>15.5803</f>
        <v>15.580299999999999</v>
      </c>
      <c r="D1685">
        <f>8.1</f>
        <v>8.1</v>
      </c>
      <c r="E1685">
        <f>17.93</f>
        <v>17.93</v>
      </c>
    </row>
    <row r="1686" spans="1:5" x14ac:dyDescent="0.2">
      <c r="A1686" s="1">
        <v>42804</v>
      </c>
      <c r="B1686">
        <f>11.66</f>
        <v>11.66</v>
      </c>
      <c r="C1686">
        <f>15.3441</f>
        <v>15.344099999999999</v>
      </c>
      <c r="D1686">
        <f>6.06</f>
        <v>6.06</v>
      </c>
      <c r="E1686">
        <f>17.68</f>
        <v>17.68</v>
      </c>
    </row>
    <row r="1687" spans="1:5" x14ac:dyDescent="0.2">
      <c r="A1687" s="1">
        <v>42803</v>
      </c>
      <c r="B1687">
        <f>12.3</f>
        <v>12.3</v>
      </c>
      <c r="C1687">
        <f>15.2123</f>
        <v>15.212300000000001</v>
      </c>
      <c r="D1687">
        <f>6.02</f>
        <v>6.02</v>
      </c>
      <c r="E1687">
        <f>17.94</f>
        <v>17.940000000000001</v>
      </c>
    </row>
    <row r="1688" spans="1:5" x14ac:dyDescent="0.2">
      <c r="A1688" s="1">
        <v>42802</v>
      </c>
      <c r="B1688">
        <f>11.86</f>
        <v>11.86</v>
      </c>
      <c r="C1688">
        <f>14.9751</f>
        <v>14.975099999999999</v>
      </c>
      <c r="D1688">
        <f>10.47</f>
        <v>10.47</v>
      </c>
      <c r="E1688">
        <f>18.19</f>
        <v>18.190000000000001</v>
      </c>
    </row>
    <row r="1689" spans="1:5" x14ac:dyDescent="0.2">
      <c r="A1689" s="1">
        <v>42801</v>
      </c>
      <c r="B1689">
        <f>11.45</f>
        <v>11.45</v>
      </c>
      <c r="C1689">
        <f>15.3718</f>
        <v>15.3718</v>
      </c>
      <c r="D1689">
        <f>10.36</f>
        <v>10.36</v>
      </c>
      <c r="E1689">
        <f>18.19</f>
        <v>18.190000000000001</v>
      </c>
    </row>
    <row r="1690" spans="1:5" x14ac:dyDescent="0.2">
      <c r="A1690" s="1">
        <v>42800</v>
      </c>
      <c r="B1690">
        <f>11.24</f>
        <v>11.24</v>
      </c>
      <c r="C1690">
        <f>15.7683</f>
        <v>15.7683</v>
      </c>
      <c r="D1690">
        <f>10.72</f>
        <v>10.72</v>
      </c>
      <c r="E1690">
        <f>18.19</f>
        <v>18.190000000000001</v>
      </c>
    </row>
    <row r="1691" spans="1:5" x14ac:dyDescent="0.2">
      <c r="A1691" s="1">
        <v>42797</v>
      </c>
      <c r="B1691">
        <f>10.96</f>
        <v>10.96</v>
      </c>
      <c r="C1691">
        <f>15.2708</f>
        <v>15.270799999999999</v>
      </c>
      <c r="D1691">
        <f>10.83</f>
        <v>10.83</v>
      </c>
      <c r="E1691">
        <f>17.94</f>
        <v>17.940000000000001</v>
      </c>
    </row>
    <row r="1692" spans="1:5" x14ac:dyDescent="0.2">
      <c r="A1692" s="1">
        <v>42796</v>
      </c>
      <c r="B1692">
        <f>11.81</f>
        <v>11.81</v>
      </c>
      <c r="C1692">
        <f>15.2754</f>
        <v>15.275399999999999</v>
      </c>
      <c r="D1692">
        <f>11.2</f>
        <v>11.2</v>
      </c>
      <c r="E1692">
        <f>17.68</f>
        <v>17.68</v>
      </c>
    </row>
    <row r="1693" spans="1:5" x14ac:dyDescent="0.2">
      <c r="A1693" s="1">
        <v>42795</v>
      </c>
      <c r="B1693">
        <f>12.54</f>
        <v>12.54</v>
      </c>
      <c r="C1693">
        <f>15.3905</f>
        <v>15.390499999999999</v>
      </c>
      <c r="D1693">
        <f>11.1</f>
        <v>11.1</v>
      </c>
      <c r="E1693">
        <f>17.69</f>
        <v>17.690000000000001</v>
      </c>
    </row>
    <row r="1694" spans="1:5" x14ac:dyDescent="0.2">
      <c r="A1694" s="1">
        <v>42794</v>
      </c>
      <c r="B1694">
        <f>12.92</f>
        <v>12.92</v>
      </c>
      <c r="C1694">
        <f>16.2849</f>
        <v>16.2849</v>
      </c>
      <c r="D1694">
        <f>11.53</f>
        <v>11.53</v>
      </c>
      <c r="E1694">
        <f>17.96</f>
        <v>17.96</v>
      </c>
    </row>
    <row r="1695" spans="1:5" x14ac:dyDescent="0.2">
      <c r="A1695" s="1">
        <v>42793</v>
      </c>
      <c r="B1695">
        <f>12.09</f>
        <v>12.09</v>
      </c>
      <c r="C1695">
        <f>16.0402</f>
        <v>16.040199999999999</v>
      </c>
      <c r="D1695">
        <f>11.6</f>
        <v>11.6</v>
      </c>
      <c r="E1695">
        <f>18.7</f>
        <v>18.7</v>
      </c>
    </row>
    <row r="1696" spans="1:5" x14ac:dyDescent="0.2">
      <c r="A1696" s="1">
        <v>42790</v>
      </c>
      <c r="B1696">
        <f>11.47</f>
        <v>11.47</v>
      </c>
      <c r="C1696">
        <f>15.8552</f>
        <v>15.8552</v>
      </c>
      <c r="D1696">
        <f>11.58</f>
        <v>11.58</v>
      </c>
      <c r="E1696">
        <f>18.68</f>
        <v>18.68</v>
      </c>
    </row>
    <row r="1697" spans="1:5" x14ac:dyDescent="0.2">
      <c r="A1697" s="1">
        <v>42789</v>
      </c>
      <c r="B1697">
        <f>11.71</f>
        <v>11.71</v>
      </c>
      <c r="C1697">
        <f>15.4578</f>
        <v>15.457800000000001</v>
      </c>
      <c r="D1697">
        <f>11.37</f>
        <v>11.37</v>
      </c>
      <c r="E1697">
        <f>18.4</f>
        <v>18.399999999999999</v>
      </c>
    </row>
    <row r="1698" spans="1:5" x14ac:dyDescent="0.2">
      <c r="A1698" s="1">
        <v>42788</v>
      </c>
      <c r="B1698">
        <f>11.74</f>
        <v>11.74</v>
      </c>
      <c r="C1698">
        <f>14.8577</f>
        <v>14.857699999999999</v>
      </c>
      <c r="D1698">
        <f>10.97</f>
        <v>10.97</v>
      </c>
      <c r="E1698">
        <f>18.17</f>
        <v>18.170000000000002</v>
      </c>
    </row>
    <row r="1699" spans="1:5" x14ac:dyDescent="0.2">
      <c r="A1699" s="1">
        <v>42787</v>
      </c>
      <c r="B1699">
        <f>11.57</f>
        <v>11.57</v>
      </c>
      <c r="C1699">
        <f>14.5706</f>
        <v>14.570600000000001</v>
      </c>
      <c r="D1699">
        <f>11.12</f>
        <v>11.12</v>
      </c>
      <c r="E1699">
        <f>17.89</f>
        <v>17.89</v>
      </c>
    </row>
    <row r="1700" spans="1:5" x14ac:dyDescent="0.2">
      <c r="A1700" s="1">
        <v>42786</v>
      </c>
      <c r="B1700" t="e">
        <f>NA()</f>
        <v>#N/A</v>
      </c>
      <c r="C1700">
        <f>14.8906</f>
        <v>14.890599999999999</v>
      </c>
      <c r="D1700">
        <f>11.05</f>
        <v>11.05</v>
      </c>
      <c r="E1700">
        <f>17.89</f>
        <v>17.89</v>
      </c>
    </row>
    <row r="1701" spans="1:5" x14ac:dyDescent="0.2">
      <c r="A1701" s="1">
        <v>42783</v>
      </c>
      <c r="B1701">
        <f>11.49</f>
        <v>11.49</v>
      </c>
      <c r="C1701">
        <f>14.8315</f>
        <v>14.8315</v>
      </c>
      <c r="D1701">
        <f>10.97</f>
        <v>10.97</v>
      </c>
      <c r="E1701">
        <f>18.16</f>
        <v>18.16</v>
      </c>
    </row>
    <row r="1702" spans="1:5" x14ac:dyDescent="0.2">
      <c r="A1702" s="1">
        <v>42782</v>
      </c>
      <c r="B1702">
        <f>11.76</f>
        <v>11.76</v>
      </c>
      <c r="C1702">
        <f>15.3999</f>
        <v>15.399900000000001</v>
      </c>
      <c r="D1702">
        <f>11.63</f>
        <v>11.63</v>
      </c>
      <c r="E1702">
        <f>17.9</f>
        <v>17.899999999999999</v>
      </c>
    </row>
    <row r="1703" spans="1:5" x14ac:dyDescent="0.2">
      <c r="A1703" s="1">
        <v>42781</v>
      </c>
      <c r="B1703">
        <f>11.97</f>
        <v>11.97</v>
      </c>
      <c r="C1703">
        <f>14.6829</f>
        <v>14.6829</v>
      </c>
      <c r="D1703">
        <f>11.09</f>
        <v>11.09</v>
      </c>
      <c r="E1703">
        <f>17.9</f>
        <v>17.899999999999999</v>
      </c>
    </row>
    <row r="1704" spans="1:5" x14ac:dyDescent="0.2">
      <c r="A1704" s="1">
        <v>42780</v>
      </c>
      <c r="B1704">
        <f>10.74</f>
        <v>10.74</v>
      </c>
      <c r="C1704">
        <f>14.6469</f>
        <v>14.6469</v>
      </c>
      <c r="D1704">
        <f>11.29</f>
        <v>11.29</v>
      </c>
      <c r="E1704">
        <f>17.89</f>
        <v>17.89</v>
      </c>
    </row>
    <row r="1705" spans="1:5" x14ac:dyDescent="0.2">
      <c r="A1705" s="1">
        <v>42779</v>
      </c>
      <c r="B1705">
        <f>11.07</f>
        <v>11.07</v>
      </c>
      <c r="C1705">
        <f>14.8043</f>
        <v>14.8043</v>
      </c>
      <c r="D1705">
        <f>10.95</f>
        <v>10.95</v>
      </c>
      <c r="E1705">
        <f>18.53</f>
        <v>18.53</v>
      </c>
    </row>
    <row r="1706" spans="1:5" x14ac:dyDescent="0.2">
      <c r="A1706" s="1">
        <v>42776</v>
      </c>
      <c r="B1706">
        <f>10.85</f>
        <v>10.85</v>
      </c>
      <c r="C1706">
        <f>15.1125</f>
        <v>15.112500000000001</v>
      </c>
      <c r="D1706">
        <f>11.01</f>
        <v>11.01</v>
      </c>
      <c r="E1706">
        <f>18.49</f>
        <v>18.489999999999998</v>
      </c>
    </row>
    <row r="1707" spans="1:5" x14ac:dyDescent="0.2">
      <c r="A1707" s="1">
        <v>42775</v>
      </c>
      <c r="B1707">
        <f>10.88</f>
        <v>10.88</v>
      </c>
      <c r="C1707">
        <f>15.2973</f>
        <v>15.2973</v>
      </c>
      <c r="D1707">
        <f>11.39</f>
        <v>11.39</v>
      </c>
      <c r="E1707">
        <f>18.62</f>
        <v>18.62</v>
      </c>
    </row>
    <row r="1708" spans="1:5" x14ac:dyDescent="0.2">
      <c r="A1708" s="1">
        <v>42774</v>
      </c>
      <c r="B1708">
        <f>11.45</f>
        <v>11.45</v>
      </c>
      <c r="C1708">
        <f>16.831</f>
        <v>16.831</v>
      </c>
      <c r="D1708">
        <f>12.35</f>
        <v>12.35</v>
      </c>
      <c r="E1708">
        <f>18.84</f>
        <v>18.84</v>
      </c>
    </row>
    <row r="1709" spans="1:5" x14ac:dyDescent="0.2">
      <c r="A1709" s="1">
        <v>42773</v>
      </c>
      <c r="B1709">
        <f>11.29</f>
        <v>11.29</v>
      </c>
      <c r="C1709">
        <f>16.9147</f>
        <v>16.9147</v>
      </c>
      <c r="D1709">
        <f>12.39</f>
        <v>12.39</v>
      </c>
      <c r="E1709">
        <f>18.87</f>
        <v>18.87</v>
      </c>
    </row>
    <row r="1710" spans="1:5" x14ac:dyDescent="0.2">
      <c r="A1710" s="1">
        <v>42772</v>
      </c>
      <c r="B1710">
        <f>11.37</f>
        <v>11.37</v>
      </c>
      <c r="C1710">
        <f>16.4328</f>
        <v>16.4328</v>
      </c>
      <c r="D1710">
        <f>11.88</f>
        <v>11.88</v>
      </c>
      <c r="E1710">
        <f>18.87</f>
        <v>18.87</v>
      </c>
    </row>
    <row r="1711" spans="1:5" x14ac:dyDescent="0.2">
      <c r="A1711" s="1">
        <v>42769</v>
      </c>
      <c r="B1711">
        <f>10.97</f>
        <v>10.97</v>
      </c>
      <c r="C1711">
        <f>15.1332</f>
        <v>15.1332</v>
      </c>
      <c r="D1711">
        <f>11.56</f>
        <v>11.56</v>
      </c>
      <c r="E1711">
        <f>18.85</f>
        <v>18.850000000000001</v>
      </c>
    </row>
    <row r="1712" spans="1:5" x14ac:dyDescent="0.2">
      <c r="A1712" s="1">
        <v>42768</v>
      </c>
      <c r="B1712">
        <f>11.93</f>
        <v>11.93</v>
      </c>
      <c r="C1712">
        <f>16.1939</f>
        <v>16.193899999999999</v>
      </c>
      <c r="D1712">
        <f>12.46</f>
        <v>12.46</v>
      </c>
      <c r="E1712">
        <f>18.69</f>
        <v>18.690000000000001</v>
      </c>
    </row>
    <row r="1713" spans="1:5" x14ac:dyDescent="0.2">
      <c r="A1713" s="1">
        <v>42767</v>
      </c>
      <c r="B1713">
        <f>11.81</f>
        <v>11.81</v>
      </c>
      <c r="C1713">
        <f>16.6427</f>
        <v>16.642700000000001</v>
      </c>
      <c r="D1713">
        <f>13.04</f>
        <v>13.04</v>
      </c>
      <c r="E1713">
        <f>18.16</f>
        <v>18.16</v>
      </c>
    </row>
    <row r="1714" spans="1:5" x14ac:dyDescent="0.2">
      <c r="A1714" s="1">
        <v>42766</v>
      </c>
      <c r="B1714">
        <f>11.99</f>
        <v>11.99</v>
      </c>
      <c r="C1714">
        <f>17.3682</f>
        <v>17.368200000000002</v>
      </c>
      <c r="D1714">
        <f>13.33</f>
        <v>13.33</v>
      </c>
      <c r="E1714">
        <f>18.4</f>
        <v>18.399999999999999</v>
      </c>
    </row>
    <row r="1715" spans="1:5" x14ac:dyDescent="0.2">
      <c r="A1715" s="1">
        <v>42765</v>
      </c>
      <c r="B1715">
        <f>11.88</f>
        <v>11.88</v>
      </c>
      <c r="C1715">
        <f>17.4653</f>
        <v>17.465299999999999</v>
      </c>
      <c r="D1715">
        <f>13.4</f>
        <v>13.4</v>
      </c>
      <c r="E1715">
        <f>18.51</f>
        <v>18.510000000000002</v>
      </c>
    </row>
    <row r="1716" spans="1:5" x14ac:dyDescent="0.2">
      <c r="A1716" s="1">
        <v>42762</v>
      </c>
      <c r="B1716">
        <f>10.58</f>
        <v>10.58</v>
      </c>
      <c r="C1716">
        <f>15.847</f>
        <v>15.847</v>
      </c>
      <c r="D1716">
        <f>11.39</f>
        <v>11.39</v>
      </c>
      <c r="E1716">
        <f>18.22</f>
        <v>18.22</v>
      </c>
    </row>
    <row r="1717" spans="1:5" x14ac:dyDescent="0.2">
      <c r="A1717" s="1">
        <v>42761</v>
      </c>
      <c r="B1717">
        <f>10.63</f>
        <v>10.63</v>
      </c>
      <c r="C1717">
        <f>15.6052</f>
        <v>15.6052</v>
      </c>
      <c r="D1717">
        <f>11.66</f>
        <v>11.66</v>
      </c>
      <c r="E1717">
        <f>17.95</f>
        <v>17.95</v>
      </c>
    </row>
    <row r="1718" spans="1:5" x14ac:dyDescent="0.2">
      <c r="A1718" s="1">
        <v>42760</v>
      </c>
      <c r="B1718">
        <f>10.81</f>
        <v>10.81</v>
      </c>
      <c r="C1718">
        <f>15.6958</f>
        <v>15.6958</v>
      </c>
      <c r="D1718">
        <f>12.02</f>
        <v>12.02</v>
      </c>
      <c r="E1718">
        <f>18.46</f>
        <v>18.46</v>
      </c>
    </row>
    <row r="1719" spans="1:5" x14ac:dyDescent="0.2">
      <c r="A1719" s="1">
        <v>42759</v>
      </c>
      <c r="B1719">
        <f>11.07</f>
        <v>11.07</v>
      </c>
      <c r="C1719">
        <f>16.3083</f>
        <v>16.308299999999999</v>
      </c>
      <c r="D1719">
        <f>12.97</f>
        <v>12.97</v>
      </c>
      <c r="E1719">
        <f>17.87</f>
        <v>17.87</v>
      </c>
    </row>
    <row r="1720" spans="1:5" x14ac:dyDescent="0.2">
      <c r="A1720" s="1">
        <v>42758</v>
      </c>
      <c r="B1720">
        <f>11.77</f>
        <v>11.77</v>
      </c>
      <c r="C1720">
        <f>17.1108</f>
        <v>17.110800000000001</v>
      </c>
      <c r="D1720">
        <f>13.21</f>
        <v>13.21</v>
      </c>
      <c r="E1720">
        <f>18.1</f>
        <v>18.100000000000001</v>
      </c>
    </row>
    <row r="1721" spans="1:5" x14ac:dyDescent="0.2">
      <c r="A1721" s="1">
        <v>42755</v>
      </c>
      <c r="B1721">
        <f>11.54</f>
        <v>11.54</v>
      </c>
      <c r="C1721">
        <f>14.5963</f>
        <v>14.596299999999999</v>
      </c>
      <c r="D1721">
        <f>11.67</f>
        <v>11.67</v>
      </c>
      <c r="E1721">
        <f>18.5</f>
        <v>18.5</v>
      </c>
    </row>
    <row r="1722" spans="1:5" x14ac:dyDescent="0.2">
      <c r="A1722" s="1">
        <v>42754</v>
      </c>
      <c r="B1722">
        <f>12.78</f>
        <v>12.78</v>
      </c>
      <c r="C1722">
        <f>14.8475</f>
        <v>14.8475</v>
      </c>
      <c r="D1722">
        <f>12.18</f>
        <v>12.18</v>
      </c>
      <c r="E1722">
        <f>18.17</f>
        <v>18.170000000000002</v>
      </c>
    </row>
    <row r="1723" spans="1:5" x14ac:dyDescent="0.2">
      <c r="A1723" s="1">
        <v>42753</v>
      </c>
      <c r="B1723">
        <f>12.48</f>
        <v>12.48</v>
      </c>
      <c r="C1723">
        <f>14.8506</f>
        <v>14.8506</v>
      </c>
      <c r="D1723">
        <f>12.09</f>
        <v>12.09</v>
      </c>
      <c r="E1723">
        <f>18.17</f>
        <v>18.170000000000002</v>
      </c>
    </row>
    <row r="1724" spans="1:5" x14ac:dyDescent="0.2">
      <c r="A1724" s="1">
        <v>42752</v>
      </c>
      <c r="B1724">
        <f>11.87</f>
        <v>11.87</v>
      </c>
      <c r="C1724">
        <f>15.6671</f>
        <v>15.6671</v>
      </c>
      <c r="D1724">
        <f>13.06</f>
        <v>13.06</v>
      </c>
      <c r="E1724">
        <f>17.97</f>
        <v>17.97</v>
      </c>
    </row>
    <row r="1725" spans="1:5" x14ac:dyDescent="0.2">
      <c r="A1725" s="1">
        <v>42751</v>
      </c>
      <c r="B1725" t="e">
        <f>NA()</f>
        <v>#N/A</v>
      </c>
      <c r="C1725">
        <f>15.4655</f>
        <v>15.4655</v>
      </c>
      <c r="D1725">
        <f>12.39</f>
        <v>12.39</v>
      </c>
      <c r="E1725">
        <f>17.69</f>
        <v>17.690000000000001</v>
      </c>
    </row>
    <row r="1726" spans="1:5" x14ac:dyDescent="0.2">
      <c r="A1726" s="1">
        <v>42748</v>
      </c>
      <c r="B1726">
        <f>11.23</f>
        <v>11.23</v>
      </c>
      <c r="C1726">
        <f>14.8618</f>
        <v>14.861800000000001</v>
      </c>
      <c r="D1726">
        <f>11.95</f>
        <v>11.95</v>
      </c>
      <c r="E1726">
        <f>17.28</f>
        <v>17.28</v>
      </c>
    </row>
    <row r="1727" spans="1:5" x14ac:dyDescent="0.2">
      <c r="A1727" s="1">
        <v>42747</v>
      </c>
      <c r="B1727">
        <f>11.54</f>
        <v>11.54</v>
      </c>
      <c r="C1727">
        <f>16.2935</f>
        <v>16.293500000000002</v>
      </c>
      <c r="D1727">
        <f>12.23</f>
        <v>12.23</v>
      </c>
      <c r="E1727">
        <f>17.53</f>
        <v>17.53</v>
      </c>
    </row>
    <row r="1728" spans="1:5" x14ac:dyDescent="0.2">
      <c r="A1728" s="1">
        <v>42746</v>
      </c>
      <c r="B1728">
        <f>11.26</f>
        <v>11.26</v>
      </c>
      <c r="C1728">
        <f>15.7011</f>
        <v>15.7011</v>
      </c>
      <c r="D1728">
        <f>12.48</f>
        <v>12.48</v>
      </c>
      <c r="E1728">
        <f>17.51</f>
        <v>17.510000000000002</v>
      </c>
    </row>
    <row r="1729" spans="1:5" x14ac:dyDescent="0.2">
      <c r="A1729" s="1">
        <v>42745</v>
      </c>
      <c r="B1729">
        <f>11.49</f>
        <v>11.49</v>
      </c>
      <c r="C1729">
        <f>15.3547</f>
        <v>15.354699999999999</v>
      </c>
      <c r="D1729">
        <f>11.95</f>
        <v>11.95</v>
      </c>
      <c r="E1729">
        <f>18.91</f>
        <v>18.91</v>
      </c>
    </row>
    <row r="1730" spans="1:5" x14ac:dyDescent="0.2">
      <c r="A1730" s="1">
        <v>42744</v>
      </c>
      <c r="B1730">
        <f>11.56</f>
        <v>11.56</v>
      </c>
      <c r="C1730">
        <f>15.5143</f>
        <v>15.5143</v>
      </c>
      <c r="D1730">
        <f>11.83</f>
        <v>11.83</v>
      </c>
      <c r="E1730">
        <f>18.9</f>
        <v>18.899999999999999</v>
      </c>
    </row>
    <row r="1731" spans="1:5" x14ac:dyDescent="0.2">
      <c r="A1731" s="1">
        <v>42741</v>
      </c>
      <c r="B1731">
        <f>11.32</f>
        <v>11.32</v>
      </c>
      <c r="C1731">
        <f>15.3421</f>
        <v>15.3421</v>
      </c>
      <c r="D1731">
        <f>11.59</f>
        <v>11.59</v>
      </c>
      <c r="E1731">
        <f>18.57</f>
        <v>18.57</v>
      </c>
    </row>
    <row r="1732" spans="1:5" x14ac:dyDescent="0.2">
      <c r="A1732" s="1">
        <v>42740</v>
      </c>
      <c r="B1732">
        <f>11.67</f>
        <v>11.67</v>
      </c>
      <c r="C1732">
        <f>15.9801</f>
        <v>15.9801</v>
      </c>
      <c r="D1732">
        <f>12.35</f>
        <v>12.35</v>
      </c>
      <c r="E1732">
        <f>19.98</f>
        <v>19.98</v>
      </c>
    </row>
    <row r="1733" spans="1:5" x14ac:dyDescent="0.2">
      <c r="A1733" s="1">
        <v>42739</v>
      </c>
      <c r="B1733">
        <f>11.85</f>
        <v>11.85</v>
      </c>
      <c r="C1733">
        <f>16.4641</f>
        <v>16.464099999999998</v>
      </c>
      <c r="D1733">
        <f>12.62</f>
        <v>12.62</v>
      </c>
      <c r="E1733">
        <f>20.74</f>
        <v>20.74</v>
      </c>
    </row>
    <row r="1734" spans="1:5" x14ac:dyDescent="0.2">
      <c r="A1734" s="1">
        <v>42738</v>
      </c>
      <c r="B1734">
        <f>12.85</f>
        <v>12.85</v>
      </c>
      <c r="C1734">
        <f>17.3519</f>
        <v>17.351900000000001</v>
      </c>
      <c r="D1734">
        <f>13.56</f>
        <v>13.56</v>
      </c>
      <c r="E1734">
        <f>20.46</f>
        <v>20.46</v>
      </c>
    </row>
    <row r="1735" spans="1:5" x14ac:dyDescent="0.2">
      <c r="A1735" s="1">
        <v>42737</v>
      </c>
      <c r="B1735" t="e">
        <f>NA()</f>
        <v>#N/A</v>
      </c>
      <c r="C1735">
        <f>17.9578</f>
        <v>17.957799999999999</v>
      </c>
      <c r="D1735" t="e">
        <f>NA()</f>
        <v>#N/A</v>
      </c>
      <c r="E1735" t="e">
        <f>NA()</f>
        <v>#N/A</v>
      </c>
    </row>
    <row r="1736" spans="1:5" x14ac:dyDescent="0.2">
      <c r="A1736" s="1">
        <v>42734</v>
      </c>
      <c r="B1736">
        <f>14.04</f>
        <v>14.04</v>
      </c>
      <c r="C1736">
        <f>18.123</f>
        <v>18.123000000000001</v>
      </c>
      <c r="D1736">
        <f>14.31</f>
        <v>14.31</v>
      </c>
      <c r="E1736">
        <f>20.65</f>
        <v>20.65</v>
      </c>
    </row>
    <row r="1737" spans="1:5" x14ac:dyDescent="0.2">
      <c r="A1737" s="1">
        <v>42733</v>
      </c>
      <c r="B1737">
        <f>13.37</f>
        <v>13.37</v>
      </c>
      <c r="C1737">
        <f>17.771</f>
        <v>17.771000000000001</v>
      </c>
      <c r="D1737">
        <f>13.8</f>
        <v>13.8</v>
      </c>
      <c r="E1737">
        <f>20.38</f>
        <v>20.38</v>
      </c>
    </row>
    <row r="1738" spans="1:5" x14ac:dyDescent="0.2">
      <c r="A1738" s="1">
        <v>42732</v>
      </c>
      <c r="B1738">
        <f>12.95</f>
        <v>12.95</v>
      </c>
      <c r="C1738">
        <f>17.0648</f>
        <v>17.064800000000002</v>
      </c>
      <c r="D1738">
        <f>13.14</f>
        <v>13.14</v>
      </c>
      <c r="E1738">
        <f>20.61</f>
        <v>20.61</v>
      </c>
    </row>
    <row r="1739" spans="1:5" x14ac:dyDescent="0.2">
      <c r="A1739" s="1">
        <v>42731</v>
      </c>
      <c r="B1739">
        <f>11.99</f>
        <v>11.99</v>
      </c>
      <c r="C1739">
        <f>16.718</f>
        <v>16.718</v>
      </c>
      <c r="D1739" t="e">
        <f>NA()</f>
        <v>#N/A</v>
      </c>
      <c r="E1739" t="e">
        <f>NA()</f>
        <v>#N/A</v>
      </c>
    </row>
    <row r="1740" spans="1:5" x14ac:dyDescent="0.2">
      <c r="A1740" s="1">
        <v>42727</v>
      </c>
      <c r="B1740">
        <f>11.44</f>
        <v>11.44</v>
      </c>
      <c r="C1740">
        <f>15.0936</f>
        <v>15.0936</v>
      </c>
      <c r="D1740">
        <f>11.84</f>
        <v>11.84</v>
      </c>
      <c r="E1740">
        <f>20.68</f>
        <v>20.68</v>
      </c>
    </row>
    <row r="1741" spans="1:5" x14ac:dyDescent="0.2">
      <c r="A1741" s="1">
        <v>42726</v>
      </c>
      <c r="B1741">
        <f>11.43</f>
        <v>11.43</v>
      </c>
      <c r="C1741">
        <f>14.8767</f>
        <v>14.8767</v>
      </c>
      <c r="D1741">
        <f>11.66</f>
        <v>11.66</v>
      </c>
      <c r="E1741">
        <f>20.16</f>
        <v>20.16</v>
      </c>
    </row>
    <row r="1742" spans="1:5" x14ac:dyDescent="0.2">
      <c r="A1742" s="1">
        <v>42725</v>
      </c>
      <c r="B1742">
        <f>11.27</f>
        <v>11.27</v>
      </c>
      <c r="C1742">
        <f>14.7373</f>
        <v>14.737299999999999</v>
      </c>
      <c r="D1742">
        <f>11.66</f>
        <v>11.66</v>
      </c>
      <c r="E1742">
        <f>20.16</f>
        <v>20.16</v>
      </c>
    </row>
    <row r="1743" spans="1:5" x14ac:dyDescent="0.2">
      <c r="A1743" s="1">
        <v>42724</v>
      </c>
      <c r="B1743">
        <f>11.45</f>
        <v>11.45</v>
      </c>
      <c r="C1743">
        <f>14.8754</f>
        <v>14.875400000000001</v>
      </c>
      <c r="D1743">
        <f>11.67</f>
        <v>11.67</v>
      </c>
      <c r="E1743">
        <f>21.69</f>
        <v>21.69</v>
      </c>
    </row>
    <row r="1744" spans="1:5" x14ac:dyDescent="0.2">
      <c r="A1744" s="1">
        <v>42723</v>
      </c>
      <c r="B1744">
        <f>11.71</f>
        <v>11.71</v>
      </c>
      <c r="C1744">
        <f>15.1177</f>
        <v>15.117699999999999</v>
      </c>
      <c r="D1744">
        <f>11.68</f>
        <v>11.68</v>
      </c>
      <c r="E1744">
        <f>21.69</f>
        <v>21.69</v>
      </c>
    </row>
    <row r="1745" spans="1:5" x14ac:dyDescent="0.2">
      <c r="A1745" s="1">
        <v>42720</v>
      </c>
      <c r="B1745">
        <f>12.2</f>
        <v>12.2</v>
      </c>
      <c r="C1745">
        <f>15.098</f>
        <v>15.098000000000001</v>
      </c>
      <c r="D1745">
        <f>11.51</f>
        <v>11.51</v>
      </c>
      <c r="E1745" t="e">
        <f>NA()</f>
        <v>#N/A</v>
      </c>
    </row>
    <row r="1746" spans="1:5" x14ac:dyDescent="0.2">
      <c r="A1746" s="1">
        <v>42719</v>
      </c>
      <c r="B1746">
        <f>12.79</f>
        <v>12.79</v>
      </c>
      <c r="C1746">
        <f>15.8633</f>
        <v>15.863300000000001</v>
      </c>
      <c r="D1746">
        <f>11.35</f>
        <v>11.35</v>
      </c>
      <c r="E1746">
        <f>21.71</f>
        <v>21.71</v>
      </c>
    </row>
    <row r="1747" spans="1:5" x14ac:dyDescent="0.2">
      <c r="A1747" s="1">
        <v>42718</v>
      </c>
      <c r="B1747">
        <f>13.19</f>
        <v>13.19</v>
      </c>
      <c r="C1747">
        <f>17.1147</f>
        <v>17.114699999999999</v>
      </c>
      <c r="D1747">
        <f>11.4</f>
        <v>11.4</v>
      </c>
      <c r="E1747">
        <f>20.93</f>
        <v>20.93</v>
      </c>
    </row>
    <row r="1748" spans="1:5" x14ac:dyDescent="0.2">
      <c r="A1748" s="1">
        <v>42717</v>
      </c>
      <c r="B1748">
        <f>12.72</f>
        <v>12.72</v>
      </c>
      <c r="C1748">
        <f>16.8704</f>
        <v>16.8704</v>
      </c>
      <c r="D1748">
        <f>11.47</f>
        <v>11.47</v>
      </c>
      <c r="E1748">
        <f>21.19</f>
        <v>21.19</v>
      </c>
    </row>
    <row r="1749" spans="1:5" x14ac:dyDescent="0.2">
      <c r="A1749" s="1">
        <v>42716</v>
      </c>
      <c r="B1749">
        <f>12.64</f>
        <v>12.64</v>
      </c>
      <c r="C1749">
        <f>16.9318</f>
        <v>16.931799999999999</v>
      </c>
      <c r="D1749">
        <f>11.87</f>
        <v>11.87</v>
      </c>
      <c r="E1749">
        <f>21.44</f>
        <v>21.44</v>
      </c>
    </row>
    <row r="1750" spans="1:5" x14ac:dyDescent="0.2">
      <c r="A1750" s="1">
        <v>42713</v>
      </c>
      <c r="B1750">
        <f>11.75</f>
        <v>11.75</v>
      </c>
      <c r="C1750">
        <f>16.6203</f>
        <v>16.6203</v>
      </c>
      <c r="D1750">
        <f>10.8</f>
        <v>10.8</v>
      </c>
      <c r="E1750">
        <f>21.2</f>
        <v>21.2</v>
      </c>
    </row>
    <row r="1751" spans="1:5" x14ac:dyDescent="0.2">
      <c r="A1751" s="1">
        <v>42712</v>
      </c>
      <c r="B1751">
        <f>12.64</f>
        <v>12.64</v>
      </c>
      <c r="C1751">
        <f>16.1593</f>
        <v>16.159300000000002</v>
      </c>
      <c r="D1751">
        <f>10.41</f>
        <v>10.41</v>
      </c>
      <c r="E1751">
        <f>21.45</f>
        <v>21.45</v>
      </c>
    </row>
    <row r="1752" spans="1:5" x14ac:dyDescent="0.2">
      <c r="A1752" s="1">
        <v>42711</v>
      </c>
      <c r="B1752">
        <f>12.22</f>
        <v>12.22</v>
      </c>
      <c r="C1752">
        <f>17.1436</f>
        <v>17.143599999999999</v>
      </c>
      <c r="D1752">
        <f>12.45</f>
        <v>12.45</v>
      </c>
      <c r="E1752">
        <f>22.22</f>
        <v>22.22</v>
      </c>
    </row>
    <row r="1753" spans="1:5" x14ac:dyDescent="0.2">
      <c r="A1753" s="1">
        <v>42710</v>
      </c>
      <c r="B1753">
        <f>11.79</f>
        <v>11.79</v>
      </c>
      <c r="C1753">
        <f>17.6341</f>
        <v>17.6341</v>
      </c>
      <c r="D1753">
        <f>12.8</f>
        <v>12.8</v>
      </c>
      <c r="E1753">
        <f>22.48</f>
        <v>22.48</v>
      </c>
    </row>
    <row r="1754" spans="1:5" x14ac:dyDescent="0.2">
      <c r="A1754" s="1">
        <v>42709</v>
      </c>
      <c r="B1754">
        <f>12.14</f>
        <v>12.14</v>
      </c>
      <c r="C1754">
        <f>18.9556</f>
        <v>18.9556</v>
      </c>
      <c r="D1754">
        <f>13.7</f>
        <v>13.7</v>
      </c>
      <c r="E1754">
        <f>21.96</f>
        <v>21.96</v>
      </c>
    </row>
    <row r="1755" spans="1:5" x14ac:dyDescent="0.2">
      <c r="A1755" s="1">
        <v>42706</v>
      </c>
      <c r="B1755">
        <f>14.12</f>
        <v>14.12</v>
      </c>
      <c r="C1755">
        <f>22.6159</f>
        <v>22.6159</v>
      </c>
      <c r="D1755">
        <f>15.8</f>
        <v>15.8</v>
      </c>
      <c r="E1755">
        <f>22.24</f>
        <v>22.24</v>
      </c>
    </row>
    <row r="1756" spans="1:5" x14ac:dyDescent="0.2">
      <c r="A1756" s="1">
        <v>42705</v>
      </c>
      <c r="B1756">
        <f>14.07</f>
        <v>14.07</v>
      </c>
      <c r="C1756">
        <f>22.6014</f>
        <v>22.601400000000002</v>
      </c>
      <c r="D1756">
        <f>16.52</f>
        <v>16.52</v>
      </c>
      <c r="E1756">
        <f>21.72</f>
        <v>21.72</v>
      </c>
    </row>
    <row r="1757" spans="1:5" x14ac:dyDescent="0.2">
      <c r="A1757" s="1">
        <v>42704</v>
      </c>
      <c r="B1757">
        <f>13.33</f>
        <v>13.33</v>
      </c>
      <c r="C1757">
        <f>21.4372</f>
        <v>21.437200000000001</v>
      </c>
      <c r="D1757">
        <f>16.02</f>
        <v>16.02</v>
      </c>
      <c r="E1757">
        <f>21.46</f>
        <v>21.46</v>
      </c>
    </row>
    <row r="1758" spans="1:5" x14ac:dyDescent="0.2">
      <c r="A1758" s="1">
        <v>42703</v>
      </c>
      <c r="B1758">
        <f>12.9</f>
        <v>12.9</v>
      </c>
      <c r="C1758">
        <f>21.7987</f>
        <v>21.7987</v>
      </c>
      <c r="D1758">
        <f>16.26</f>
        <v>16.260000000000002</v>
      </c>
      <c r="E1758">
        <f>21.45</f>
        <v>21.45</v>
      </c>
    </row>
    <row r="1759" spans="1:5" x14ac:dyDescent="0.2">
      <c r="A1759" s="1">
        <v>42702</v>
      </c>
      <c r="B1759">
        <f>13.15</f>
        <v>13.15</v>
      </c>
      <c r="C1759">
        <f>22.533</f>
        <v>22.533000000000001</v>
      </c>
      <c r="D1759">
        <f>16.57</f>
        <v>16.57</v>
      </c>
      <c r="E1759">
        <f>20.94</f>
        <v>20.94</v>
      </c>
    </row>
    <row r="1760" spans="1:5" x14ac:dyDescent="0.2">
      <c r="A1760" s="1">
        <v>42699</v>
      </c>
      <c r="B1760">
        <f>12.34</f>
        <v>12.34</v>
      </c>
      <c r="C1760">
        <f>20.4086</f>
        <v>20.4086</v>
      </c>
      <c r="D1760">
        <f>15.53</f>
        <v>15.53</v>
      </c>
      <c r="E1760">
        <f>20.43</f>
        <v>20.43</v>
      </c>
    </row>
    <row r="1761" spans="1:5" x14ac:dyDescent="0.2">
      <c r="A1761" s="1">
        <v>42698</v>
      </c>
      <c r="B1761" t="e">
        <f>NA()</f>
        <v>#N/A</v>
      </c>
      <c r="C1761">
        <f>20.0292</f>
        <v>20.029199999999999</v>
      </c>
      <c r="D1761">
        <f>15.06</f>
        <v>15.06</v>
      </c>
      <c r="E1761">
        <f>20.44</f>
        <v>20.440000000000001</v>
      </c>
    </row>
    <row r="1762" spans="1:5" x14ac:dyDescent="0.2">
      <c r="A1762" s="1">
        <v>42697</v>
      </c>
      <c r="B1762">
        <f>12.43</f>
        <v>12.43</v>
      </c>
      <c r="C1762">
        <f>20.1928</f>
        <v>20.192799999999998</v>
      </c>
      <c r="D1762">
        <f>15.41</f>
        <v>15.41</v>
      </c>
      <c r="E1762">
        <f>20.43</f>
        <v>20.43</v>
      </c>
    </row>
    <row r="1763" spans="1:5" x14ac:dyDescent="0.2">
      <c r="A1763" s="1">
        <v>42696</v>
      </c>
      <c r="B1763">
        <f>12.41</f>
        <v>12.41</v>
      </c>
      <c r="C1763">
        <f>20.2468</f>
        <v>20.2468</v>
      </c>
      <c r="D1763">
        <f>14.86</f>
        <v>14.86</v>
      </c>
      <c r="E1763">
        <f>19.92</f>
        <v>19.920000000000002</v>
      </c>
    </row>
    <row r="1764" spans="1:5" x14ac:dyDescent="0.2">
      <c r="A1764" s="1">
        <v>42695</v>
      </c>
      <c r="B1764">
        <f>12.42</f>
        <v>12.42</v>
      </c>
      <c r="C1764">
        <f>20.5539</f>
        <v>20.553899999999999</v>
      </c>
      <c r="D1764">
        <f>15.17</f>
        <v>15.17</v>
      </c>
      <c r="E1764">
        <f>20.48</f>
        <v>20.48</v>
      </c>
    </row>
    <row r="1765" spans="1:5" x14ac:dyDescent="0.2">
      <c r="A1765" s="1">
        <v>42692</v>
      </c>
      <c r="B1765">
        <f>12.85</f>
        <v>12.85</v>
      </c>
      <c r="C1765">
        <f>20.3697</f>
        <v>20.369700000000002</v>
      </c>
      <c r="D1765">
        <f>15.05</f>
        <v>15.05</v>
      </c>
      <c r="E1765">
        <f>20.5</f>
        <v>20.5</v>
      </c>
    </row>
    <row r="1766" spans="1:5" x14ac:dyDescent="0.2">
      <c r="A1766" s="1">
        <v>42691</v>
      </c>
      <c r="B1766">
        <f>13.35</f>
        <v>13.35</v>
      </c>
      <c r="C1766">
        <f>19.9481</f>
        <v>19.9481</v>
      </c>
      <c r="D1766">
        <f>15.11</f>
        <v>15.11</v>
      </c>
      <c r="E1766">
        <f>20.51</f>
        <v>20.51</v>
      </c>
    </row>
    <row r="1767" spans="1:5" x14ac:dyDescent="0.2">
      <c r="A1767" s="1">
        <v>42690</v>
      </c>
      <c r="B1767">
        <f>13.72</f>
        <v>13.72</v>
      </c>
      <c r="C1767">
        <f>21.1147</f>
        <v>21.114699999999999</v>
      </c>
      <c r="D1767">
        <f>15.95</f>
        <v>15.95</v>
      </c>
      <c r="E1767">
        <f>21.05</f>
        <v>21.05</v>
      </c>
    </row>
    <row r="1768" spans="1:5" x14ac:dyDescent="0.2">
      <c r="A1768" s="1">
        <v>42689</v>
      </c>
      <c r="B1768">
        <f>13.37</f>
        <v>13.37</v>
      </c>
      <c r="C1768">
        <f>20.6381</f>
        <v>20.638100000000001</v>
      </c>
      <c r="D1768">
        <f>16</f>
        <v>16</v>
      </c>
      <c r="E1768">
        <f>21.35</f>
        <v>21.35</v>
      </c>
    </row>
    <row r="1769" spans="1:5" x14ac:dyDescent="0.2">
      <c r="A1769" s="1">
        <v>42688</v>
      </c>
      <c r="B1769">
        <f>14.48</f>
        <v>14.48</v>
      </c>
      <c r="C1769">
        <f>22.1941</f>
        <v>22.194099999999999</v>
      </c>
      <c r="D1769">
        <f>17.33</f>
        <v>17.329999999999998</v>
      </c>
      <c r="E1769">
        <f>21.07</f>
        <v>21.07</v>
      </c>
    </row>
    <row r="1770" spans="1:5" x14ac:dyDescent="0.2">
      <c r="A1770" s="1">
        <v>42685</v>
      </c>
      <c r="B1770">
        <f>14.17</f>
        <v>14.17</v>
      </c>
      <c r="C1770">
        <f>21.9585</f>
        <v>21.958500000000001</v>
      </c>
      <c r="D1770">
        <f>17.87</f>
        <v>17.87</v>
      </c>
      <c r="E1770">
        <f>20.78</f>
        <v>20.78</v>
      </c>
    </row>
    <row r="1771" spans="1:5" x14ac:dyDescent="0.2">
      <c r="A1771" s="1">
        <v>42684</v>
      </c>
      <c r="B1771">
        <f>14.74</f>
        <v>14.74</v>
      </c>
      <c r="C1771">
        <f>21.0959</f>
        <v>21.0959</v>
      </c>
      <c r="D1771">
        <f>16.41</f>
        <v>16.41</v>
      </c>
      <c r="E1771">
        <f>19.92</f>
        <v>19.920000000000002</v>
      </c>
    </row>
    <row r="1772" spans="1:5" x14ac:dyDescent="0.2">
      <c r="A1772" s="1">
        <v>42683</v>
      </c>
      <c r="B1772">
        <f>14.38</f>
        <v>14.38</v>
      </c>
      <c r="C1772">
        <f>21.1011</f>
        <v>21.101099999999999</v>
      </c>
      <c r="D1772">
        <f>16.63</f>
        <v>16.63</v>
      </c>
      <c r="E1772">
        <f>20.38</f>
        <v>20.38</v>
      </c>
    </row>
    <row r="1773" spans="1:5" x14ac:dyDescent="0.2">
      <c r="A1773" s="1">
        <v>42682</v>
      </c>
      <c r="B1773">
        <f>18.74</f>
        <v>18.739999999999998</v>
      </c>
      <c r="C1773">
        <f>24.9341</f>
        <v>24.934100000000001</v>
      </c>
      <c r="D1773">
        <f>19.38</f>
        <v>19.38</v>
      </c>
      <c r="E1773">
        <f>20.64</f>
        <v>20.64</v>
      </c>
    </row>
    <row r="1774" spans="1:5" x14ac:dyDescent="0.2">
      <c r="A1774" s="1">
        <v>42681</v>
      </c>
      <c r="B1774">
        <f>18.71</f>
        <v>18.71</v>
      </c>
      <c r="C1774">
        <f>24.6196</f>
        <v>24.619599999999998</v>
      </c>
      <c r="D1774">
        <f>19.68</f>
        <v>19.68</v>
      </c>
      <c r="E1774">
        <f>20.89</f>
        <v>20.89</v>
      </c>
    </row>
    <row r="1775" spans="1:5" x14ac:dyDescent="0.2">
      <c r="A1775" s="1">
        <v>42678</v>
      </c>
      <c r="B1775">
        <f>22.51</f>
        <v>22.51</v>
      </c>
      <c r="C1775">
        <f>25.2078</f>
        <v>25.207799999999999</v>
      </c>
      <c r="D1775">
        <f>20.61</f>
        <v>20.61</v>
      </c>
      <c r="E1775">
        <f>21.46</f>
        <v>21.46</v>
      </c>
    </row>
    <row r="1776" spans="1:5" x14ac:dyDescent="0.2">
      <c r="A1776" s="1">
        <v>42677</v>
      </c>
      <c r="B1776">
        <f>22.08</f>
        <v>22.08</v>
      </c>
      <c r="C1776">
        <f>24.6804</f>
        <v>24.680399999999999</v>
      </c>
      <c r="D1776">
        <f>18.89</f>
        <v>18.89</v>
      </c>
      <c r="E1776">
        <f>21.46</f>
        <v>21.46</v>
      </c>
    </row>
    <row r="1777" spans="1:5" x14ac:dyDescent="0.2">
      <c r="A1777" s="1">
        <v>42676</v>
      </c>
      <c r="B1777">
        <f>19.32</f>
        <v>19.32</v>
      </c>
      <c r="C1777">
        <f>23.6546</f>
        <v>23.654599999999999</v>
      </c>
      <c r="D1777">
        <f>18.52</f>
        <v>18.52</v>
      </c>
      <c r="E1777">
        <f>21.19</f>
        <v>21.19</v>
      </c>
    </row>
    <row r="1778" spans="1:5" x14ac:dyDescent="0.2">
      <c r="A1778" s="1">
        <v>42675</v>
      </c>
      <c r="B1778">
        <f>18.56</f>
        <v>18.559999999999999</v>
      </c>
      <c r="C1778">
        <f>23.4631</f>
        <v>23.463100000000001</v>
      </c>
      <c r="D1778">
        <f>17.94</f>
        <v>17.940000000000001</v>
      </c>
      <c r="E1778">
        <f>19.85</f>
        <v>19.850000000000001</v>
      </c>
    </row>
    <row r="1779" spans="1:5" x14ac:dyDescent="0.2">
      <c r="A1779" s="1">
        <v>42674</v>
      </c>
      <c r="B1779">
        <f>17.06</f>
        <v>17.059999999999999</v>
      </c>
      <c r="C1779">
        <f>21.4449</f>
        <v>21.444900000000001</v>
      </c>
      <c r="D1779">
        <f>16.32</f>
        <v>16.32</v>
      </c>
      <c r="E1779">
        <f>20.16</f>
        <v>20.16</v>
      </c>
    </row>
    <row r="1780" spans="1:5" x14ac:dyDescent="0.2">
      <c r="A1780" s="1">
        <v>42671</v>
      </c>
      <c r="B1780">
        <f>16.19</f>
        <v>16.190000000000001</v>
      </c>
      <c r="C1780">
        <f>19.2694</f>
        <v>19.269400000000001</v>
      </c>
      <c r="D1780">
        <f>14.85</f>
        <v>14.85</v>
      </c>
      <c r="E1780">
        <f>19.92</f>
        <v>19.920000000000002</v>
      </c>
    </row>
    <row r="1781" spans="1:5" x14ac:dyDescent="0.2">
      <c r="A1781" s="1">
        <v>42670</v>
      </c>
      <c r="B1781">
        <f>15.36</f>
        <v>15.36</v>
      </c>
      <c r="C1781">
        <f>18.7315</f>
        <v>18.7315</v>
      </c>
      <c r="D1781">
        <f>14.69</f>
        <v>14.69</v>
      </c>
      <c r="E1781">
        <f>19.66</f>
        <v>19.66</v>
      </c>
    </row>
    <row r="1782" spans="1:5" x14ac:dyDescent="0.2">
      <c r="A1782" s="1">
        <v>42669</v>
      </c>
      <c r="B1782">
        <f>14.24</f>
        <v>14.24</v>
      </c>
      <c r="C1782">
        <f>18.674</f>
        <v>18.673999999999999</v>
      </c>
      <c r="D1782">
        <f>14.44</f>
        <v>14.44</v>
      </c>
      <c r="E1782">
        <f>18.98</f>
        <v>18.98</v>
      </c>
    </row>
    <row r="1783" spans="1:5" x14ac:dyDescent="0.2">
      <c r="A1783" s="1">
        <v>42668</v>
      </c>
      <c r="B1783">
        <f>13.46</f>
        <v>13.46</v>
      </c>
      <c r="C1783">
        <f>18.2257</f>
        <v>18.2257</v>
      </c>
      <c r="D1783">
        <f>14.01</f>
        <v>14.01</v>
      </c>
      <c r="E1783">
        <f>19.16</f>
        <v>19.16</v>
      </c>
    </row>
    <row r="1784" spans="1:5" x14ac:dyDescent="0.2">
      <c r="A1784" s="1">
        <v>42667</v>
      </c>
      <c r="B1784">
        <f>13.02</f>
        <v>13.02</v>
      </c>
      <c r="C1784">
        <f>17.7055</f>
        <v>17.705500000000001</v>
      </c>
      <c r="D1784">
        <f>13.36</f>
        <v>13.36</v>
      </c>
      <c r="E1784">
        <f>19.15</f>
        <v>19.149999999999999</v>
      </c>
    </row>
    <row r="1785" spans="1:5" x14ac:dyDescent="0.2">
      <c r="A1785" s="1">
        <v>42664</v>
      </c>
      <c r="B1785">
        <f>13.34</f>
        <v>13.34</v>
      </c>
      <c r="C1785">
        <f>16.599</f>
        <v>16.599</v>
      </c>
      <c r="D1785">
        <f>13.3</f>
        <v>13.3</v>
      </c>
      <c r="E1785">
        <f>19.15</f>
        <v>19.149999999999999</v>
      </c>
    </row>
    <row r="1786" spans="1:5" x14ac:dyDescent="0.2">
      <c r="A1786" s="1">
        <v>42663</v>
      </c>
      <c r="B1786">
        <f>13.75</f>
        <v>13.75</v>
      </c>
      <c r="C1786">
        <f>17.2172</f>
        <v>17.217199999999998</v>
      </c>
      <c r="D1786">
        <f>13.43</f>
        <v>13.43</v>
      </c>
      <c r="E1786">
        <f>19.23</f>
        <v>19.23</v>
      </c>
    </row>
    <row r="1787" spans="1:5" x14ac:dyDescent="0.2">
      <c r="A1787" s="1">
        <v>42662</v>
      </c>
      <c r="B1787">
        <f>14.41</f>
        <v>14.41</v>
      </c>
      <c r="C1787">
        <f>18.0718</f>
        <v>18.0718</v>
      </c>
      <c r="D1787">
        <f>13.89</f>
        <v>13.89</v>
      </c>
      <c r="E1787">
        <f>19.2</f>
        <v>19.2</v>
      </c>
    </row>
    <row r="1788" spans="1:5" x14ac:dyDescent="0.2">
      <c r="A1788" s="1">
        <v>42661</v>
      </c>
      <c r="B1788">
        <f>15.28</f>
        <v>15.28</v>
      </c>
      <c r="C1788">
        <f>19.069</f>
        <v>19.068999999999999</v>
      </c>
      <c r="D1788">
        <f>15.14</f>
        <v>15.14</v>
      </c>
      <c r="E1788">
        <f>19.55</f>
        <v>19.55</v>
      </c>
    </row>
    <row r="1789" spans="1:5" x14ac:dyDescent="0.2">
      <c r="A1789" s="1">
        <v>42660</v>
      </c>
      <c r="B1789">
        <f>16.21</f>
        <v>16.21</v>
      </c>
      <c r="C1789">
        <f>20.6231</f>
        <v>20.623100000000001</v>
      </c>
      <c r="D1789">
        <f>15.66</f>
        <v>15.66</v>
      </c>
      <c r="E1789">
        <f>19.8</f>
        <v>19.8</v>
      </c>
    </row>
    <row r="1790" spans="1:5" x14ac:dyDescent="0.2">
      <c r="A1790" s="1">
        <v>42657</v>
      </c>
      <c r="B1790">
        <f>16.12</f>
        <v>16.12</v>
      </c>
      <c r="C1790">
        <f>19.4618</f>
        <v>19.4618</v>
      </c>
      <c r="D1790">
        <f>14.68</f>
        <v>14.68</v>
      </c>
      <c r="E1790">
        <f>19.56</f>
        <v>19.559999999999999</v>
      </c>
    </row>
    <row r="1791" spans="1:5" x14ac:dyDescent="0.2">
      <c r="A1791" s="1">
        <v>42656</v>
      </c>
      <c r="B1791">
        <f>16.69</f>
        <v>16.690000000000001</v>
      </c>
      <c r="C1791">
        <f>20.9273</f>
        <v>20.927299999999999</v>
      </c>
      <c r="D1791">
        <f>16.02</f>
        <v>16.02</v>
      </c>
      <c r="E1791">
        <f>20.07</f>
        <v>20.07</v>
      </c>
    </row>
    <row r="1792" spans="1:5" x14ac:dyDescent="0.2">
      <c r="A1792" s="1">
        <v>42655</v>
      </c>
      <c r="B1792">
        <f>15.91</f>
        <v>15.91</v>
      </c>
      <c r="C1792">
        <f>20.1318</f>
        <v>20.131799999999998</v>
      </c>
      <c r="D1792">
        <f>15.99</f>
        <v>15.99</v>
      </c>
      <c r="E1792">
        <f>19.15</f>
        <v>19.149999999999999</v>
      </c>
    </row>
    <row r="1793" spans="1:5" x14ac:dyDescent="0.2">
      <c r="A1793" s="1">
        <v>42654</v>
      </c>
      <c r="B1793">
        <f>15.36</f>
        <v>15.36</v>
      </c>
      <c r="C1793">
        <f>19.8788</f>
        <v>19.878799999999998</v>
      </c>
      <c r="D1793">
        <f>15.4</f>
        <v>15.4</v>
      </c>
      <c r="E1793">
        <f>19.14</f>
        <v>19.14</v>
      </c>
    </row>
    <row r="1794" spans="1:5" x14ac:dyDescent="0.2">
      <c r="A1794" s="1">
        <v>42653</v>
      </c>
      <c r="B1794">
        <f>13.38</f>
        <v>13.38</v>
      </c>
      <c r="C1794">
        <f>19.2601</f>
        <v>19.260100000000001</v>
      </c>
      <c r="D1794">
        <f>15.15</f>
        <v>15.15</v>
      </c>
      <c r="E1794">
        <f>19.13</f>
        <v>19.13</v>
      </c>
    </row>
    <row r="1795" spans="1:5" x14ac:dyDescent="0.2">
      <c r="A1795" s="1">
        <v>42650</v>
      </c>
      <c r="B1795">
        <f>13.48</f>
        <v>13.48</v>
      </c>
      <c r="C1795">
        <f>20.0387</f>
        <v>20.038699999999999</v>
      </c>
      <c r="D1795">
        <f>15.55</f>
        <v>15.55</v>
      </c>
      <c r="E1795">
        <f>19.14</f>
        <v>19.14</v>
      </c>
    </row>
    <row r="1796" spans="1:5" x14ac:dyDescent="0.2">
      <c r="A1796" s="1">
        <v>42649</v>
      </c>
      <c r="B1796">
        <f>12.84</f>
        <v>12.84</v>
      </c>
      <c r="C1796">
        <f>19.1722</f>
        <v>19.1722</v>
      </c>
      <c r="D1796">
        <f>15.02</f>
        <v>15.02</v>
      </c>
      <c r="E1796">
        <f>19.39</f>
        <v>19.39</v>
      </c>
    </row>
    <row r="1797" spans="1:5" x14ac:dyDescent="0.2">
      <c r="A1797" s="1">
        <v>42648</v>
      </c>
      <c r="B1797">
        <f>12.99</f>
        <v>12.99</v>
      </c>
      <c r="C1797">
        <f>19.4441</f>
        <v>19.444099999999999</v>
      </c>
      <c r="D1797">
        <f>14.95</f>
        <v>14.95</v>
      </c>
      <c r="E1797">
        <f>19.35</f>
        <v>19.350000000000001</v>
      </c>
    </row>
    <row r="1798" spans="1:5" x14ac:dyDescent="0.2">
      <c r="A1798" s="1">
        <v>42647</v>
      </c>
      <c r="B1798">
        <f>13.63</f>
        <v>13.63</v>
      </c>
      <c r="C1798">
        <f>19.2097</f>
        <v>19.209700000000002</v>
      </c>
      <c r="D1798">
        <f>14.56</f>
        <v>14.56</v>
      </c>
      <c r="E1798">
        <f>18.93</f>
        <v>18.93</v>
      </c>
    </row>
    <row r="1799" spans="1:5" x14ac:dyDescent="0.2">
      <c r="A1799" s="1">
        <v>42646</v>
      </c>
      <c r="B1799">
        <f>13.57</f>
        <v>13.57</v>
      </c>
      <c r="C1799">
        <f>20.3951</f>
        <v>20.395099999999999</v>
      </c>
      <c r="D1799">
        <f>15.09</f>
        <v>15.09</v>
      </c>
      <c r="E1799">
        <f>19.12</f>
        <v>19.12</v>
      </c>
    </row>
    <row r="1800" spans="1:5" x14ac:dyDescent="0.2">
      <c r="A1800" s="1">
        <v>42643</v>
      </c>
      <c r="B1800">
        <f>13.29</f>
        <v>13.29</v>
      </c>
      <c r="C1800">
        <f>19.7693</f>
        <v>19.769300000000001</v>
      </c>
      <c r="D1800">
        <f>14.56</f>
        <v>14.56</v>
      </c>
      <c r="E1800">
        <f>19.14</f>
        <v>19.14</v>
      </c>
    </row>
    <row r="1801" spans="1:5" x14ac:dyDescent="0.2">
      <c r="A1801" s="1">
        <v>42642</v>
      </c>
      <c r="B1801">
        <f>14.02</f>
        <v>14.02</v>
      </c>
      <c r="C1801">
        <f>19.9598</f>
        <v>19.959800000000001</v>
      </c>
      <c r="D1801">
        <f>14.25</f>
        <v>14.25</v>
      </c>
      <c r="E1801">
        <f>18.45</f>
        <v>18.45</v>
      </c>
    </row>
    <row r="1802" spans="1:5" x14ac:dyDescent="0.2">
      <c r="A1802" s="1">
        <v>42641</v>
      </c>
      <c r="B1802">
        <f>12.39</f>
        <v>12.39</v>
      </c>
      <c r="C1802">
        <f>19.6948</f>
        <v>19.694800000000001</v>
      </c>
      <c r="D1802">
        <f>14.63</f>
        <v>14.63</v>
      </c>
      <c r="E1802">
        <f>19.12</f>
        <v>19.12</v>
      </c>
    </row>
    <row r="1803" spans="1:5" x14ac:dyDescent="0.2">
      <c r="A1803" s="1">
        <v>42640</v>
      </c>
      <c r="B1803">
        <f>13.1</f>
        <v>13.1</v>
      </c>
      <c r="C1803">
        <f>20.6567</f>
        <v>20.656700000000001</v>
      </c>
      <c r="D1803">
        <f>15.36</f>
        <v>15.36</v>
      </c>
      <c r="E1803">
        <f>20.09</f>
        <v>20.09</v>
      </c>
    </row>
    <row r="1804" spans="1:5" x14ac:dyDescent="0.2">
      <c r="A1804" s="1">
        <v>42639</v>
      </c>
      <c r="B1804">
        <f>14.5</f>
        <v>14.5</v>
      </c>
      <c r="C1804">
        <f>20.2181</f>
        <v>20.2181</v>
      </c>
      <c r="D1804">
        <f>15.13</f>
        <v>15.13</v>
      </c>
      <c r="E1804">
        <f>19.58</f>
        <v>19.579999999999998</v>
      </c>
    </row>
    <row r="1805" spans="1:5" x14ac:dyDescent="0.2">
      <c r="A1805" s="1">
        <v>42636</v>
      </c>
      <c r="B1805">
        <f>12.29</f>
        <v>12.29</v>
      </c>
      <c r="C1805">
        <f>16.8292</f>
        <v>16.8292</v>
      </c>
      <c r="D1805">
        <f>12.57</f>
        <v>12.57</v>
      </c>
      <c r="E1805">
        <f>18.94</f>
        <v>18.940000000000001</v>
      </c>
    </row>
    <row r="1806" spans="1:5" x14ac:dyDescent="0.2">
      <c r="A1806" s="1">
        <v>42635</v>
      </c>
      <c r="B1806">
        <f>12.02</f>
        <v>12.02</v>
      </c>
      <c r="C1806">
        <f>17.2703</f>
        <v>17.270299999999999</v>
      </c>
      <c r="D1806">
        <f>12.54</f>
        <v>12.54</v>
      </c>
      <c r="E1806">
        <f>19.17</f>
        <v>19.170000000000002</v>
      </c>
    </row>
    <row r="1807" spans="1:5" x14ac:dyDescent="0.2">
      <c r="A1807" s="1">
        <v>42634</v>
      </c>
      <c r="B1807">
        <f>13.3</f>
        <v>13.3</v>
      </c>
      <c r="C1807">
        <f>20.0923</f>
        <v>20.092300000000002</v>
      </c>
      <c r="D1807">
        <f>14.15</f>
        <v>14.15</v>
      </c>
      <c r="E1807">
        <f>22.57</f>
        <v>22.57</v>
      </c>
    </row>
    <row r="1808" spans="1:5" x14ac:dyDescent="0.2">
      <c r="A1808" s="1">
        <v>42633</v>
      </c>
      <c r="B1808">
        <f>15.92</f>
        <v>15.92</v>
      </c>
      <c r="C1808">
        <f>20.6992</f>
        <v>20.699200000000001</v>
      </c>
      <c r="D1808">
        <f>14.3</f>
        <v>14.3</v>
      </c>
      <c r="E1808">
        <f>22.11</f>
        <v>22.11</v>
      </c>
    </row>
    <row r="1809" spans="1:5" x14ac:dyDescent="0.2">
      <c r="A1809" s="1">
        <v>42632</v>
      </c>
      <c r="B1809">
        <f>15.53</f>
        <v>15.53</v>
      </c>
      <c r="C1809">
        <f>20.3183</f>
        <v>20.318300000000001</v>
      </c>
      <c r="D1809">
        <f>13.78</f>
        <v>13.78</v>
      </c>
      <c r="E1809">
        <f>21.18</f>
        <v>21.18</v>
      </c>
    </row>
    <row r="1810" spans="1:5" x14ac:dyDescent="0.2">
      <c r="A1810" s="1">
        <v>42629</v>
      </c>
      <c r="B1810">
        <f>15.37</f>
        <v>15.37</v>
      </c>
      <c r="C1810">
        <f>21.3052</f>
        <v>21.305199999999999</v>
      </c>
      <c r="D1810">
        <f>15.01</f>
        <v>15.01</v>
      </c>
      <c r="E1810">
        <f>20.22</f>
        <v>20.22</v>
      </c>
    </row>
    <row r="1811" spans="1:5" x14ac:dyDescent="0.2">
      <c r="A1811" s="1">
        <v>42628</v>
      </c>
      <c r="B1811">
        <f>16.3</f>
        <v>16.3</v>
      </c>
      <c r="C1811">
        <f>20.5507</f>
        <v>20.550699999999999</v>
      </c>
      <c r="D1811">
        <f>15.22</f>
        <v>15.22</v>
      </c>
      <c r="E1811">
        <f>19.95</f>
        <v>19.95</v>
      </c>
    </row>
    <row r="1812" spans="1:5" x14ac:dyDescent="0.2">
      <c r="A1812" s="1">
        <v>42627</v>
      </c>
      <c r="B1812">
        <f>18.14</f>
        <v>18.14</v>
      </c>
      <c r="C1812">
        <f>22.2142</f>
        <v>22.214200000000002</v>
      </c>
      <c r="D1812">
        <f>16.75</f>
        <v>16.75</v>
      </c>
      <c r="E1812">
        <f>19.69</f>
        <v>19.690000000000001</v>
      </c>
    </row>
    <row r="1813" spans="1:5" x14ac:dyDescent="0.2">
      <c r="A1813" s="1">
        <v>42626</v>
      </c>
      <c r="B1813">
        <f>17.85</f>
        <v>17.850000000000001</v>
      </c>
      <c r="C1813">
        <f>22.7814</f>
        <v>22.781400000000001</v>
      </c>
      <c r="D1813">
        <f>17.36</f>
        <v>17.36</v>
      </c>
      <c r="E1813">
        <f>18.4</f>
        <v>18.399999999999999</v>
      </c>
    </row>
    <row r="1814" spans="1:5" x14ac:dyDescent="0.2">
      <c r="A1814" s="1">
        <v>42625</v>
      </c>
      <c r="B1814">
        <f>15.16</f>
        <v>15.16</v>
      </c>
      <c r="C1814">
        <f>21.8999</f>
        <v>21.899899999999999</v>
      </c>
      <c r="D1814">
        <f>16.32</f>
        <v>16.32</v>
      </c>
      <c r="E1814">
        <f>18.4</f>
        <v>18.399999999999999</v>
      </c>
    </row>
    <row r="1815" spans="1:5" x14ac:dyDescent="0.2">
      <c r="A1815" s="1">
        <v>42622</v>
      </c>
      <c r="B1815">
        <f>17.5</f>
        <v>17.5</v>
      </c>
      <c r="C1815">
        <f>19.2991</f>
        <v>19.299099999999999</v>
      </c>
      <c r="D1815">
        <f>12.93</f>
        <v>12.93</v>
      </c>
      <c r="E1815">
        <f>17.87</f>
        <v>17.87</v>
      </c>
    </row>
    <row r="1816" spans="1:5" x14ac:dyDescent="0.2">
      <c r="A1816" s="1">
        <v>42621</v>
      </c>
      <c r="B1816">
        <f>12.51</f>
        <v>12.51</v>
      </c>
      <c r="C1816">
        <f>17.8149</f>
        <v>17.814900000000002</v>
      </c>
      <c r="D1816">
        <f>10.68</f>
        <v>10.68</v>
      </c>
      <c r="E1816">
        <f>20.18</f>
        <v>20.18</v>
      </c>
    </row>
    <row r="1817" spans="1:5" x14ac:dyDescent="0.2">
      <c r="A1817" s="1">
        <v>42620</v>
      </c>
      <c r="B1817">
        <f>11.94</f>
        <v>11.94</v>
      </c>
      <c r="C1817">
        <f>18.5743</f>
        <v>18.574300000000001</v>
      </c>
      <c r="D1817">
        <f>12.99</f>
        <v>12.99</v>
      </c>
      <c r="E1817">
        <f>19.15</f>
        <v>19.149999999999999</v>
      </c>
    </row>
    <row r="1818" spans="1:5" x14ac:dyDescent="0.2">
      <c r="A1818" s="1">
        <v>42619</v>
      </c>
      <c r="B1818">
        <f>12.02</f>
        <v>12.02</v>
      </c>
      <c r="C1818">
        <f>19.0847</f>
        <v>19.084700000000002</v>
      </c>
      <c r="D1818">
        <f>13.63</f>
        <v>13.63</v>
      </c>
      <c r="E1818">
        <f>17.86</f>
        <v>17.86</v>
      </c>
    </row>
    <row r="1819" spans="1:5" x14ac:dyDescent="0.2">
      <c r="A1819" s="1">
        <v>42618</v>
      </c>
      <c r="B1819" t="e">
        <f>NA()</f>
        <v>#N/A</v>
      </c>
      <c r="C1819">
        <f>18.411</f>
        <v>18.411000000000001</v>
      </c>
      <c r="D1819">
        <f>12.87</f>
        <v>12.87</v>
      </c>
      <c r="E1819">
        <f>17.86</f>
        <v>17.86</v>
      </c>
    </row>
    <row r="1820" spans="1:5" x14ac:dyDescent="0.2">
      <c r="A1820" s="1">
        <v>42615</v>
      </c>
      <c r="B1820">
        <f>11.98</f>
        <v>11.98</v>
      </c>
      <c r="C1820">
        <f>18.2963</f>
        <v>18.296299999999999</v>
      </c>
      <c r="D1820">
        <f>12.5</f>
        <v>12.5</v>
      </c>
      <c r="E1820">
        <f>17.85</f>
        <v>17.850000000000001</v>
      </c>
    </row>
    <row r="1821" spans="1:5" x14ac:dyDescent="0.2">
      <c r="A1821" s="1">
        <v>42614</v>
      </c>
      <c r="B1821">
        <f>13.48</f>
        <v>13.48</v>
      </c>
      <c r="C1821">
        <f>20.0636</f>
        <v>20.063600000000001</v>
      </c>
      <c r="D1821">
        <f>14.37</f>
        <v>14.37</v>
      </c>
      <c r="E1821">
        <f>18.37</f>
        <v>18.37</v>
      </c>
    </row>
    <row r="1822" spans="1:5" x14ac:dyDescent="0.2">
      <c r="A1822" s="1">
        <v>42613</v>
      </c>
      <c r="B1822">
        <f>13.42</f>
        <v>13.42</v>
      </c>
      <c r="C1822">
        <f>19.4166</f>
        <v>19.416599999999999</v>
      </c>
      <c r="D1822">
        <f>13.5</f>
        <v>13.5</v>
      </c>
      <c r="E1822">
        <f>18.37</f>
        <v>18.37</v>
      </c>
    </row>
    <row r="1823" spans="1:5" x14ac:dyDescent="0.2">
      <c r="A1823" s="1">
        <v>42612</v>
      </c>
      <c r="B1823">
        <f>13.12</f>
        <v>13.12</v>
      </c>
      <c r="C1823">
        <f>19.3723</f>
        <v>19.372299999999999</v>
      </c>
      <c r="D1823">
        <f>13.57</f>
        <v>13.57</v>
      </c>
      <c r="E1823">
        <f>17.85</f>
        <v>17.850000000000001</v>
      </c>
    </row>
    <row r="1824" spans="1:5" x14ac:dyDescent="0.2">
      <c r="A1824" s="1">
        <v>42611</v>
      </c>
      <c r="B1824">
        <f>12.94</f>
        <v>12.94</v>
      </c>
      <c r="C1824">
        <f>20.1851</f>
        <v>20.185099999999998</v>
      </c>
      <c r="D1824" t="e">
        <f>NA()</f>
        <v>#N/A</v>
      </c>
      <c r="E1824">
        <f>17.84</f>
        <v>17.84</v>
      </c>
    </row>
    <row r="1825" spans="1:5" x14ac:dyDescent="0.2">
      <c r="A1825" s="1">
        <v>42608</v>
      </c>
      <c r="B1825">
        <f>13.65</f>
        <v>13.65</v>
      </c>
      <c r="C1825">
        <f>19.4893</f>
        <v>19.4893</v>
      </c>
      <c r="D1825">
        <f>13.18</f>
        <v>13.18</v>
      </c>
      <c r="E1825">
        <f>17.84</f>
        <v>17.84</v>
      </c>
    </row>
    <row r="1826" spans="1:5" x14ac:dyDescent="0.2">
      <c r="A1826" s="1">
        <v>42607</v>
      </c>
      <c r="B1826">
        <f>13.63</f>
        <v>13.63</v>
      </c>
      <c r="C1826">
        <f>20.4096</f>
        <v>20.409600000000001</v>
      </c>
      <c r="D1826">
        <f>13.86</f>
        <v>13.86</v>
      </c>
      <c r="E1826">
        <f>17.85</f>
        <v>17.850000000000001</v>
      </c>
    </row>
    <row r="1827" spans="1:5" x14ac:dyDescent="0.2">
      <c r="A1827" s="1">
        <v>42606</v>
      </c>
      <c r="B1827">
        <f>13.45</f>
        <v>13.45</v>
      </c>
      <c r="C1827">
        <f>19.8311</f>
        <v>19.831099999999999</v>
      </c>
      <c r="D1827">
        <f>13.31</f>
        <v>13.31</v>
      </c>
      <c r="E1827">
        <f>17.84</f>
        <v>17.84</v>
      </c>
    </row>
    <row r="1828" spans="1:5" x14ac:dyDescent="0.2">
      <c r="A1828" s="1">
        <v>42605</v>
      </c>
      <c r="B1828">
        <f>12.38</f>
        <v>12.38</v>
      </c>
      <c r="C1828">
        <f>20.2231</f>
        <v>20.223099999999999</v>
      </c>
      <c r="D1828">
        <f>13.18</f>
        <v>13.18</v>
      </c>
      <c r="E1828">
        <f>18.39</f>
        <v>18.39</v>
      </c>
    </row>
    <row r="1829" spans="1:5" x14ac:dyDescent="0.2">
      <c r="A1829" s="1">
        <v>42604</v>
      </c>
      <c r="B1829">
        <f>12.27</f>
        <v>12.27</v>
      </c>
      <c r="C1829">
        <f>21.6649</f>
        <v>21.664899999999999</v>
      </c>
      <c r="D1829">
        <f>14.31</f>
        <v>14.31</v>
      </c>
      <c r="E1829">
        <f>18.41</f>
        <v>18.41</v>
      </c>
    </row>
    <row r="1830" spans="1:5" x14ac:dyDescent="0.2">
      <c r="A1830" s="1">
        <v>42601</v>
      </c>
      <c r="B1830">
        <f>11.34</f>
        <v>11.34</v>
      </c>
      <c r="C1830">
        <f>21.1313</f>
        <v>21.1313</v>
      </c>
      <c r="D1830">
        <f>13.4</f>
        <v>13.4</v>
      </c>
      <c r="E1830">
        <f>18.41</f>
        <v>18.41</v>
      </c>
    </row>
    <row r="1831" spans="1:5" x14ac:dyDescent="0.2">
      <c r="A1831" s="1">
        <v>42600</v>
      </c>
      <c r="B1831">
        <f>11.43</f>
        <v>11.43</v>
      </c>
      <c r="C1831">
        <f>20.3198</f>
        <v>20.319800000000001</v>
      </c>
      <c r="D1831">
        <f>12.73</f>
        <v>12.73</v>
      </c>
      <c r="E1831">
        <f>18.13</f>
        <v>18.13</v>
      </c>
    </row>
    <row r="1832" spans="1:5" x14ac:dyDescent="0.2">
      <c r="A1832" s="1">
        <v>42599</v>
      </c>
      <c r="B1832">
        <f>12.19</f>
        <v>12.19</v>
      </c>
      <c r="C1832">
        <f>21.1903</f>
        <v>21.190300000000001</v>
      </c>
      <c r="D1832">
        <f>14.14</f>
        <v>14.14</v>
      </c>
      <c r="E1832">
        <f>19.6</f>
        <v>19.600000000000001</v>
      </c>
    </row>
    <row r="1833" spans="1:5" x14ac:dyDescent="0.2">
      <c r="A1833" s="1">
        <v>42598</v>
      </c>
      <c r="B1833">
        <f>12.64</f>
        <v>12.64</v>
      </c>
      <c r="C1833">
        <f>20.0679</f>
        <v>20.067900000000002</v>
      </c>
      <c r="D1833">
        <f>13.7</f>
        <v>13.7</v>
      </c>
      <c r="E1833">
        <f>19.6</f>
        <v>19.600000000000001</v>
      </c>
    </row>
    <row r="1834" spans="1:5" x14ac:dyDescent="0.2">
      <c r="A1834" s="1">
        <v>42597</v>
      </c>
      <c r="B1834">
        <f>11.81</f>
        <v>11.81</v>
      </c>
      <c r="C1834">
        <f>18.8343</f>
        <v>18.834299999999999</v>
      </c>
      <c r="D1834">
        <f>12.81</f>
        <v>12.81</v>
      </c>
      <c r="E1834">
        <f>19.62</f>
        <v>19.62</v>
      </c>
    </row>
    <row r="1835" spans="1:5" x14ac:dyDescent="0.2">
      <c r="A1835" s="1">
        <v>42594</v>
      </c>
      <c r="B1835">
        <f>11.55</f>
        <v>11.55</v>
      </c>
      <c r="C1835">
        <f>17.8981</f>
        <v>17.898099999999999</v>
      </c>
      <c r="D1835">
        <f>12.44</f>
        <v>12.44</v>
      </c>
      <c r="E1835">
        <f>19.08</f>
        <v>19.079999999999998</v>
      </c>
    </row>
    <row r="1836" spans="1:5" x14ac:dyDescent="0.2">
      <c r="A1836" s="1">
        <v>42593</v>
      </c>
      <c r="B1836">
        <f>11.68</f>
        <v>11.68</v>
      </c>
      <c r="C1836">
        <f>18.3588</f>
        <v>18.358799999999999</v>
      </c>
      <c r="D1836">
        <f>12.63</f>
        <v>12.63</v>
      </c>
      <c r="E1836">
        <f>19.3</f>
        <v>19.3</v>
      </c>
    </row>
    <row r="1837" spans="1:5" x14ac:dyDescent="0.2">
      <c r="A1837" s="1">
        <v>42592</v>
      </c>
      <c r="B1837">
        <f>12.05</f>
        <v>12.05</v>
      </c>
      <c r="C1837">
        <f>19.1902</f>
        <v>19.190200000000001</v>
      </c>
      <c r="D1837">
        <f>13.4</f>
        <v>13.4</v>
      </c>
      <c r="E1837">
        <f>20.78</f>
        <v>20.78</v>
      </c>
    </row>
    <row r="1838" spans="1:5" x14ac:dyDescent="0.2">
      <c r="A1838" s="1">
        <v>42591</v>
      </c>
      <c r="B1838">
        <f>11.66</f>
        <v>11.66</v>
      </c>
      <c r="C1838">
        <f>18.2898</f>
        <v>18.2898</v>
      </c>
      <c r="D1838">
        <f>12.7</f>
        <v>12.7</v>
      </c>
      <c r="E1838" t="e">
        <f>NA()</f>
        <v>#N/A</v>
      </c>
    </row>
    <row r="1839" spans="1:5" x14ac:dyDescent="0.2">
      <c r="A1839" s="1">
        <v>42590</v>
      </c>
      <c r="B1839">
        <f>11.5</f>
        <v>11.5</v>
      </c>
      <c r="C1839">
        <f>18.9378</f>
        <v>18.937799999999999</v>
      </c>
      <c r="D1839">
        <f>12.54</f>
        <v>12.54</v>
      </c>
      <c r="E1839">
        <f>20.46</f>
        <v>20.46</v>
      </c>
    </row>
    <row r="1840" spans="1:5" x14ac:dyDescent="0.2">
      <c r="A1840" s="1">
        <v>42587</v>
      </c>
      <c r="B1840">
        <f>11.39</f>
        <v>11.39</v>
      </c>
      <c r="C1840">
        <f>19.3019</f>
        <v>19.3019</v>
      </c>
      <c r="D1840">
        <f>12.76</f>
        <v>12.76</v>
      </c>
      <c r="E1840">
        <f>20.28</f>
        <v>20.28</v>
      </c>
    </row>
    <row r="1841" spans="1:5" x14ac:dyDescent="0.2">
      <c r="A1841" s="1">
        <v>42586</v>
      </c>
      <c r="B1841">
        <f>12.42</f>
        <v>12.42</v>
      </c>
      <c r="C1841">
        <f>21.4128</f>
        <v>21.412800000000001</v>
      </c>
      <c r="D1841">
        <f>13.74</f>
        <v>13.74</v>
      </c>
      <c r="E1841">
        <f>20.2</f>
        <v>20.2</v>
      </c>
    </row>
    <row r="1842" spans="1:5" x14ac:dyDescent="0.2">
      <c r="A1842" s="1">
        <v>42585</v>
      </c>
      <c r="B1842">
        <f>12.86</f>
        <v>12.86</v>
      </c>
      <c r="C1842">
        <f>22.9514</f>
        <v>22.9514</v>
      </c>
      <c r="D1842">
        <f>15.47</f>
        <v>15.47</v>
      </c>
      <c r="E1842" t="e">
        <f>NA()</f>
        <v>#N/A</v>
      </c>
    </row>
    <row r="1843" spans="1:5" x14ac:dyDescent="0.2">
      <c r="A1843" s="1">
        <v>42584</v>
      </c>
      <c r="B1843">
        <f>13.37</f>
        <v>13.37</v>
      </c>
      <c r="C1843">
        <f>23.1234</f>
        <v>23.1234</v>
      </c>
      <c r="D1843">
        <f>15.05</f>
        <v>15.05</v>
      </c>
      <c r="E1843">
        <f>20.16</f>
        <v>20.16</v>
      </c>
    </row>
    <row r="1844" spans="1:5" x14ac:dyDescent="0.2">
      <c r="A1844" s="1">
        <v>42583</v>
      </c>
      <c r="B1844">
        <f>12.44</f>
        <v>12.44</v>
      </c>
      <c r="C1844">
        <f>20.3298</f>
        <v>20.329799999999999</v>
      </c>
      <c r="D1844">
        <f>13.29</f>
        <v>13.29</v>
      </c>
      <c r="E1844">
        <f>20.76</f>
        <v>20.76</v>
      </c>
    </row>
    <row r="1845" spans="1:5" x14ac:dyDescent="0.2">
      <c r="A1845" s="1">
        <v>42580</v>
      </c>
      <c r="B1845">
        <f>11.87</f>
        <v>11.87</v>
      </c>
      <c r="C1845">
        <f>20.2451</f>
        <v>20.245100000000001</v>
      </c>
      <c r="D1845">
        <f>13.5</f>
        <v>13.5</v>
      </c>
      <c r="E1845">
        <f>20.78</f>
        <v>20.78</v>
      </c>
    </row>
    <row r="1846" spans="1:5" x14ac:dyDescent="0.2">
      <c r="A1846" s="1">
        <v>42579</v>
      </c>
      <c r="B1846">
        <f>12.72</f>
        <v>12.72</v>
      </c>
      <c r="C1846">
        <f>20.9929</f>
        <v>20.992899999999999</v>
      </c>
      <c r="D1846">
        <f>13.97</f>
        <v>13.97</v>
      </c>
      <c r="E1846">
        <f>20.25</f>
        <v>20.25</v>
      </c>
    </row>
    <row r="1847" spans="1:5" x14ac:dyDescent="0.2">
      <c r="A1847" s="1">
        <v>42578</v>
      </c>
      <c r="B1847">
        <f>12.83</f>
        <v>12.83</v>
      </c>
      <c r="C1847">
        <f>20.5334</f>
        <v>20.5334</v>
      </c>
      <c r="D1847">
        <f>13.57</f>
        <v>13.57</v>
      </c>
      <c r="E1847">
        <f>19.74</f>
        <v>19.739999999999998</v>
      </c>
    </row>
    <row r="1848" spans="1:5" x14ac:dyDescent="0.2">
      <c r="A1848" s="1">
        <v>42577</v>
      </c>
      <c r="B1848">
        <f>13.05</f>
        <v>13.05</v>
      </c>
      <c r="C1848">
        <f>20.1355</f>
        <v>20.1355</v>
      </c>
      <c r="D1848">
        <f>13.66</f>
        <v>13.66</v>
      </c>
      <c r="E1848">
        <f>19.74</f>
        <v>19.739999999999998</v>
      </c>
    </row>
    <row r="1849" spans="1:5" x14ac:dyDescent="0.2">
      <c r="A1849" s="1">
        <v>42576</v>
      </c>
      <c r="B1849">
        <f>12.87</f>
        <v>12.87</v>
      </c>
      <c r="C1849">
        <f>19.918</f>
        <v>19.917999999999999</v>
      </c>
      <c r="D1849">
        <f>13.77</f>
        <v>13.77</v>
      </c>
      <c r="E1849">
        <f>20.08</f>
        <v>20.079999999999998</v>
      </c>
    </row>
    <row r="1850" spans="1:5" x14ac:dyDescent="0.2">
      <c r="A1850" s="1">
        <v>42573</v>
      </c>
      <c r="B1850">
        <f>12.02</f>
        <v>12.02</v>
      </c>
      <c r="C1850">
        <f>19.1159</f>
        <v>19.1159</v>
      </c>
      <c r="D1850">
        <f>13.35</f>
        <v>13.35</v>
      </c>
      <c r="E1850">
        <f>20.11</f>
        <v>20.11</v>
      </c>
    </row>
    <row r="1851" spans="1:5" x14ac:dyDescent="0.2">
      <c r="A1851" s="1">
        <v>42572</v>
      </c>
      <c r="B1851">
        <f>12.74</f>
        <v>12.74</v>
      </c>
      <c r="C1851">
        <f>19.4501</f>
        <v>19.450099999999999</v>
      </c>
      <c r="D1851">
        <f>13.28</f>
        <v>13.28</v>
      </c>
      <c r="E1851">
        <f>20.1</f>
        <v>20.100000000000001</v>
      </c>
    </row>
    <row r="1852" spans="1:5" x14ac:dyDescent="0.2">
      <c r="A1852" s="1">
        <v>42571</v>
      </c>
      <c r="B1852">
        <f>11.77</f>
        <v>11.77</v>
      </c>
      <c r="C1852">
        <f>20.345</f>
        <v>20.344999999999999</v>
      </c>
      <c r="D1852">
        <f>13.53</f>
        <v>13.53</v>
      </c>
      <c r="E1852">
        <f>22.18</f>
        <v>22.18</v>
      </c>
    </row>
    <row r="1853" spans="1:5" x14ac:dyDescent="0.2">
      <c r="A1853" s="1">
        <v>42570</v>
      </c>
      <c r="B1853">
        <f>11.97</f>
        <v>11.97</v>
      </c>
      <c r="C1853">
        <f>21.0119</f>
        <v>21.011900000000001</v>
      </c>
      <c r="D1853">
        <f>14</f>
        <v>14</v>
      </c>
      <c r="E1853">
        <f>21.93</f>
        <v>21.93</v>
      </c>
    </row>
    <row r="1854" spans="1:5" x14ac:dyDescent="0.2">
      <c r="A1854" s="1">
        <v>42569</v>
      </c>
      <c r="B1854">
        <f>12.44</f>
        <v>12.44</v>
      </c>
      <c r="C1854">
        <f>20.8355</f>
        <v>20.8355</v>
      </c>
      <c r="D1854">
        <f>13.97</f>
        <v>13.97</v>
      </c>
      <c r="E1854">
        <f>21.57</f>
        <v>21.57</v>
      </c>
    </row>
    <row r="1855" spans="1:5" x14ac:dyDescent="0.2">
      <c r="A1855" s="1">
        <v>42566</v>
      </c>
      <c r="B1855">
        <f>12.67</f>
        <v>12.67</v>
      </c>
      <c r="C1855">
        <f>20.92</f>
        <v>20.92</v>
      </c>
      <c r="D1855">
        <f>14.69</f>
        <v>14.69</v>
      </c>
      <c r="E1855">
        <f>21.33</f>
        <v>21.33</v>
      </c>
    </row>
    <row r="1856" spans="1:5" x14ac:dyDescent="0.2">
      <c r="A1856" s="1">
        <v>42565</v>
      </c>
      <c r="B1856">
        <f>12.82</f>
        <v>12.82</v>
      </c>
      <c r="C1856">
        <f>21.8141</f>
        <v>21.8141</v>
      </c>
      <c r="D1856">
        <f>15.38</f>
        <v>15.38</v>
      </c>
      <c r="E1856">
        <f>21.45</f>
        <v>21.45</v>
      </c>
    </row>
    <row r="1857" spans="1:5" x14ac:dyDescent="0.2">
      <c r="A1857" s="1">
        <v>42564</v>
      </c>
      <c r="B1857">
        <f>13.04</f>
        <v>13.04</v>
      </c>
      <c r="C1857">
        <f>23.0918</f>
        <v>23.091799999999999</v>
      </c>
      <c r="D1857">
        <f>15.38</f>
        <v>15.38</v>
      </c>
      <c r="E1857">
        <f>21.45</f>
        <v>21.45</v>
      </c>
    </row>
    <row r="1858" spans="1:5" x14ac:dyDescent="0.2">
      <c r="A1858" s="1">
        <v>42563</v>
      </c>
      <c r="B1858">
        <f>13.55</f>
        <v>13.55</v>
      </c>
      <c r="C1858">
        <f>22.3198</f>
        <v>22.319800000000001</v>
      </c>
      <c r="D1858">
        <f>14.91</f>
        <v>14.91</v>
      </c>
      <c r="E1858">
        <f>21.72</f>
        <v>21.72</v>
      </c>
    </row>
    <row r="1859" spans="1:5" x14ac:dyDescent="0.2">
      <c r="A1859" s="1">
        <v>42562</v>
      </c>
      <c r="B1859">
        <f>13.54</f>
        <v>13.54</v>
      </c>
      <c r="C1859">
        <f>23.5704</f>
        <v>23.570399999999999</v>
      </c>
      <c r="D1859">
        <f>15.62</f>
        <v>15.62</v>
      </c>
      <c r="E1859">
        <f>22.13</f>
        <v>22.13</v>
      </c>
    </row>
    <row r="1860" spans="1:5" x14ac:dyDescent="0.2">
      <c r="A1860" s="1">
        <v>42559</v>
      </c>
      <c r="B1860">
        <f>13.2</f>
        <v>13.2</v>
      </c>
      <c r="C1860">
        <f>24.6151</f>
        <v>24.615100000000002</v>
      </c>
      <c r="D1860">
        <f>16.95</f>
        <v>16.95</v>
      </c>
      <c r="E1860">
        <f>23.11</f>
        <v>23.11</v>
      </c>
    </row>
    <row r="1861" spans="1:5" x14ac:dyDescent="0.2">
      <c r="A1861" s="1">
        <v>42558</v>
      </c>
      <c r="B1861">
        <f>14.76</f>
        <v>14.76</v>
      </c>
      <c r="C1861">
        <f>26.545</f>
        <v>26.545000000000002</v>
      </c>
      <c r="D1861">
        <f>19.13</f>
        <v>19.13</v>
      </c>
      <c r="E1861">
        <f>23.18</f>
        <v>23.18</v>
      </c>
    </row>
    <row r="1862" spans="1:5" x14ac:dyDescent="0.2">
      <c r="A1862" s="1">
        <v>42557</v>
      </c>
      <c r="B1862">
        <f>14.96</f>
        <v>14.96</v>
      </c>
      <c r="C1862">
        <f>28.2579</f>
        <v>28.257899999999999</v>
      </c>
      <c r="D1862">
        <f>21.62</f>
        <v>21.62</v>
      </c>
      <c r="E1862">
        <f>23.79</f>
        <v>23.79</v>
      </c>
    </row>
    <row r="1863" spans="1:5" x14ac:dyDescent="0.2">
      <c r="A1863" s="1">
        <v>42556</v>
      </c>
      <c r="B1863">
        <f>15.58</f>
        <v>15.58</v>
      </c>
      <c r="C1863">
        <f>26.7055</f>
        <v>26.705500000000001</v>
      </c>
      <c r="D1863">
        <f>19.98</f>
        <v>19.98</v>
      </c>
      <c r="E1863">
        <f>22.74</f>
        <v>22.74</v>
      </c>
    </row>
    <row r="1864" spans="1:5" x14ac:dyDescent="0.2">
      <c r="A1864" s="1">
        <v>42555</v>
      </c>
      <c r="B1864" t="e">
        <f>NA()</f>
        <v>#N/A</v>
      </c>
      <c r="C1864">
        <f>24.9798</f>
        <v>24.979800000000001</v>
      </c>
      <c r="D1864">
        <f>20.93</f>
        <v>20.93</v>
      </c>
      <c r="E1864">
        <f>22.17</f>
        <v>22.17</v>
      </c>
    </row>
    <row r="1865" spans="1:5" x14ac:dyDescent="0.2">
      <c r="A1865" s="1">
        <v>42552</v>
      </c>
      <c r="B1865">
        <f>14.77</f>
        <v>14.77</v>
      </c>
      <c r="C1865">
        <f>25.0196</f>
        <v>25.019600000000001</v>
      </c>
      <c r="D1865">
        <f>19.93</f>
        <v>19.93</v>
      </c>
      <c r="E1865">
        <f>22.41</f>
        <v>22.41</v>
      </c>
    </row>
    <row r="1866" spans="1:5" x14ac:dyDescent="0.2">
      <c r="A1866" s="1">
        <v>42551</v>
      </c>
      <c r="B1866">
        <f>15.63</f>
        <v>15.63</v>
      </c>
      <c r="C1866">
        <f>26.0765</f>
        <v>26.076499999999999</v>
      </c>
      <c r="D1866">
        <f>20.95</f>
        <v>20.95</v>
      </c>
      <c r="E1866">
        <f>22.52</f>
        <v>22.52</v>
      </c>
    </row>
    <row r="1867" spans="1:5" x14ac:dyDescent="0.2">
      <c r="A1867" s="1">
        <v>42550</v>
      </c>
      <c r="B1867">
        <f>16.64</f>
        <v>16.64</v>
      </c>
      <c r="C1867">
        <f>28.553</f>
        <v>28.553000000000001</v>
      </c>
      <c r="D1867">
        <f>22.72</f>
        <v>22.72</v>
      </c>
      <c r="E1867">
        <f>22.31</f>
        <v>22.31</v>
      </c>
    </row>
    <row r="1868" spans="1:5" x14ac:dyDescent="0.2">
      <c r="A1868" s="1">
        <v>42549</v>
      </c>
      <c r="B1868">
        <f>18.75</f>
        <v>18.75</v>
      </c>
      <c r="C1868">
        <f>31.0147</f>
        <v>31.014700000000001</v>
      </c>
      <c r="D1868">
        <f>24.57</f>
        <v>24.57</v>
      </c>
      <c r="E1868">
        <f>23.04</f>
        <v>23.04</v>
      </c>
    </row>
    <row r="1869" spans="1:5" x14ac:dyDescent="0.2">
      <c r="A1869" s="1">
        <v>42548</v>
      </c>
      <c r="B1869">
        <f>23.85</f>
        <v>23.85</v>
      </c>
      <c r="C1869">
        <f>34.9988</f>
        <v>34.998800000000003</v>
      </c>
      <c r="D1869">
        <f>29.07</f>
        <v>29.07</v>
      </c>
      <c r="E1869">
        <f>23.78</f>
        <v>23.78</v>
      </c>
    </row>
    <row r="1870" spans="1:5" x14ac:dyDescent="0.2">
      <c r="A1870" s="1">
        <v>42545</v>
      </c>
      <c r="B1870">
        <f>25.76</f>
        <v>25.76</v>
      </c>
      <c r="C1870">
        <f>35.4279</f>
        <v>35.427900000000001</v>
      </c>
      <c r="D1870">
        <f>25.78</f>
        <v>25.78</v>
      </c>
      <c r="E1870">
        <f>23.63</f>
        <v>23.63</v>
      </c>
    </row>
    <row r="1871" spans="1:5" x14ac:dyDescent="0.2">
      <c r="A1871" s="1">
        <v>42544</v>
      </c>
      <c r="B1871">
        <f>17.25</f>
        <v>17.25</v>
      </c>
      <c r="C1871">
        <f>32.0555</f>
        <v>32.055500000000002</v>
      </c>
      <c r="D1871">
        <f>27.69</f>
        <v>27.69</v>
      </c>
      <c r="E1871">
        <f>22.3</f>
        <v>22.3</v>
      </c>
    </row>
    <row r="1872" spans="1:5" x14ac:dyDescent="0.2">
      <c r="A1872" s="1">
        <v>42543</v>
      </c>
      <c r="B1872">
        <f>21.17</f>
        <v>21.17</v>
      </c>
      <c r="C1872">
        <f>36.0375</f>
        <v>36.037500000000001</v>
      </c>
      <c r="D1872">
        <f>29.86</f>
        <v>29.86</v>
      </c>
      <c r="E1872">
        <f>22.32</f>
        <v>22.32</v>
      </c>
    </row>
    <row r="1873" spans="1:5" x14ac:dyDescent="0.2">
      <c r="A1873" s="1">
        <v>42542</v>
      </c>
      <c r="B1873">
        <f>18.48</f>
        <v>18.48</v>
      </c>
      <c r="C1873">
        <f>34.4684</f>
        <v>34.468400000000003</v>
      </c>
      <c r="D1873">
        <f>28.39</f>
        <v>28.39</v>
      </c>
      <c r="E1873">
        <f>22.83</f>
        <v>22.83</v>
      </c>
    </row>
    <row r="1874" spans="1:5" x14ac:dyDescent="0.2">
      <c r="A1874" s="1">
        <v>42541</v>
      </c>
      <c r="B1874">
        <f>18.37</f>
        <v>18.37</v>
      </c>
      <c r="C1874">
        <f>34.2207</f>
        <v>34.220700000000001</v>
      </c>
      <c r="D1874">
        <f>27.09</f>
        <v>27.09</v>
      </c>
      <c r="E1874">
        <f>22.87</f>
        <v>22.87</v>
      </c>
    </row>
    <row r="1875" spans="1:5" x14ac:dyDescent="0.2">
      <c r="A1875" s="1">
        <v>42538</v>
      </c>
      <c r="B1875">
        <f>19.41</f>
        <v>19.41</v>
      </c>
      <c r="C1875">
        <f>38.0273</f>
        <v>38.027299999999997</v>
      </c>
      <c r="D1875">
        <f>31.27</f>
        <v>31.27</v>
      </c>
      <c r="E1875">
        <f>23.42</f>
        <v>23.42</v>
      </c>
    </row>
    <row r="1876" spans="1:5" x14ac:dyDescent="0.2">
      <c r="A1876" s="1">
        <v>42537</v>
      </c>
      <c r="B1876">
        <f>19.37</f>
        <v>19.37</v>
      </c>
      <c r="C1876">
        <f>39.8975</f>
        <v>39.897500000000001</v>
      </c>
      <c r="D1876">
        <f>33.55</f>
        <v>33.549999999999997</v>
      </c>
      <c r="E1876" t="e">
        <f>NA()</f>
        <v>#N/A</v>
      </c>
    </row>
    <row r="1877" spans="1:5" x14ac:dyDescent="0.2">
      <c r="A1877" s="1">
        <v>42536</v>
      </c>
      <c r="B1877">
        <f>20.14</f>
        <v>20.14</v>
      </c>
      <c r="C1877">
        <f>37.6871</f>
        <v>37.687100000000001</v>
      </c>
      <c r="D1877">
        <f>29.76</f>
        <v>29.76</v>
      </c>
      <c r="E1877">
        <f>23.56</f>
        <v>23.56</v>
      </c>
    </row>
    <row r="1878" spans="1:5" x14ac:dyDescent="0.2">
      <c r="A1878" s="1">
        <v>42535</v>
      </c>
      <c r="B1878">
        <f>20.5</f>
        <v>20.5</v>
      </c>
      <c r="C1878">
        <f>38.3353</f>
        <v>38.335299999999997</v>
      </c>
      <c r="D1878">
        <f>30.08</f>
        <v>30.08</v>
      </c>
      <c r="E1878">
        <f>23.81</f>
        <v>23.81</v>
      </c>
    </row>
    <row r="1879" spans="1:5" x14ac:dyDescent="0.2">
      <c r="A1879" s="1">
        <v>42534</v>
      </c>
      <c r="B1879">
        <f>20.97</f>
        <v>20.97</v>
      </c>
      <c r="C1879">
        <f>34.3644</f>
        <v>34.364400000000003</v>
      </c>
      <c r="D1879">
        <f>27.25</f>
        <v>27.25</v>
      </c>
      <c r="E1879">
        <f>22.8</f>
        <v>22.8</v>
      </c>
    </row>
    <row r="1880" spans="1:5" x14ac:dyDescent="0.2">
      <c r="A1880" s="1">
        <v>42531</v>
      </c>
      <c r="B1880">
        <f>17.03</f>
        <v>17.03</v>
      </c>
      <c r="C1880">
        <f>30.2251</f>
        <v>30.225100000000001</v>
      </c>
      <c r="D1880">
        <f>25.44</f>
        <v>25.44</v>
      </c>
      <c r="E1880">
        <f>22.04</f>
        <v>22.04</v>
      </c>
    </row>
    <row r="1881" spans="1:5" x14ac:dyDescent="0.2">
      <c r="A1881" s="1">
        <v>42530</v>
      </c>
      <c r="B1881">
        <f>14.64</f>
        <v>14.64</v>
      </c>
      <c r="C1881">
        <f>25.8413</f>
        <v>25.8413</v>
      </c>
      <c r="D1881">
        <f>21.88</f>
        <v>21.88</v>
      </c>
      <c r="E1881">
        <f>21.79</f>
        <v>21.79</v>
      </c>
    </row>
    <row r="1882" spans="1:5" x14ac:dyDescent="0.2">
      <c r="A1882" s="1">
        <v>42529</v>
      </c>
      <c r="B1882">
        <f>14.08</f>
        <v>14.08</v>
      </c>
      <c r="C1882">
        <f>24.3166</f>
        <v>24.316600000000001</v>
      </c>
      <c r="D1882">
        <f>19.43</f>
        <v>19.43</v>
      </c>
      <c r="E1882">
        <f>21.77</f>
        <v>21.77</v>
      </c>
    </row>
    <row r="1883" spans="1:5" x14ac:dyDescent="0.2">
      <c r="A1883" s="1">
        <v>42528</v>
      </c>
      <c r="B1883">
        <f>14.05</f>
        <v>14.05</v>
      </c>
      <c r="C1883">
        <f>23.3496</f>
        <v>23.349599999999999</v>
      </c>
      <c r="D1883">
        <f>19.3</f>
        <v>19.3</v>
      </c>
      <c r="E1883">
        <f>21.51</f>
        <v>21.51</v>
      </c>
    </row>
    <row r="1884" spans="1:5" x14ac:dyDescent="0.2">
      <c r="A1884" s="1">
        <v>42527</v>
      </c>
      <c r="B1884">
        <f>13.65</f>
        <v>13.65</v>
      </c>
      <c r="C1884">
        <f>24.0527</f>
        <v>24.052700000000002</v>
      </c>
      <c r="D1884">
        <f>19.07</f>
        <v>19.07</v>
      </c>
      <c r="E1884">
        <f>21.51</f>
        <v>21.51</v>
      </c>
    </row>
    <row r="1885" spans="1:5" x14ac:dyDescent="0.2">
      <c r="A1885" s="1">
        <v>42524</v>
      </c>
      <c r="B1885">
        <f>13.47</f>
        <v>13.47</v>
      </c>
      <c r="C1885">
        <f>23.5541</f>
        <v>23.554099999999998</v>
      </c>
      <c r="D1885">
        <f>19.11</f>
        <v>19.11</v>
      </c>
      <c r="E1885">
        <f>21.26</f>
        <v>21.26</v>
      </c>
    </row>
    <row r="1886" spans="1:5" x14ac:dyDescent="0.2">
      <c r="A1886" s="1">
        <v>42523</v>
      </c>
      <c r="B1886">
        <f>13.63</f>
        <v>13.63</v>
      </c>
      <c r="C1886">
        <f>23.1068</f>
        <v>23.1068</v>
      </c>
      <c r="D1886">
        <f>19.01</f>
        <v>19.010000000000002</v>
      </c>
      <c r="E1886">
        <f>21.26</f>
        <v>21.26</v>
      </c>
    </row>
    <row r="1887" spans="1:5" x14ac:dyDescent="0.2">
      <c r="A1887" s="1">
        <v>42522</v>
      </c>
      <c r="B1887">
        <f>14.2</f>
        <v>14.2</v>
      </c>
      <c r="C1887">
        <f>23.9317</f>
        <v>23.931699999999999</v>
      </c>
      <c r="D1887">
        <f>19.4</f>
        <v>19.399999999999999</v>
      </c>
      <c r="E1887">
        <f>21.5</f>
        <v>21.5</v>
      </c>
    </row>
    <row r="1888" spans="1:5" x14ac:dyDescent="0.2">
      <c r="A1888" s="1">
        <v>42521</v>
      </c>
      <c r="B1888">
        <f>14.19</f>
        <v>14.19</v>
      </c>
      <c r="C1888">
        <f>22.1149</f>
        <v>22.114899999999999</v>
      </c>
      <c r="D1888">
        <f>18.27</f>
        <v>18.27</v>
      </c>
      <c r="E1888">
        <f>21.23</f>
        <v>21.23</v>
      </c>
    </row>
    <row r="1889" spans="1:5" x14ac:dyDescent="0.2">
      <c r="A1889" s="1">
        <v>42520</v>
      </c>
      <c r="B1889" t="e">
        <f>NA()</f>
        <v>#N/A</v>
      </c>
      <c r="C1889">
        <f>20.9441</f>
        <v>20.944099999999999</v>
      </c>
      <c r="D1889" t="e">
        <f>NA()</f>
        <v>#N/A</v>
      </c>
      <c r="E1889">
        <f>20.71</f>
        <v>20.71</v>
      </c>
    </row>
    <row r="1890" spans="1:5" x14ac:dyDescent="0.2">
      <c r="A1890" s="1">
        <v>42517</v>
      </c>
      <c r="B1890">
        <f>13.12</f>
        <v>13.12</v>
      </c>
      <c r="C1890">
        <f>20.4629</f>
        <v>20.462900000000001</v>
      </c>
      <c r="D1890">
        <f>16.04</f>
        <v>16.04</v>
      </c>
      <c r="E1890">
        <f>20.99</f>
        <v>20.99</v>
      </c>
    </row>
    <row r="1891" spans="1:5" x14ac:dyDescent="0.2">
      <c r="A1891" s="1">
        <v>42516</v>
      </c>
      <c r="B1891">
        <f>13.43</f>
        <v>13.43</v>
      </c>
      <c r="C1891">
        <f>20.819</f>
        <v>20.818999999999999</v>
      </c>
      <c r="D1891">
        <f>16.79</f>
        <v>16.79</v>
      </c>
      <c r="E1891">
        <f>20.98</f>
        <v>20.98</v>
      </c>
    </row>
    <row r="1892" spans="1:5" x14ac:dyDescent="0.2">
      <c r="A1892" s="1">
        <v>42515</v>
      </c>
      <c r="B1892">
        <f>13.9</f>
        <v>13.9</v>
      </c>
      <c r="C1892">
        <f>21.0604</f>
        <v>21.060400000000001</v>
      </c>
      <c r="D1892">
        <f>16.81</f>
        <v>16.809999999999999</v>
      </c>
      <c r="E1892">
        <f>20.97</f>
        <v>20.97</v>
      </c>
    </row>
    <row r="1893" spans="1:5" x14ac:dyDescent="0.2">
      <c r="A1893" s="1">
        <v>42514</v>
      </c>
      <c r="B1893">
        <f>14.42</f>
        <v>14.42</v>
      </c>
      <c r="C1893">
        <f>21.7857</f>
        <v>21.785699999999999</v>
      </c>
      <c r="D1893">
        <f>17.24</f>
        <v>17.239999999999998</v>
      </c>
      <c r="E1893">
        <f>21.52</f>
        <v>21.52</v>
      </c>
    </row>
    <row r="1894" spans="1:5" x14ac:dyDescent="0.2">
      <c r="A1894" s="1">
        <v>42513</v>
      </c>
      <c r="B1894">
        <f>15.82</f>
        <v>15.82</v>
      </c>
      <c r="C1894">
        <f>23.2929</f>
        <v>23.292899999999999</v>
      </c>
      <c r="D1894">
        <f>18.28</f>
        <v>18.28</v>
      </c>
      <c r="E1894">
        <f>21.81</f>
        <v>21.81</v>
      </c>
    </row>
    <row r="1895" spans="1:5" x14ac:dyDescent="0.2">
      <c r="A1895" s="1">
        <v>42510</v>
      </c>
      <c r="B1895">
        <f>15.2</f>
        <v>15.2</v>
      </c>
      <c r="C1895">
        <f>22.6043</f>
        <v>22.604299999999999</v>
      </c>
      <c r="D1895">
        <f>17.51</f>
        <v>17.510000000000002</v>
      </c>
      <c r="E1895">
        <f>21.55</f>
        <v>21.55</v>
      </c>
    </row>
    <row r="1896" spans="1:5" x14ac:dyDescent="0.2">
      <c r="A1896" s="1">
        <v>42509</v>
      </c>
      <c r="B1896">
        <f>16.33</f>
        <v>16.329999999999998</v>
      </c>
      <c r="C1896">
        <f>24.3817</f>
        <v>24.381699999999999</v>
      </c>
      <c r="D1896">
        <f>18.96</f>
        <v>18.96</v>
      </c>
      <c r="E1896">
        <f>21.81</f>
        <v>21.81</v>
      </c>
    </row>
    <row r="1897" spans="1:5" x14ac:dyDescent="0.2">
      <c r="A1897" s="1">
        <v>42508</v>
      </c>
      <c r="B1897">
        <f>15.95</f>
        <v>15.95</v>
      </c>
      <c r="C1897">
        <f>23.2967</f>
        <v>23.296700000000001</v>
      </c>
      <c r="D1897">
        <f>17.02</f>
        <v>17.02</v>
      </c>
      <c r="E1897">
        <f>21.54</f>
        <v>21.54</v>
      </c>
    </row>
    <row r="1898" spans="1:5" x14ac:dyDescent="0.2">
      <c r="A1898" s="1">
        <v>42507</v>
      </c>
      <c r="B1898">
        <f>15.57</f>
        <v>15.57</v>
      </c>
      <c r="C1898">
        <f>24.474</f>
        <v>24.474</v>
      </c>
      <c r="D1898">
        <f>17.66</f>
        <v>17.66</v>
      </c>
      <c r="E1898">
        <f>21.87</f>
        <v>21.87</v>
      </c>
    </row>
    <row r="1899" spans="1:5" x14ac:dyDescent="0.2">
      <c r="A1899" s="1">
        <v>42506</v>
      </c>
      <c r="B1899">
        <f>14.68</f>
        <v>14.68</v>
      </c>
      <c r="C1899">
        <f>24.2125</f>
        <v>24.212499999999999</v>
      </c>
      <c r="D1899">
        <f>17.42</f>
        <v>17.420000000000002</v>
      </c>
      <c r="E1899" t="e">
        <f>NA()</f>
        <v>#N/A</v>
      </c>
    </row>
    <row r="1900" spans="1:5" x14ac:dyDescent="0.2">
      <c r="A1900" s="1">
        <v>42503</v>
      </c>
      <c r="B1900">
        <f>15.04</f>
        <v>15.04</v>
      </c>
      <c r="C1900">
        <f>23.5957</f>
        <v>23.595700000000001</v>
      </c>
      <c r="D1900">
        <f>15.75</f>
        <v>15.75</v>
      </c>
      <c r="E1900">
        <f>22.52</f>
        <v>22.52</v>
      </c>
    </row>
    <row r="1901" spans="1:5" x14ac:dyDescent="0.2">
      <c r="A1901" s="1">
        <v>42502</v>
      </c>
      <c r="B1901">
        <f>14.41</f>
        <v>14.41</v>
      </c>
      <c r="C1901">
        <f>24.4471</f>
        <v>24.447099999999999</v>
      </c>
      <c r="D1901">
        <f>16.04</f>
        <v>16.04</v>
      </c>
      <c r="E1901">
        <f>22.54</f>
        <v>22.54</v>
      </c>
    </row>
    <row r="1902" spans="1:5" x14ac:dyDescent="0.2">
      <c r="A1902" s="1">
        <v>42501</v>
      </c>
      <c r="B1902">
        <f>14.69</f>
        <v>14.69</v>
      </c>
      <c r="C1902">
        <f>23.8595</f>
        <v>23.859500000000001</v>
      </c>
      <c r="D1902">
        <f>17.4</f>
        <v>17.399999999999999</v>
      </c>
      <c r="E1902">
        <f>21.97</f>
        <v>21.97</v>
      </c>
    </row>
    <row r="1903" spans="1:5" x14ac:dyDescent="0.2">
      <c r="A1903" s="1">
        <v>42500</v>
      </c>
      <c r="B1903">
        <f>13.63</f>
        <v>13.63</v>
      </c>
      <c r="C1903">
        <f>23.891</f>
        <v>23.890999999999998</v>
      </c>
      <c r="D1903">
        <f>18.11</f>
        <v>18.11</v>
      </c>
      <c r="E1903">
        <f>22.27</f>
        <v>22.27</v>
      </c>
    </row>
    <row r="1904" spans="1:5" x14ac:dyDescent="0.2">
      <c r="A1904" s="1">
        <v>42499</v>
      </c>
      <c r="B1904">
        <f>14.57</f>
        <v>14.57</v>
      </c>
      <c r="C1904">
        <f>24.956</f>
        <v>24.956</v>
      </c>
      <c r="D1904">
        <f>18.91</f>
        <v>18.91</v>
      </c>
      <c r="E1904">
        <f>22.88</f>
        <v>22.88</v>
      </c>
    </row>
    <row r="1905" spans="1:5" x14ac:dyDescent="0.2">
      <c r="A1905" s="1">
        <v>42496</v>
      </c>
      <c r="B1905">
        <f>14.72</f>
        <v>14.72</v>
      </c>
      <c r="C1905">
        <f>25.1235</f>
        <v>25.1235</v>
      </c>
      <c r="D1905">
        <f>18.92</f>
        <v>18.920000000000002</v>
      </c>
      <c r="E1905">
        <f>22.93</f>
        <v>22.93</v>
      </c>
    </row>
    <row r="1906" spans="1:5" x14ac:dyDescent="0.2">
      <c r="A1906" s="1">
        <v>42495</v>
      </c>
      <c r="B1906">
        <f>15.91</f>
        <v>15.91</v>
      </c>
      <c r="C1906">
        <f>25.9343</f>
        <v>25.9343</v>
      </c>
      <c r="D1906">
        <f>19.12</f>
        <v>19.12</v>
      </c>
      <c r="E1906">
        <f>22.14</f>
        <v>22.14</v>
      </c>
    </row>
    <row r="1907" spans="1:5" x14ac:dyDescent="0.2">
      <c r="A1907" s="1">
        <v>42494</v>
      </c>
      <c r="B1907">
        <f>16.05</f>
        <v>16.05</v>
      </c>
      <c r="C1907">
        <f>27.0373</f>
        <v>27.037299999999998</v>
      </c>
      <c r="D1907">
        <f>19.99</f>
        <v>19.989999999999998</v>
      </c>
      <c r="E1907">
        <f>22.15</f>
        <v>22.15</v>
      </c>
    </row>
    <row r="1908" spans="1:5" x14ac:dyDescent="0.2">
      <c r="A1908" s="1">
        <v>42493</v>
      </c>
      <c r="B1908">
        <f>15.6</f>
        <v>15.6</v>
      </c>
      <c r="C1908">
        <f>26.4095</f>
        <v>26.409500000000001</v>
      </c>
      <c r="D1908">
        <f>18.89</f>
        <v>18.89</v>
      </c>
      <c r="E1908">
        <f>22.17</f>
        <v>22.17</v>
      </c>
    </row>
    <row r="1909" spans="1:5" x14ac:dyDescent="0.2">
      <c r="A1909" s="1">
        <v>42492</v>
      </c>
      <c r="B1909">
        <f>14.68</f>
        <v>14.68</v>
      </c>
      <c r="C1909">
        <f>25.1167</f>
        <v>25.116700000000002</v>
      </c>
      <c r="D1909" t="e">
        <f>NA()</f>
        <v>#N/A</v>
      </c>
      <c r="E1909" t="e">
        <f>NA()</f>
        <v>#N/A</v>
      </c>
    </row>
    <row r="1910" spans="1:5" x14ac:dyDescent="0.2">
      <c r="A1910" s="1">
        <v>42489</v>
      </c>
      <c r="B1910">
        <f>15.7</f>
        <v>15.7</v>
      </c>
      <c r="C1910">
        <f>24.033</f>
        <v>24.033000000000001</v>
      </c>
      <c r="D1910">
        <f>16.9</f>
        <v>16.899999999999999</v>
      </c>
      <c r="E1910">
        <f>21.02</f>
        <v>21.02</v>
      </c>
    </row>
    <row r="1911" spans="1:5" x14ac:dyDescent="0.2">
      <c r="A1911" s="1">
        <v>42488</v>
      </c>
      <c r="B1911">
        <f>15.22</f>
        <v>15.22</v>
      </c>
      <c r="C1911">
        <f>20.8538</f>
        <v>20.8538</v>
      </c>
      <c r="D1911">
        <f>15.11</f>
        <v>15.11</v>
      </c>
      <c r="E1911">
        <f>21.48</f>
        <v>21.48</v>
      </c>
    </row>
    <row r="1912" spans="1:5" x14ac:dyDescent="0.2">
      <c r="A1912" s="1">
        <v>42487</v>
      </c>
      <c r="B1912">
        <f>13.77</f>
        <v>13.77</v>
      </c>
      <c r="C1912">
        <f>21.2843</f>
        <v>21.284300000000002</v>
      </c>
      <c r="D1912">
        <f>15.53</f>
        <v>15.53</v>
      </c>
      <c r="E1912" t="e">
        <f>NA()</f>
        <v>#N/A</v>
      </c>
    </row>
    <row r="1913" spans="1:5" x14ac:dyDescent="0.2">
      <c r="A1913" s="1">
        <v>42486</v>
      </c>
      <c r="B1913">
        <f>13.96</f>
        <v>13.96</v>
      </c>
      <c r="C1913">
        <f>21.2816</f>
        <v>21.281600000000001</v>
      </c>
      <c r="D1913">
        <f>15.47</f>
        <v>15.47</v>
      </c>
      <c r="E1913">
        <f>21.56</f>
        <v>21.56</v>
      </c>
    </row>
    <row r="1914" spans="1:5" x14ac:dyDescent="0.2">
      <c r="A1914" s="1">
        <v>42485</v>
      </c>
      <c r="B1914">
        <f>14.08</f>
        <v>14.08</v>
      </c>
      <c r="C1914">
        <f>21.8388</f>
        <v>21.838799999999999</v>
      </c>
      <c r="D1914">
        <f>16.83</f>
        <v>16.829999999999998</v>
      </c>
      <c r="E1914">
        <f>21.63</f>
        <v>21.63</v>
      </c>
    </row>
    <row r="1915" spans="1:5" x14ac:dyDescent="0.2">
      <c r="A1915" s="1">
        <v>42482</v>
      </c>
      <c r="B1915">
        <f>13.22</f>
        <v>13.22</v>
      </c>
      <c r="C1915">
        <f>20.6022</f>
        <v>20.6022</v>
      </c>
      <c r="D1915">
        <f>15.67</f>
        <v>15.67</v>
      </c>
      <c r="E1915">
        <f>21.66</f>
        <v>21.66</v>
      </c>
    </row>
    <row r="1916" spans="1:5" x14ac:dyDescent="0.2">
      <c r="A1916" s="1">
        <v>42481</v>
      </c>
      <c r="B1916">
        <f>13.95</f>
        <v>13.95</v>
      </c>
      <c r="C1916">
        <f>20.3114</f>
        <v>20.311399999999999</v>
      </c>
      <c r="D1916">
        <f>14.26</f>
        <v>14.26</v>
      </c>
      <c r="E1916">
        <f>21.33</f>
        <v>21.33</v>
      </c>
    </row>
    <row r="1917" spans="1:5" x14ac:dyDescent="0.2">
      <c r="A1917" s="1">
        <v>42480</v>
      </c>
      <c r="B1917">
        <f>13.28</f>
        <v>13.28</v>
      </c>
      <c r="C1917">
        <f>19.8831</f>
        <v>19.883099999999999</v>
      </c>
      <c r="D1917">
        <f>13.99</f>
        <v>13.99</v>
      </c>
      <c r="E1917">
        <f>23</f>
        <v>23</v>
      </c>
    </row>
    <row r="1918" spans="1:5" x14ac:dyDescent="0.2">
      <c r="A1918" s="1">
        <v>42479</v>
      </c>
      <c r="B1918">
        <f>13.24</f>
        <v>13.24</v>
      </c>
      <c r="C1918">
        <f>20.3617</f>
        <v>20.361699999999999</v>
      </c>
      <c r="D1918">
        <f>14.51</f>
        <v>14.51</v>
      </c>
      <c r="E1918">
        <f>23.02</f>
        <v>23.02</v>
      </c>
    </row>
    <row r="1919" spans="1:5" x14ac:dyDescent="0.2">
      <c r="A1919" s="1">
        <v>42478</v>
      </c>
      <c r="B1919">
        <f>13.35</f>
        <v>13.35</v>
      </c>
      <c r="C1919">
        <f>21.2846</f>
        <v>21.284600000000001</v>
      </c>
      <c r="D1919">
        <f>15.49</f>
        <v>15.49</v>
      </c>
      <c r="E1919">
        <f>23.03</f>
        <v>23.03</v>
      </c>
    </row>
    <row r="1920" spans="1:5" x14ac:dyDescent="0.2">
      <c r="A1920" s="1">
        <v>42475</v>
      </c>
      <c r="B1920">
        <f>13.62</f>
        <v>13.62</v>
      </c>
      <c r="C1920">
        <f>20.5487</f>
        <v>20.5487</v>
      </c>
      <c r="D1920">
        <f>14.98</f>
        <v>14.98</v>
      </c>
      <c r="E1920">
        <f>23.07</f>
        <v>23.07</v>
      </c>
    </row>
    <row r="1921" spans="1:5" x14ac:dyDescent="0.2">
      <c r="A1921" s="1">
        <v>42474</v>
      </c>
      <c r="B1921">
        <f>13.72</f>
        <v>13.72</v>
      </c>
      <c r="C1921">
        <f>20.6302</f>
        <v>20.630199999999999</v>
      </c>
      <c r="D1921">
        <f>14.42</f>
        <v>14.42</v>
      </c>
      <c r="E1921">
        <f>23.08</f>
        <v>23.08</v>
      </c>
    </row>
    <row r="1922" spans="1:5" x14ac:dyDescent="0.2">
      <c r="A1922" s="1">
        <v>42473</v>
      </c>
      <c r="B1922">
        <f>13.84</f>
        <v>13.84</v>
      </c>
      <c r="C1922">
        <f>22.3118</f>
        <v>22.311800000000002</v>
      </c>
      <c r="D1922">
        <f>14.81</f>
        <v>14.81</v>
      </c>
      <c r="E1922">
        <f>23.1</f>
        <v>23.1</v>
      </c>
    </row>
    <row r="1923" spans="1:5" x14ac:dyDescent="0.2">
      <c r="A1923" s="1">
        <v>42472</v>
      </c>
      <c r="B1923">
        <f>14.85</f>
        <v>14.85</v>
      </c>
      <c r="C1923">
        <f>24.0775</f>
        <v>24.077500000000001</v>
      </c>
      <c r="D1923">
        <f>15.96</f>
        <v>15.96</v>
      </c>
      <c r="E1923">
        <f>23.13</f>
        <v>23.13</v>
      </c>
    </row>
    <row r="1924" spans="1:5" x14ac:dyDescent="0.2">
      <c r="A1924" s="1">
        <v>42471</v>
      </c>
      <c r="B1924">
        <f>16.26</f>
        <v>16.260000000000002</v>
      </c>
      <c r="C1924">
        <f>24.8863</f>
        <v>24.886299999999999</v>
      </c>
      <c r="D1924">
        <f>16.29</f>
        <v>16.29</v>
      </c>
      <c r="E1924">
        <f>23.14</f>
        <v>23.14</v>
      </c>
    </row>
    <row r="1925" spans="1:5" x14ac:dyDescent="0.2">
      <c r="A1925" s="1">
        <v>42468</v>
      </c>
      <c r="B1925">
        <f>15.36</f>
        <v>15.36</v>
      </c>
      <c r="C1925">
        <f>24.8054</f>
        <v>24.805399999999999</v>
      </c>
      <c r="D1925">
        <f>15.7</f>
        <v>15.7</v>
      </c>
      <c r="E1925">
        <f>23.18</f>
        <v>23.18</v>
      </c>
    </row>
    <row r="1926" spans="1:5" x14ac:dyDescent="0.2">
      <c r="A1926" s="1">
        <v>42467</v>
      </c>
      <c r="B1926">
        <f>16.16</f>
        <v>16.16</v>
      </c>
      <c r="C1926">
        <f>26.1571</f>
        <v>26.1571</v>
      </c>
      <c r="D1926">
        <f>17.33</f>
        <v>17.329999999999998</v>
      </c>
      <c r="E1926">
        <f>23.2</f>
        <v>23.2</v>
      </c>
    </row>
    <row r="1927" spans="1:5" x14ac:dyDescent="0.2">
      <c r="A1927" s="1">
        <v>42466</v>
      </c>
      <c r="B1927">
        <f>14.09</f>
        <v>14.09</v>
      </c>
      <c r="C1927">
        <f>25.1686</f>
        <v>25.168600000000001</v>
      </c>
      <c r="D1927">
        <f>17.42</f>
        <v>17.420000000000002</v>
      </c>
      <c r="E1927">
        <f>23.5</f>
        <v>23.5</v>
      </c>
    </row>
    <row r="1928" spans="1:5" x14ac:dyDescent="0.2">
      <c r="A1928" s="1">
        <v>42465</v>
      </c>
      <c r="B1928">
        <f>15.42</f>
        <v>15.42</v>
      </c>
      <c r="C1928">
        <f>26.623</f>
        <v>26.623000000000001</v>
      </c>
      <c r="D1928">
        <f>18.83</f>
        <v>18.829999999999998</v>
      </c>
      <c r="E1928">
        <f>23.55</f>
        <v>23.55</v>
      </c>
    </row>
    <row r="1929" spans="1:5" x14ac:dyDescent="0.2">
      <c r="A1929" s="1">
        <v>42464</v>
      </c>
      <c r="B1929">
        <f>14.12</f>
        <v>14.12</v>
      </c>
      <c r="C1929">
        <f>24.509</f>
        <v>24.509</v>
      </c>
      <c r="D1929">
        <f>17.2</f>
        <v>17.2</v>
      </c>
      <c r="E1929" t="e">
        <f>NA()</f>
        <v>#N/A</v>
      </c>
    </row>
    <row r="1930" spans="1:5" x14ac:dyDescent="0.2">
      <c r="A1930" s="1">
        <v>42461</v>
      </c>
      <c r="B1930">
        <f>13.1</f>
        <v>13.1</v>
      </c>
      <c r="C1930">
        <f>25.1088</f>
        <v>25.108799999999999</v>
      </c>
      <c r="D1930">
        <f>17.67</f>
        <v>17.670000000000002</v>
      </c>
      <c r="E1930">
        <f>23.46</f>
        <v>23.46</v>
      </c>
    </row>
    <row r="1931" spans="1:5" x14ac:dyDescent="0.2">
      <c r="A1931" s="1">
        <v>42460</v>
      </c>
      <c r="B1931">
        <f>13.95</f>
        <v>13.95</v>
      </c>
      <c r="C1931">
        <f>23.4487</f>
        <v>23.448699999999999</v>
      </c>
      <c r="D1931">
        <f>16.92</f>
        <v>16.920000000000002</v>
      </c>
      <c r="E1931">
        <f>22.97</f>
        <v>22.97</v>
      </c>
    </row>
    <row r="1932" spans="1:5" x14ac:dyDescent="0.2">
      <c r="A1932" s="1">
        <v>42459</v>
      </c>
      <c r="B1932">
        <f>13.56</f>
        <v>13.56</v>
      </c>
      <c r="C1932">
        <f>22.6443</f>
        <v>22.644300000000001</v>
      </c>
      <c r="D1932">
        <f>16.74</f>
        <v>16.739999999999998</v>
      </c>
      <c r="E1932">
        <f>23.15</f>
        <v>23.15</v>
      </c>
    </row>
    <row r="1933" spans="1:5" x14ac:dyDescent="0.2">
      <c r="A1933" s="1">
        <v>42458</v>
      </c>
      <c r="B1933">
        <f>13.82</f>
        <v>13.82</v>
      </c>
      <c r="C1933">
        <f>24.9043</f>
        <v>24.904299999999999</v>
      </c>
      <c r="D1933">
        <f>19.25</f>
        <v>19.25</v>
      </c>
      <c r="E1933">
        <f>23.21</f>
        <v>23.21</v>
      </c>
    </row>
    <row r="1934" spans="1:5" x14ac:dyDescent="0.2">
      <c r="A1934" s="1">
        <v>42457</v>
      </c>
      <c r="B1934">
        <f>15.24</f>
        <v>15.24</v>
      </c>
      <c r="C1934" t="e">
        <f>NA()</f>
        <v>#N/A</v>
      </c>
      <c r="D1934" t="e">
        <f>NA()</f>
        <v>#N/A</v>
      </c>
      <c r="E1934" t="e">
        <f>NA()</f>
        <v>#N/A</v>
      </c>
    </row>
    <row r="1935" spans="1:5" x14ac:dyDescent="0.2">
      <c r="A1935" s="1">
        <v>42453</v>
      </c>
      <c r="B1935">
        <f>14.74</f>
        <v>14.74</v>
      </c>
      <c r="C1935">
        <f>24.6287</f>
        <v>24.628699999999998</v>
      </c>
      <c r="D1935">
        <f>18.61</f>
        <v>18.61</v>
      </c>
      <c r="E1935">
        <f>22.84</f>
        <v>22.84</v>
      </c>
    </row>
    <row r="1936" spans="1:5" x14ac:dyDescent="0.2">
      <c r="A1936" s="1">
        <v>42452</v>
      </c>
      <c r="B1936">
        <f>14.94</f>
        <v>14.94</v>
      </c>
      <c r="C1936">
        <f>22.0971</f>
        <v>22.097100000000001</v>
      </c>
      <c r="D1936">
        <f>16.21</f>
        <v>16.21</v>
      </c>
      <c r="E1936">
        <f>22.86</f>
        <v>22.86</v>
      </c>
    </row>
    <row r="1937" spans="1:5" x14ac:dyDescent="0.2">
      <c r="A1937" s="1">
        <v>42451</v>
      </c>
      <c r="B1937">
        <f>14.17</f>
        <v>14.17</v>
      </c>
      <c r="C1937">
        <f>22.0365</f>
        <v>22.0365</v>
      </c>
      <c r="D1937">
        <f>16.32</f>
        <v>16.32</v>
      </c>
      <c r="E1937">
        <f>22.88</f>
        <v>22.88</v>
      </c>
    </row>
    <row r="1938" spans="1:5" x14ac:dyDescent="0.2">
      <c r="A1938" s="1">
        <v>42450</v>
      </c>
      <c r="B1938">
        <f>13.79</f>
        <v>13.79</v>
      </c>
      <c r="C1938">
        <f>21.8265</f>
        <v>21.826499999999999</v>
      </c>
      <c r="D1938">
        <f>16.06</f>
        <v>16.059999999999999</v>
      </c>
      <c r="E1938" t="e">
        <f>NA()</f>
        <v>#N/A</v>
      </c>
    </row>
    <row r="1939" spans="1:5" x14ac:dyDescent="0.2">
      <c r="A1939" s="1">
        <v>42447</v>
      </c>
      <c r="B1939">
        <f>14.02</f>
        <v>14.02</v>
      </c>
      <c r="C1939">
        <f>20.6567</f>
        <v>20.656700000000001</v>
      </c>
      <c r="D1939">
        <f>14.25</f>
        <v>14.25</v>
      </c>
      <c r="E1939">
        <f>22.63</f>
        <v>22.63</v>
      </c>
    </row>
    <row r="1940" spans="1:5" x14ac:dyDescent="0.2">
      <c r="A1940" s="1">
        <v>42446</v>
      </c>
      <c r="B1940">
        <f>14.44</f>
        <v>14.44</v>
      </c>
      <c r="C1940">
        <f>22.7536</f>
        <v>22.753599999999999</v>
      </c>
      <c r="D1940">
        <f>15.03</f>
        <v>15.03</v>
      </c>
      <c r="E1940">
        <f>22.27</f>
        <v>22.27</v>
      </c>
    </row>
    <row r="1941" spans="1:5" x14ac:dyDescent="0.2">
      <c r="A1941" s="1">
        <v>42445</v>
      </c>
      <c r="B1941">
        <f>14.99</f>
        <v>14.99</v>
      </c>
      <c r="C1941">
        <f>23.0994</f>
        <v>23.099399999999999</v>
      </c>
      <c r="D1941">
        <f>16.11</f>
        <v>16.11</v>
      </c>
      <c r="E1941">
        <f>22.53</f>
        <v>22.53</v>
      </c>
    </row>
    <row r="1942" spans="1:5" x14ac:dyDescent="0.2">
      <c r="A1942" s="1">
        <v>42444</v>
      </c>
      <c r="B1942">
        <f>16.84</f>
        <v>16.84</v>
      </c>
      <c r="C1942">
        <f>23.2425</f>
        <v>23.2425</v>
      </c>
      <c r="D1942">
        <f>16.83</f>
        <v>16.829999999999998</v>
      </c>
      <c r="E1942">
        <f>22.78</f>
        <v>22.78</v>
      </c>
    </row>
    <row r="1943" spans="1:5" x14ac:dyDescent="0.2">
      <c r="A1943" s="1">
        <v>42443</v>
      </c>
      <c r="B1943">
        <f>16.92</f>
        <v>16.920000000000002</v>
      </c>
      <c r="C1943">
        <f>22.9607</f>
        <v>22.960699999999999</v>
      </c>
      <c r="D1943">
        <f>16.96</f>
        <v>16.96</v>
      </c>
      <c r="E1943">
        <f>22.52</f>
        <v>22.52</v>
      </c>
    </row>
    <row r="1944" spans="1:5" x14ac:dyDescent="0.2">
      <c r="A1944" s="1">
        <v>42440</v>
      </c>
      <c r="B1944">
        <f>16.5</f>
        <v>16.5</v>
      </c>
      <c r="C1944">
        <f>24.1107</f>
        <v>24.110700000000001</v>
      </c>
      <c r="D1944">
        <f>17.9</f>
        <v>17.899999999999999</v>
      </c>
      <c r="E1944">
        <f>22.54</f>
        <v>22.54</v>
      </c>
    </row>
    <row r="1945" spans="1:5" x14ac:dyDescent="0.2">
      <c r="A1945" s="1">
        <v>42439</v>
      </c>
      <c r="B1945">
        <f>18.05</f>
        <v>18.05</v>
      </c>
      <c r="C1945">
        <f>28.1781</f>
        <v>28.178100000000001</v>
      </c>
      <c r="D1945">
        <f>21</f>
        <v>21</v>
      </c>
      <c r="E1945">
        <f>22.52</f>
        <v>22.52</v>
      </c>
    </row>
    <row r="1946" spans="1:5" x14ac:dyDescent="0.2">
      <c r="A1946" s="1">
        <v>42438</v>
      </c>
      <c r="B1946">
        <f>18.34</f>
        <v>18.34</v>
      </c>
      <c r="C1946">
        <f>28.0607</f>
        <v>28.060700000000001</v>
      </c>
      <c r="D1946">
        <f>20.11</f>
        <v>20.11</v>
      </c>
      <c r="E1946">
        <f>22.52</f>
        <v>22.52</v>
      </c>
    </row>
    <row r="1947" spans="1:5" x14ac:dyDescent="0.2">
      <c r="A1947" s="1">
        <v>42437</v>
      </c>
      <c r="B1947">
        <f>18.67</f>
        <v>18.670000000000002</v>
      </c>
      <c r="C1947">
        <f>27.8475</f>
        <v>27.8475</v>
      </c>
      <c r="D1947">
        <f>20.36</f>
        <v>20.36</v>
      </c>
      <c r="E1947">
        <f>22.26</f>
        <v>22.26</v>
      </c>
    </row>
    <row r="1948" spans="1:5" x14ac:dyDescent="0.2">
      <c r="A1948" s="1">
        <v>42436</v>
      </c>
      <c r="B1948">
        <f>17.35</f>
        <v>17.350000000000001</v>
      </c>
      <c r="C1948">
        <f>26.2052</f>
        <v>26.205200000000001</v>
      </c>
      <c r="D1948">
        <f>18.69</f>
        <v>18.690000000000001</v>
      </c>
      <c r="E1948">
        <f>22.27</f>
        <v>22.27</v>
      </c>
    </row>
    <row r="1949" spans="1:5" x14ac:dyDescent="0.2">
      <c r="A1949" s="1">
        <v>42433</v>
      </c>
      <c r="B1949">
        <f>16.86</f>
        <v>16.86</v>
      </c>
      <c r="C1949">
        <f>24.5116</f>
        <v>24.511600000000001</v>
      </c>
      <c r="D1949">
        <f>17.59</f>
        <v>17.59</v>
      </c>
      <c r="E1949">
        <f>22.78</f>
        <v>22.78</v>
      </c>
    </row>
    <row r="1950" spans="1:5" x14ac:dyDescent="0.2">
      <c r="A1950" s="1">
        <v>42432</v>
      </c>
      <c r="B1950">
        <f>16.7</f>
        <v>16.7</v>
      </c>
      <c r="C1950">
        <f>26.5186</f>
        <v>26.518599999999999</v>
      </c>
      <c r="D1950">
        <f>19.46</f>
        <v>19.46</v>
      </c>
      <c r="E1950">
        <f>22.79</f>
        <v>22.79</v>
      </c>
    </row>
    <row r="1951" spans="1:5" x14ac:dyDescent="0.2">
      <c r="A1951" s="1">
        <v>42431</v>
      </c>
      <c r="B1951">
        <f>17.09</f>
        <v>17.09</v>
      </c>
      <c r="C1951">
        <f>27.1243</f>
        <v>27.124300000000002</v>
      </c>
      <c r="D1951">
        <f>20.13</f>
        <v>20.13</v>
      </c>
      <c r="E1951">
        <f>22.79</f>
        <v>22.79</v>
      </c>
    </row>
    <row r="1952" spans="1:5" x14ac:dyDescent="0.2">
      <c r="A1952" s="1">
        <v>42430</v>
      </c>
      <c r="B1952">
        <f>17.7</f>
        <v>17.7</v>
      </c>
      <c r="C1952">
        <f>28.5424</f>
        <v>28.542400000000001</v>
      </c>
      <c r="D1952">
        <f>21.08</f>
        <v>21.08</v>
      </c>
      <c r="E1952">
        <f>23.3</f>
        <v>23.3</v>
      </c>
    </row>
    <row r="1953" spans="1:5" x14ac:dyDescent="0.2">
      <c r="A1953" s="1">
        <v>42429</v>
      </c>
      <c r="B1953">
        <f>20.55</f>
        <v>20.55</v>
      </c>
      <c r="C1953">
        <f>29.7298</f>
        <v>29.729800000000001</v>
      </c>
      <c r="D1953">
        <f>22.19</f>
        <v>22.19</v>
      </c>
      <c r="E1953">
        <f>23.82</f>
        <v>23.82</v>
      </c>
    </row>
    <row r="1954" spans="1:5" x14ac:dyDescent="0.2">
      <c r="A1954" s="1">
        <v>42426</v>
      </c>
      <c r="B1954">
        <f>19.81</f>
        <v>19.809999999999999</v>
      </c>
      <c r="C1954">
        <f>29.2756</f>
        <v>29.275600000000001</v>
      </c>
      <c r="D1954">
        <f>21.74</f>
        <v>21.74</v>
      </c>
      <c r="E1954">
        <f>24.61</f>
        <v>24.61</v>
      </c>
    </row>
    <row r="1955" spans="1:5" x14ac:dyDescent="0.2">
      <c r="A1955" s="1">
        <v>42425</v>
      </c>
      <c r="B1955">
        <f>19.11</f>
        <v>19.11</v>
      </c>
      <c r="C1955">
        <f>31.0305</f>
        <v>31.0305</v>
      </c>
      <c r="D1955">
        <f>23.63</f>
        <v>23.63</v>
      </c>
      <c r="E1955">
        <f>24.62</f>
        <v>24.62</v>
      </c>
    </row>
    <row r="1956" spans="1:5" x14ac:dyDescent="0.2">
      <c r="A1956" s="1">
        <v>42424</v>
      </c>
      <c r="B1956">
        <f>20.72</f>
        <v>20.72</v>
      </c>
      <c r="C1956">
        <f>33.1178</f>
        <v>33.117800000000003</v>
      </c>
      <c r="D1956">
        <f>26.15</f>
        <v>26.15</v>
      </c>
      <c r="E1956">
        <f>24.88</f>
        <v>24.88</v>
      </c>
    </row>
    <row r="1957" spans="1:5" x14ac:dyDescent="0.2">
      <c r="A1957" s="1">
        <v>42423</v>
      </c>
      <c r="B1957">
        <f>20.98</f>
        <v>20.98</v>
      </c>
      <c r="C1957">
        <f>30.5366</f>
        <v>30.5366</v>
      </c>
      <c r="D1957">
        <f>24.36</f>
        <v>24.36</v>
      </c>
      <c r="E1957">
        <f>24.38</f>
        <v>24.38</v>
      </c>
    </row>
    <row r="1958" spans="1:5" x14ac:dyDescent="0.2">
      <c r="A1958" s="1">
        <v>42422</v>
      </c>
      <c r="B1958">
        <f>19.38</f>
        <v>19.38</v>
      </c>
      <c r="C1958">
        <f>29.9498</f>
        <v>29.9498</v>
      </c>
      <c r="D1958">
        <f>23.26</f>
        <v>23.26</v>
      </c>
      <c r="E1958">
        <f>23.87</f>
        <v>23.87</v>
      </c>
    </row>
    <row r="1959" spans="1:5" x14ac:dyDescent="0.2">
      <c r="A1959" s="1">
        <v>42419</v>
      </c>
      <c r="B1959">
        <f>20.53</f>
        <v>20.53</v>
      </c>
      <c r="C1959">
        <f>31.2656</f>
        <v>31.265599999999999</v>
      </c>
      <c r="D1959">
        <f>25.48</f>
        <v>25.48</v>
      </c>
      <c r="E1959">
        <f>24.16</f>
        <v>24.16</v>
      </c>
    </row>
    <row r="1960" spans="1:5" x14ac:dyDescent="0.2">
      <c r="A1960" s="1">
        <v>42418</v>
      </c>
      <c r="B1960">
        <f>21.64</f>
        <v>21.64</v>
      </c>
      <c r="C1960">
        <f>30.9172</f>
        <v>30.917200000000001</v>
      </c>
      <c r="D1960">
        <f>25.07</f>
        <v>25.07</v>
      </c>
      <c r="E1960">
        <f>23.63</f>
        <v>23.63</v>
      </c>
    </row>
    <row r="1961" spans="1:5" x14ac:dyDescent="0.2">
      <c r="A1961" s="1">
        <v>42417</v>
      </c>
      <c r="B1961">
        <f>22.31</f>
        <v>22.31</v>
      </c>
      <c r="C1961">
        <f>30.4983</f>
        <v>30.4983</v>
      </c>
      <c r="D1961">
        <f>24.34</f>
        <v>24.34</v>
      </c>
      <c r="E1961">
        <f>23.64</f>
        <v>23.64</v>
      </c>
    </row>
    <row r="1962" spans="1:5" x14ac:dyDescent="0.2">
      <c r="A1962" s="1">
        <v>42416</v>
      </c>
      <c r="B1962">
        <f>24.11</f>
        <v>24.11</v>
      </c>
      <c r="C1962">
        <f>33.5213</f>
        <v>33.521299999999997</v>
      </c>
      <c r="D1962">
        <f>27.09</f>
        <v>27.09</v>
      </c>
      <c r="E1962">
        <f>23.89</f>
        <v>23.89</v>
      </c>
    </row>
    <row r="1963" spans="1:5" x14ac:dyDescent="0.2">
      <c r="A1963" s="1">
        <v>42415</v>
      </c>
      <c r="B1963" t="e">
        <f>NA()</f>
        <v>#N/A</v>
      </c>
      <c r="C1963">
        <f>33.9154</f>
        <v>33.915399999999998</v>
      </c>
      <c r="D1963">
        <f>28.03</f>
        <v>28.03</v>
      </c>
      <c r="E1963">
        <f>23.61</f>
        <v>23.61</v>
      </c>
    </row>
    <row r="1964" spans="1:5" x14ac:dyDescent="0.2">
      <c r="A1964" s="1">
        <v>42412</v>
      </c>
      <c r="B1964">
        <f>25.4</f>
        <v>25.4</v>
      </c>
      <c r="C1964">
        <f>35.6846</f>
        <v>35.684600000000003</v>
      </c>
      <c r="D1964">
        <f>29.61</f>
        <v>29.61</v>
      </c>
      <c r="E1964">
        <f>24.61</f>
        <v>24.61</v>
      </c>
    </row>
    <row r="1965" spans="1:5" x14ac:dyDescent="0.2">
      <c r="A1965" s="1">
        <v>42411</v>
      </c>
      <c r="B1965">
        <f>28.14</f>
        <v>28.14</v>
      </c>
      <c r="C1965">
        <f>38.3051</f>
        <v>38.305100000000003</v>
      </c>
      <c r="D1965">
        <f>32.68</f>
        <v>32.68</v>
      </c>
      <c r="E1965">
        <f>25.64</f>
        <v>25.64</v>
      </c>
    </row>
    <row r="1966" spans="1:5" x14ac:dyDescent="0.2">
      <c r="A1966" s="1">
        <v>42410</v>
      </c>
      <c r="B1966">
        <f>26.29</f>
        <v>26.29</v>
      </c>
      <c r="C1966">
        <f>33.4528</f>
        <v>33.452800000000003</v>
      </c>
      <c r="D1966">
        <f>28.65</f>
        <v>28.65</v>
      </c>
      <c r="E1966">
        <f>24.63</f>
        <v>24.63</v>
      </c>
    </row>
    <row r="1967" spans="1:5" x14ac:dyDescent="0.2">
      <c r="A1967" s="1">
        <v>42409</v>
      </c>
      <c r="B1967">
        <f>26.54</f>
        <v>26.54</v>
      </c>
      <c r="C1967">
        <f>33.9664</f>
        <v>33.9664</v>
      </c>
      <c r="D1967">
        <f>29.64</f>
        <v>29.64</v>
      </c>
      <c r="E1967">
        <f>24.87</f>
        <v>24.87</v>
      </c>
    </row>
    <row r="1968" spans="1:5" x14ac:dyDescent="0.2">
      <c r="A1968" s="1">
        <v>42408</v>
      </c>
      <c r="B1968">
        <f>26</f>
        <v>26</v>
      </c>
      <c r="C1968">
        <f>33.3917</f>
        <v>33.3917</v>
      </c>
      <c r="D1968">
        <f>29.24</f>
        <v>29.24</v>
      </c>
      <c r="E1968">
        <f>24.05</f>
        <v>24.05</v>
      </c>
    </row>
    <row r="1969" spans="1:5" x14ac:dyDescent="0.2">
      <c r="A1969" s="1">
        <v>42405</v>
      </c>
      <c r="B1969">
        <f>23.38</f>
        <v>23.38</v>
      </c>
      <c r="C1969">
        <f>30.0529</f>
        <v>30.052900000000001</v>
      </c>
      <c r="D1969">
        <f>26</f>
        <v>26</v>
      </c>
      <c r="E1969">
        <f>23.72</f>
        <v>23.72</v>
      </c>
    </row>
    <row r="1970" spans="1:5" x14ac:dyDescent="0.2">
      <c r="A1970" s="1">
        <v>42404</v>
      </c>
      <c r="B1970">
        <f>21.84</f>
        <v>21.84</v>
      </c>
      <c r="C1970">
        <f>29.6423</f>
        <v>29.642299999999999</v>
      </c>
      <c r="D1970">
        <f>25.04</f>
        <v>25.04</v>
      </c>
      <c r="E1970">
        <f>23.75</f>
        <v>23.75</v>
      </c>
    </row>
    <row r="1971" spans="1:5" x14ac:dyDescent="0.2">
      <c r="A1971" s="1">
        <v>42403</v>
      </c>
      <c r="B1971">
        <f>21.65</f>
        <v>21.65</v>
      </c>
      <c r="C1971">
        <f>30.7369</f>
        <v>30.736899999999999</v>
      </c>
      <c r="D1971">
        <f>25.58</f>
        <v>25.58</v>
      </c>
      <c r="E1971">
        <f>24.53</f>
        <v>24.53</v>
      </c>
    </row>
    <row r="1972" spans="1:5" x14ac:dyDescent="0.2">
      <c r="A1972" s="1">
        <v>42402</v>
      </c>
      <c r="B1972">
        <f>21.98</f>
        <v>21.98</v>
      </c>
      <c r="C1972">
        <f>29.1542</f>
        <v>29.154199999999999</v>
      </c>
      <c r="D1972">
        <f>24.75</f>
        <v>24.75</v>
      </c>
      <c r="E1972">
        <f>24.7</f>
        <v>24.7</v>
      </c>
    </row>
    <row r="1973" spans="1:5" x14ac:dyDescent="0.2">
      <c r="A1973" s="1">
        <v>42401</v>
      </c>
      <c r="B1973">
        <f>19.98</f>
        <v>19.98</v>
      </c>
      <c r="C1973">
        <f>27.3303</f>
        <v>27.330300000000001</v>
      </c>
      <c r="D1973">
        <f>22.54</f>
        <v>22.54</v>
      </c>
      <c r="E1973">
        <f>23.93</f>
        <v>23.93</v>
      </c>
    </row>
    <row r="1974" spans="1:5" x14ac:dyDescent="0.2">
      <c r="A1974" s="1">
        <v>42398</v>
      </c>
      <c r="B1974">
        <f>20.2</f>
        <v>20.2</v>
      </c>
      <c r="C1974">
        <f>27.389</f>
        <v>27.388999999999999</v>
      </c>
      <c r="D1974">
        <f>22.25</f>
        <v>22.25</v>
      </c>
      <c r="E1974">
        <f>23.57</f>
        <v>23.57</v>
      </c>
    </row>
    <row r="1975" spans="1:5" x14ac:dyDescent="0.2">
      <c r="A1975" s="1">
        <v>42397</v>
      </c>
      <c r="B1975">
        <f>22.42</f>
        <v>22.42</v>
      </c>
      <c r="C1975">
        <f>29.8315</f>
        <v>29.831499999999998</v>
      </c>
      <c r="D1975">
        <f>24.78</f>
        <v>24.78</v>
      </c>
      <c r="E1975">
        <f>23.8</f>
        <v>23.8</v>
      </c>
    </row>
    <row r="1976" spans="1:5" x14ac:dyDescent="0.2">
      <c r="A1976" s="1">
        <v>42396</v>
      </c>
      <c r="B1976">
        <f>23.11</f>
        <v>23.11</v>
      </c>
      <c r="C1976">
        <f>27.7832</f>
        <v>27.783200000000001</v>
      </c>
      <c r="D1976">
        <f>23.09</f>
        <v>23.09</v>
      </c>
      <c r="E1976">
        <f>24.53</f>
        <v>24.53</v>
      </c>
    </row>
    <row r="1977" spans="1:5" x14ac:dyDescent="0.2">
      <c r="A1977" s="1">
        <v>42395</v>
      </c>
      <c r="B1977">
        <f>22.5</f>
        <v>22.5</v>
      </c>
      <c r="C1977">
        <f>28.1187</f>
        <v>28.1187</v>
      </c>
      <c r="D1977">
        <f>24.02</f>
        <v>24.02</v>
      </c>
      <c r="E1977">
        <f>24.76</f>
        <v>24.76</v>
      </c>
    </row>
    <row r="1978" spans="1:5" x14ac:dyDescent="0.2">
      <c r="A1978" s="1">
        <v>42394</v>
      </c>
      <c r="B1978">
        <f>24.15</f>
        <v>24.15</v>
      </c>
      <c r="C1978">
        <f>28.4443</f>
        <v>28.444299999999998</v>
      </c>
      <c r="D1978">
        <f>23.86</f>
        <v>23.86</v>
      </c>
      <c r="E1978">
        <f>24.41</f>
        <v>24.41</v>
      </c>
    </row>
    <row r="1979" spans="1:5" x14ac:dyDescent="0.2">
      <c r="A1979" s="1">
        <v>42391</v>
      </c>
      <c r="B1979">
        <f>22.34</f>
        <v>22.34</v>
      </c>
      <c r="C1979">
        <f>28.3356</f>
        <v>28.335599999999999</v>
      </c>
      <c r="D1979">
        <f>23.76</f>
        <v>23.76</v>
      </c>
      <c r="E1979">
        <f>24.38</f>
        <v>24.38</v>
      </c>
    </row>
    <row r="1980" spans="1:5" x14ac:dyDescent="0.2">
      <c r="A1980" s="1">
        <v>42390</v>
      </c>
      <c r="B1980">
        <f>26.69</f>
        <v>26.69</v>
      </c>
      <c r="C1980">
        <f>31.7894</f>
        <v>31.789400000000001</v>
      </c>
      <c r="D1980">
        <f>26.35</f>
        <v>26.35</v>
      </c>
      <c r="E1980">
        <f>25.41</f>
        <v>25.41</v>
      </c>
    </row>
    <row r="1981" spans="1:5" x14ac:dyDescent="0.2">
      <c r="A1981" s="1">
        <v>42389</v>
      </c>
      <c r="B1981">
        <f>27.59</f>
        <v>27.59</v>
      </c>
      <c r="C1981">
        <f>35.1133</f>
        <v>35.113300000000002</v>
      </c>
      <c r="D1981">
        <f>29.17</f>
        <v>29.17</v>
      </c>
      <c r="E1981">
        <f>25.38</f>
        <v>25.38</v>
      </c>
    </row>
    <row r="1982" spans="1:5" x14ac:dyDescent="0.2">
      <c r="A1982" s="1">
        <v>42388</v>
      </c>
      <c r="B1982">
        <f>26.05</f>
        <v>26.05</v>
      </c>
      <c r="C1982">
        <f>30.7571</f>
        <v>30.757100000000001</v>
      </c>
      <c r="D1982">
        <f>24.51</f>
        <v>24.51</v>
      </c>
      <c r="E1982">
        <f>23.97</f>
        <v>23.97</v>
      </c>
    </row>
    <row r="1983" spans="1:5" x14ac:dyDescent="0.2">
      <c r="A1983" s="1">
        <v>42387</v>
      </c>
      <c r="B1983" t="e">
        <f>NA()</f>
        <v>#N/A</v>
      </c>
      <c r="C1983">
        <f>34.325</f>
        <v>34.325000000000003</v>
      </c>
      <c r="D1983">
        <f>27.13</f>
        <v>27.13</v>
      </c>
      <c r="E1983">
        <f>24.44</f>
        <v>24.44</v>
      </c>
    </row>
    <row r="1984" spans="1:5" x14ac:dyDescent="0.2">
      <c r="A1984" s="1">
        <v>42384</v>
      </c>
      <c r="B1984">
        <f>27.02</f>
        <v>27.02</v>
      </c>
      <c r="C1984">
        <f>34.5856</f>
        <v>34.585599999999999</v>
      </c>
      <c r="D1984">
        <f>28.57</f>
        <v>28.57</v>
      </c>
      <c r="E1984">
        <f>24.5</f>
        <v>24.5</v>
      </c>
    </row>
    <row r="1985" spans="1:5" x14ac:dyDescent="0.2">
      <c r="A1985" s="1">
        <v>42383</v>
      </c>
      <c r="B1985">
        <f>23.95</f>
        <v>23.95</v>
      </c>
      <c r="C1985">
        <f>29.939</f>
        <v>29.939</v>
      </c>
      <c r="D1985">
        <f>23.81</f>
        <v>23.81</v>
      </c>
      <c r="E1985">
        <f>24.22</f>
        <v>24.22</v>
      </c>
    </row>
    <row r="1986" spans="1:5" x14ac:dyDescent="0.2">
      <c r="A1986" s="1">
        <v>42382</v>
      </c>
      <c r="B1986">
        <f>25.22</f>
        <v>25.22</v>
      </c>
      <c r="C1986">
        <f>28.1348</f>
        <v>28.134799999999998</v>
      </c>
      <c r="D1986">
        <f>23.29</f>
        <v>23.29</v>
      </c>
      <c r="E1986">
        <f>23.69</f>
        <v>23.69</v>
      </c>
    </row>
    <row r="1987" spans="1:5" x14ac:dyDescent="0.2">
      <c r="A1987" s="1">
        <v>42381</v>
      </c>
      <c r="B1987">
        <f>22.47</f>
        <v>22.47</v>
      </c>
      <c r="C1987">
        <f>28.5388</f>
        <v>28.538799999999998</v>
      </c>
      <c r="D1987">
        <f>24.44</f>
        <v>24.44</v>
      </c>
      <c r="E1987">
        <f>23.6</f>
        <v>23.6</v>
      </c>
    </row>
    <row r="1988" spans="1:5" x14ac:dyDescent="0.2">
      <c r="A1988" s="1">
        <v>42380</v>
      </c>
      <c r="B1988">
        <f>24.3</f>
        <v>24.3</v>
      </c>
      <c r="C1988">
        <f>30.2182</f>
        <v>30.2182</v>
      </c>
      <c r="D1988">
        <f>26.42</f>
        <v>26.42</v>
      </c>
      <c r="E1988">
        <f>23.57</f>
        <v>23.57</v>
      </c>
    </row>
    <row r="1989" spans="1:5" x14ac:dyDescent="0.2">
      <c r="A1989" s="1">
        <v>42377</v>
      </c>
      <c r="B1989">
        <f>27.01</f>
        <v>27.01</v>
      </c>
      <c r="C1989">
        <f>30.4005</f>
        <v>30.400500000000001</v>
      </c>
      <c r="D1989">
        <f>26.63</f>
        <v>26.63</v>
      </c>
      <c r="E1989">
        <f>23.79</f>
        <v>23.79</v>
      </c>
    </row>
    <row r="1990" spans="1:5" x14ac:dyDescent="0.2">
      <c r="A1990" s="1">
        <v>42376</v>
      </c>
      <c r="B1990">
        <f>24.99</f>
        <v>24.99</v>
      </c>
      <c r="C1990">
        <f>29.7899</f>
        <v>29.789899999999999</v>
      </c>
      <c r="D1990">
        <f>24.93</f>
        <v>24.93</v>
      </c>
      <c r="E1990">
        <f>23.76</f>
        <v>23.76</v>
      </c>
    </row>
    <row r="1991" spans="1:5" x14ac:dyDescent="0.2">
      <c r="A1991" s="1">
        <v>42375</v>
      </c>
      <c r="B1991">
        <f>20.59</f>
        <v>20.59</v>
      </c>
      <c r="C1991">
        <f>26.309</f>
        <v>26.309000000000001</v>
      </c>
      <c r="D1991">
        <f>22.11</f>
        <v>22.11</v>
      </c>
      <c r="E1991">
        <f>22.98</f>
        <v>22.98</v>
      </c>
    </row>
    <row r="1992" spans="1:5" x14ac:dyDescent="0.2">
      <c r="A1992" s="1">
        <v>42374</v>
      </c>
      <c r="B1992">
        <f>19.34</f>
        <v>19.34</v>
      </c>
      <c r="C1992">
        <f>26.2087</f>
        <v>26.2087</v>
      </c>
      <c r="D1992">
        <f>21.7</f>
        <v>21.7</v>
      </c>
      <c r="E1992">
        <f>22.93</f>
        <v>22.93</v>
      </c>
    </row>
    <row r="1993" spans="1:5" x14ac:dyDescent="0.2">
      <c r="A1993" s="1">
        <v>42373</v>
      </c>
      <c r="B1993">
        <f>20.7</f>
        <v>20.7</v>
      </c>
      <c r="C1993">
        <f>26.998</f>
        <v>26.998000000000001</v>
      </c>
      <c r="D1993">
        <f>22.72</f>
        <v>22.72</v>
      </c>
      <c r="E1993">
        <f>23.05</f>
        <v>23.05</v>
      </c>
    </row>
    <row r="1994" spans="1:5" x14ac:dyDescent="0.2">
      <c r="A1994" s="1">
        <v>42369</v>
      </c>
      <c r="B1994">
        <f>18.21</f>
        <v>18.21</v>
      </c>
      <c r="C1994" t="e">
        <f>NA()</f>
        <v>#N/A</v>
      </c>
      <c r="D1994">
        <f>17.75</f>
        <v>17.75</v>
      </c>
      <c r="E1994">
        <f>22.14</f>
        <v>22.14</v>
      </c>
    </row>
    <row r="1995" spans="1:5" x14ac:dyDescent="0.2">
      <c r="A1995" s="1">
        <v>42368</v>
      </c>
      <c r="B1995">
        <f>17.29</f>
        <v>17.29</v>
      </c>
      <c r="C1995">
        <f>22.7102</f>
        <v>22.7102</v>
      </c>
      <c r="D1995">
        <f>17.25</f>
        <v>17.25</v>
      </c>
      <c r="E1995">
        <f>21.83</f>
        <v>21.83</v>
      </c>
    </row>
    <row r="1996" spans="1:5" x14ac:dyDescent="0.2">
      <c r="A1996" s="1">
        <v>42367</v>
      </c>
      <c r="B1996">
        <f>16.08</f>
        <v>16.079999999999998</v>
      </c>
      <c r="C1996">
        <f>21.6067</f>
        <v>21.6067</v>
      </c>
      <c r="D1996">
        <f>16.39</f>
        <v>16.39</v>
      </c>
      <c r="E1996">
        <f>21.83</f>
        <v>21.83</v>
      </c>
    </row>
    <row r="1997" spans="1:5" x14ac:dyDescent="0.2">
      <c r="A1997" s="1">
        <v>42366</v>
      </c>
      <c r="B1997">
        <f>16.91</f>
        <v>16.91</v>
      </c>
      <c r="C1997">
        <f>22.4544</f>
        <v>22.4544</v>
      </c>
      <c r="D1997" t="e">
        <f>NA()</f>
        <v>#N/A</v>
      </c>
      <c r="E1997">
        <f>21.48</f>
        <v>21.48</v>
      </c>
    </row>
    <row r="1998" spans="1:5" x14ac:dyDescent="0.2">
      <c r="A1998" s="1">
        <v>42362</v>
      </c>
      <c r="B1998">
        <f>15.74</f>
        <v>15.74</v>
      </c>
      <c r="C1998" t="e">
        <f>NA()</f>
        <v>#N/A</v>
      </c>
      <c r="D1998">
        <f>15.94</f>
        <v>15.94</v>
      </c>
      <c r="E1998">
        <f>21.23</f>
        <v>21.23</v>
      </c>
    </row>
    <row r="1999" spans="1:5" x14ac:dyDescent="0.2">
      <c r="A1999" s="1">
        <v>42361</v>
      </c>
      <c r="B1999">
        <f>15.57</f>
        <v>15.57</v>
      </c>
      <c r="C1999">
        <f>20.2504</f>
        <v>20.250399999999999</v>
      </c>
      <c r="D1999">
        <f>16.15</f>
        <v>16.149999999999999</v>
      </c>
      <c r="E1999">
        <f>21.2</f>
        <v>21.2</v>
      </c>
    </row>
    <row r="2000" spans="1:5" x14ac:dyDescent="0.2">
      <c r="A2000" s="1">
        <v>42360</v>
      </c>
      <c r="B2000">
        <f>16.6</f>
        <v>16.600000000000001</v>
      </c>
      <c r="C2000">
        <f>22.5361</f>
        <v>22.536100000000001</v>
      </c>
      <c r="D2000">
        <f>18.26</f>
        <v>18.260000000000002</v>
      </c>
      <c r="E2000">
        <f>21.94</f>
        <v>21.94</v>
      </c>
    </row>
    <row r="2001" spans="1:5" x14ac:dyDescent="0.2">
      <c r="A2001" s="1">
        <v>42359</v>
      </c>
      <c r="B2001">
        <f>18.7</f>
        <v>18.7</v>
      </c>
      <c r="C2001">
        <f>23.8836</f>
        <v>23.883600000000001</v>
      </c>
      <c r="D2001">
        <f>19.84</f>
        <v>19.84</v>
      </c>
      <c r="E2001">
        <f>22.02</f>
        <v>22.02</v>
      </c>
    </row>
    <row r="2002" spans="1:5" x14ac:dyDescent="0.2">
      <c r="A2002" s="1">
        <v>42356</v>
      </c>
      <c r="B2002">
        <f>20.7</f>
        <v>20.7</v>
      </c>
      <c r="C2002">
        <f>23.8989</f>
        <v>23.898900000000001</v>
      </c>
      <c r="D2002">
        <f>19.75</f>
        <v>19.75</v>
      </c>
      <c r="E2002">
        <f>22.26</f>
        <v>22.26</v>
      </c>
    </row>
    <row r="2003" spans="1:5" x14ac:dyDescent="0.2">
      <c r="A2003" s="1">
        <v>42355</v>
      </c>
      <c r="B2003">
        <f>18.94</f>
        <v>18.940000000000001</v>
      </c>
      <c r="C2003">
        <f>22.5761</f>
        <v>22.5761</v>
      </c>
      <c r="D2003">
        <f>18.74</f>
        <v>18.739999999999998</v>
      </c>
      <c r="E2003">
        <f>20.46</f>
        <v>20.46</v>
      </c>
    </row>
    <row r="2004" spans="1:5" x14ac:dyDescent="0.2">
      <c r="A2004" s="1">
        <v>42354</v>
      </c>
      <c r="B2004">
        <f>17.86</f>
        <v>17.86</v>
      </c>
      <c r="C2004">
        <f>25.4362</f>
        <v>25.436199999999999</v>
      </c>
      <c r="D2004">
        <f>19.95</f>
        <v>19.95</v>
      </c>
      <c r="E2004" t="e">
        <f>NA()</f>
        <v>#N/A</v>
      </c>
    </row>
    <row r="2005" spans="1:5" x14ac:dyDescent="0.2">
      <c r="A2005" s="1">
        <v>42353</v>
      </c>
      <c r="B2005">
        <f>20.95</f>
        <v>20.95</v>
      </c>
      <c r="C2005">
        <f>27.4591</f>
        <v>27.459099999999999</v>
      </c>
      <c r="D2005">
        <f>21.25</f>
        <v>21.25</v>
      </c>
      <c r="E2005">
        <f>21.47</f>
        <v>21.47</v>
      </c>
    </row>
    <row r="2006" spans="1:5" x14ac:dyDescent="0.2">
      <c r="A2006" s="1">
        <v>42352</v>
      </c>
      <c r="B2006">
        <f>22.73</f>
        <v>22.73</v>
      </c>
      <c r="C2006">
        <f>30.411</f>
        <v>30.411000000000001</v>
      </c>
      <c r="D2006">
        <f>24.23</f>
        <v>24.23</v>
      </c>
      <c r="E2006">
        <f>21.73</f>
        <v>21.73</v>
      </c>
    </row>
    <row r="2007" spans="1:5" x14ac:dyDescent="0.2">
      <c r="A2007" s="1">
        <v>42349</v>
      </c>
      <c r="B2007">
        <f>24.39</f>
        <v>24.39</v>
      </c>
      <c r="C2007">
        <f>26.5766</f>
        <v>26.576599999999999</v>
      </c>
      <c r="D2007">
        <f>21.4</f>
        <v>21.4</v>
      </c>
      <c r="E2007">
        <f>21.74</f>
        <v>21.74</v>
      </c>
    </row>
    <row r="2008" spans="1:5" x14ac:dyDescent="0.2">
      <c r="A2008" s="1">
        <v>42348</v>
      </c>
      <c r="B2008">
        <f>19.34</f>
        <v>19.34</v>
      </c>
      <c r="C2008">
        <f>24.5343</f>
        <v>24.534300000000002</v>
      </c>
      <c r="D2008">
        <f>17.18</f>
        <v>17.18</v>
      </c>
      <c r="E2008">
        <f>21.23</f>
        <v>21.23</v>
      </c>
    </row>
    <row r="2009" spans="1:5" x14ac:dyDescent="0.2">
      <c r="A2009" s="1">
        <v>42347</v>
      </c>
      <c r="B2009">
        <f>19.61</f>
        <v>19.61</v>
      </c>
      <c r="C2009">
        <f>24.2947</f>
        <v>24.294699999999999</v>
      </c>
      <c r="D2009">
        <f>17.33</f>
        <v>17.329999999999998</v>
      </c>
      <c r="E2009">
        <f>20.98</f>
        <v>20.98</v>
      </c>
    </row>
    <row r="2010" spans="1:5" x14ac:dyDescent="0.2">
      <c r="A2010" s="1">
        <v>42346</v>
      </c>
      <c r="B2010">
        <f>17.6</f>
        <v>17.600000000000001</v>
      </c>
      <c r="C2010">
        <f>23.5733</f>
        <v>23.5733</v>
      </c>
      <c r="D2010">
        <f>17.31</f>
        <v>17.309999999999999</v>
      </c>
      <c r="E2010">
        <f>21.23</f>
        <v>21.23</v>
      </c>
    </row>
    <row r="2011" spans="1:5" x14ac:dyDescent="0.2">
      <c r="A2011" s="1">
        <v>42345</v>
      </c>
      <c r="B2011">
        <f>15.84</f>
        <v>15.84</v>
      </c>
      <c r="C2011">
        <f>22.0447</f>
        <v>22.044699999999999</v>
      </c>
      <c r="D2011">
        <f>16.01</f>
        <v>16.010000000000002</v>
      </c>
      <c r="E2011">
        <f>20.72</f>
        <v>20.72</v>
      </c>
    </row>
    <row r="2012" spans="1:5" x14ac:dyDescent="0.2">
      <c r="A2012" s="1">
        <v>42342</v>
      </c>
      <c r="B2012">
        <f>14.81</f>
        <v>14.81</v>
      </c>
      <c r="C2012">
        <f>22.6816</f>
        <v>22.6816</v>
      </c>
      <c r="D2012">
        <f>16.33</f>
        <v>16.329999999999998</v>
      </c>
      <c r="E2012">
        <f>20.74</f>
        <v>20.74</v>
      </c>
    </row>
    <row r="2013" spans="1:5" x14ac:dyDescent="0.2">
      <c r="A2013" s="1">
        <v>42341</v>
      </c>
      <c r="B2013">
        <f>18.11</f>
        <v>18.11</v>
      </c>
      <c r="C2013">
        <f>22.6526</f>
        <v>22.6526</v>
      </c>
      <c r="D2013">
        <f>16.27</f>
        <v>16.27</v>
      </c>
      <c r="E2013">
        <f>19.96</f>
        <v>19.96</v>
      </c>
    </row>
    <row r="2014" spans="1:5" x14ac:dyDescent="0.2">
      <c r="A2014" s="1">
        <v>42340</v>
      </c>
      <c r="B2014">
        <f>15.91</f>
        <v>15.91</v>
      </c>
      <c r="C2014">
        <f>22.8176</f>
        <v>22.817599999999999</v>
      </c>
      <c r="D2014">
        <f>15.67</f>
        <v>15.67</v>
      </c>
      <c r="E2014">
        <f>19.96</f>
        <v>19.96</v>
      </c>
    </row>
    <row r="2015" spans="1:5" x14ac:dyDescent="0.2">
      <c r="A2015" s="1">
        <v>42339</v>
      </c>
      <c r="B2015">
        <f>14.67</f>
        <v>14.67</v>
      </c>
      <c r="C2015">
        <f>23.6051</f>
        <v>23.6051</v>
      </c>
      <c r="D2015">
        <f>16.5</f>
        <v>16.5</v>
      </c>
      <c r="E2015">
        <f>19.7</f>
        <v>19.7</v>
      </c>
    </row>
    <row r="2016" spans="1:5" x14ac:dyDescent="0.2">
      <c r="A2016" s="1">
        <v>42338</v>
      </c>
      <c r="B2016">
        <f>16.13</f>
        <v>16.13</v>
      </c>
      <c r="C2016">
        <f>23.6503</f>
        <v>23.650300000000001</v>
      </c>
      <c r="D2016">
        <f>17.3</f>
        <v>17.3</v>
      </c>
      <c r="E2016">
        <f>19.7</f>
        <v>19.7</v>
      </c>
    </row>
    <row r="2017" spans="1:5" x14ac:dyDescent="0.2">
      <c r="A2017" s="1">
        <v>42335</v>
      </c>
      <c r="B2017">
        <f>15.12</f>
        <v>15.12</v>
      </c>
      <c r="C2017">
        <f>23.0669</f>
        <v>23.0669</v>
      </c>
      <c r="D2017">
        <f>16.32</f>
        <v>16.32</v>
      </c>
      <c r="E2017">
        <f>19.71</f>
        <v>19.71</v>
      </c>
    </row>
    <row r="2018" spans="1:5" x14ac:dyDescent="0.2">
      <c r="A2018" s="1">
        <v>42334</v>
      </c>
      <c r="B2018" t="e">
        <f>NA()</f>
        <v>#N/A</v>
      </c>
      <c r="C2018">
        <f>22.8903</f>
        <v>22.8903</v>
      </c>
      <c r="D2018">
        <f>16.13</f>
        <v>16.13</v>
      </c>
      <c r="E2018">
        <f>19.2</f>
        <v>19.2</v>
      </c>
    </row>
    <row r="2019" spans="1:5" x14ac:dyDescent="0.2">
      <c r="A2019" s="1">
        <v>42333</v>
      </c>
      <c r="B2019">
        <f>15.19</f>
        <v>15.19</v>
      </c>
      <c r="C2019">
        <f>23.9372</f>
        <v>23.937200000000001</v>
      </c>
      <c r="D2019">
        <f>16.46</f>
        <v>16.46</v>
      </c>
      <c r="E2019">
        <f>19.46</f>
        <v>19.46</v>
      </c>
    </row>
    <row r="2020" spans="1:5" x14ac:dyDescent="0.2">
      <c r="A2020" s="1">
        <v>42332</v>
      </c>
      <c r="B2020">
        <f>15.93</f>
        <v>15.93</v>
      </c>
      <c r="C2020">
        <f>24.8133</f>
        <v>24.813300000000002</v>
      </c>
      <c r="D2020">
        <f>17.7</f>
        <v>17.7</v>
      </c>
      <c r="E2020">
        <f>19.71</f>
        <v>19.71</v>
      </c>
    </row>
    <row r="2021" spans="1:5" x14ac:dyDescent="0.2">
      <c r="A2021" s="1">
        <v>42331</v>
      </c>
      <c r="B2021">
        <f>15.62</f>
        <v>15.62</v>
      </c>
      <c r="C2021">
        <f>22.9841</f>
        <v>22.984100000000002</v>
      </c>
      <c r="D2021">
        <f>16.76</f>
        <v>16.760000000000002</v>
      </c>
      <c r="E2021">
        <f>19.44</f>
        <v>19.440000000000001</v>
      </c>
    </row>
    <row r="2022" spans="1:5" x14ac:dyDescent="0.2">
      <c r="A2022" s="1">
        <v>42328</v>
      </c>
      <c r="B2022">
        <f>15.47</f>
        <v>15.47</v>
      </c>
      <c r="C2022">
        <f>22.6528</f>
        <v>22.652799999999999</v>
      </c>
      <c r="D2022">
        <f>16.2</f>
        <v>16.2</v>
      </c>
      <c r="E2022">
        <f>19.45</f>
        <v>19.45</v>
      </c>
    </row>
    <row r="2023" spans="1:5" x14ac:dyDescent="0.2">
      <c r="A2023" s="1">
        <v>42327</v>
      </c>
      <c r="B2023">
        <f>16.99</f>
        <v>16.989999999999998</v>
      </c>
      <c r="C2023">
        <f>23.4423</f>
        <v>23.442299999999999</v>
      </c>
      <c r="D2023">
        <f>16.92</f>
        <v>16.920000000000002</v>
      </c>
      <c r="E2023">
        <f>19.47</f>
        <v>19.47</v>
      </c>
    </row>
    <row r="2024" spans="1:5" x14ac:dyDescent="0.2">
      <c r="A2024" s="1">
        <v>42326</v>
      </c>
      <c r="B2024">
        <f>16.85</f>
        <v>16.850000000000001</v>
      </c>
      <c r="C2024">
        <f>24.748</f>
        <v>24.748000000000001</v>
      </c>
      <c r="D2024">
        <f>18.2</f>
        <v>18.2</v>
      </c>
      <c r="E2024">
        <f>19.94</f>
        <v>19.940000000000001</v>
      </c>
    </row>
    <row r="2025" spans="1:5" x14ac:dyDescent="0.2">
      <c r="A2025" s="1">
        <v>42325</v>
      </c>
      <c r="B2025">
        <f>18.84</f>
        <v>18.84</v>
      </c>
      <c r="C2025">
        <f>23.6199</f>
        <v>23.619900000000001</v>
      </c>
      <c r="D2025">
        <f>17.97</f>
        <v>17.97</v>
      </c>
      <c r="E2025">
        <f>19.66</f>
        <v>19.66</v>
      </c>
    </row>
    <row r="2026" spans="1:5" x14ac:dyDescent="0.2">
      <c r="A2026" s="1">
        <v>42324</v>
      </c>
      <c r="B2026">
        <f>18.16</f>
        <v>18.16</v>
      </c>
      <c r="C2026">
        <f>25.8488</f>
        <v>25.848800000000001</v>
      </c>
      <c r="D2026">
        <f>19.72</f>
        <v>19.72</v>
      </c>
      <c r="E2026">
        <f>20.19</f>
        <v>20.190000000000001</v>
      </c>
    </row>
    <row r="2027" spans="1:5" x14ac:dyDescent="0.2">
      <c r="A2027" s="1">
        <v>42321</v>
      </c>
      <c r="B2027">
        <f>20.08</f>
        <v>20.079999999999998</v>
      </c>
      <c r="C2027">
        <f>24.9526</f>
        <v>24.9526</v>
      </c>
      <c r="D2027">
        <f>19.71</f>
        <v>19.71</v>
      </c>
      <c r="E2027">
        <f>20.51</f>
        <v>20.51</v>
      </c>
    </row>
    <row r="2028" spans="1:5" x14ac:dyDescent="0.2">
      <c r="A2028" s="1">
        <v>42320</v>
      </c>
      <c r="B2028">
        <f>18.37</f>
        <v>18.37</v>
      </c>
      <c r="C2028">
        <f>23.4483</f>
        <v>23.4483</v>
      </c>
      <c r="D2028">
        <f>16.92</f>
        <v>16.920000000000002</v>
      </c>
      <c r="E2028">
        <f>19.93</f>
        <v>19.93</v>
      </c>
    </row>
    <row r="2029" spans="1:5" x14ac:dyDescent="0.2">
      <c r="A2029" s="1">
        <v>42319</v>
      </c>
      <c r="B2029">
        <f>16.06</f>
        <v>16.059999999999999</v>
      </c>
      <c r="C2029">
        <f>21.839</f>
        <v>21.838999999999999</v>
      </c>
      <c r="D2029">
        <f>15.66</f>
        <v>15.66</v>
      </c>
      <c r="E2029">
        <f>19.65</f>
        <v>19.649999999999999</v>
      </c>
    </row>
    <row r="2030" spans="1:5" x14ac:dyDescent="0.2">
      <c r="A2030" s="1">
        <v>42318</v>
      </c>
      <c r="B2030">
        <f>15.29</f>
        <v>15.29</v>
      </c>
      <c r="C2030">
        <f>22.3923</f>
        <v>22.392299999999999</v>
      </c>
      <c r="D2030">
        <f>16.28</f>
        <v>16.28</v>
      </c>
      <c r="E2030">
        <f>19.64</f>
        <v>19.64</v>
      </c>
    </row>
    <row r="2031" spans="1:5" x14ac:dyDescent="0.2">
      <c r="A2031" s="1">
        <v>42317</v>
      </c>
      <c r="B2031">
        <f>16.52</f>
        <v>16.52</v>
      </c>
      <c r="C2031">
        <f>21.984</f>
        <v>21.984000000000002</v>
      </c>
      <c r="D2031">
        <f>15.67</f>
        <v>15.67</v>
      </c>
      <c r="E2031">
        <f>19.04</f>
        <v>19.04</v>
      </c>
    </row>
    <row r="2032" spans="1:5" x14ac:dyDescent="0.2">
      <c r="A2032" s="1">
        <v>42314</v>
      </c>
      <c r="B2032">
        <f>14.33</f>
        <v>14.33</v>
      </c>
      <c r="C2032">
        <f>20.4363</f>
        <v>20.436299999999999</v>
      </c>
      <c r="D2032">
        <f>14.87</f>
        <v>14.87</v>
      </c>
      <c r="E2032">
        <f>20.33</f>
        <v>20.329999999999998</v>
      </c>
    </row>
    <row r="2033" spans="1:5" x14ac:dyDescent="0.2">
      <c r="A2033" s="1">
        <v>42313</v>
      </c>
      <c r="B2033">
        <f>15.05</f>
        <v>15.05</v>
      </c>
      <c r="C2033">
        <f>20.9361</f>
        <v>20.9361</v>
      </c>
      <c r="D2033">
        <f>15.32</f>
        <v>15.32</v>
      </c>
      <c r="E2033">
        <f>19.46</f>
        <v>19.46</v>
      </c>
    </row>
    <row r="2034" spans="1:5" x14ac:dyDescent="0.2">
      <c r="A2034" s="1">
        <v>42312</v>
      </c>
      <c r="B2034">
        <f>15.51</f>
        <v>15.51</v>
      </c>
      <c r="C2034">
        <f>20.7464</f>
        <v>20.746400000000001</v>
      </c>
      <c r="D2034">
        <f>14.8</f>
        <v>14.8</v>
      </c>
      <c r="E2034">
        <f>19.14</f>
        <v>19.14</v>
      </c>
    </row>
    <row r="2035" spans="1:5" x14ac:dyDescent="0.2">
      <c r="A2035" s="1">
        <v>42311</v>
      </c>
      <c r="B2035">
        <f>14.54</f>
        <v>14.54</v>
      </c>
      <c r="C2035">
        <f>20.0632</f>
        <v>20.063199999999998</v>
      </c>
      <c r="D2035">
        <f>14.67</f>
        <v>14.67</v>
      </c>
      <c r="E2035">
        <f>19.42</f>
        <v>19.420000000000002</v>
      </c>
    </row>
    <row r="2036" spans="1:5" x14ac:dyDescent="0.2">
      <c r="A2036" s="1">
        <v>42310</v>
      </c>
      <c r="B2036">
        <f>14.15</f>
        <v>14.15</v>
      </c>
      <c r="C2036">
        <f>20.7672</f>
        <v>20.767199999999999</v>
      </c>
      <c r="D2036">
        <f>14.98</f>
        <v>14.98</v>
      </c>
      <c r="E2036">
        <f>19.06</f>
        <v>19.059999999999999</v>
      </c>
    </row>
    <row r="2037" spans="1:5" x14ac:dyDescent="0.2">
      <c r="A2037" s="1">
        <v>42307</v>
      </c>
      <c r="B2037">
        <f>15.07</f>
        <v>15.07</v>
      </c>
      <c r="C2037">
        <f>20.3569</f>
        <v>20.3569</v>
      </c>
      <c r="D2037">
        <f>15.18</f>
        <v>15.18</v>
      </c>
      <c r="E2037">
        <f>19.04</f>
        <v>19.04</v>
      </c>
    </row>
    <row r="2038" spans="1:5" x14ac:dyDescent="0.2">
      <c r="A2038" s="1">
        <v>42306</v>
      </c>
      <c r="B2038">
        <f>14.61</f>
        <v>14.61</v>
      </c>
      <c r="C2038">
        <f>21.0418</f>
        <v>21.041799999999999</v>
      </c>
      <c r="D2038">
        <f>15.25</f>
        <v>15.25</v>
      </c>
      <c r="E2038">
        <f>19.33</f>
        <v>19.329999999999998</v>
      </c>
    </row>
    <row r="2039" spans="1:5" x14ac:dyDescent="0.2">
      <c r="A2039" s="1">
        <v>42305</v>
      </c>
      <c r="B2039">
        <f>14.33</f>
        <v>14.33</v>
      </c>
      <c r="C2039">
        <f>20.7149</f>
        <v>20.7149</v>
      </c>
      <c r="D2039">
        <f>14.79</f>
        <v>14.79</v>
      </c>
      <c r="E2039">
        <f>19.06</f>
        <v>19.059999999999999</v>
      </c>
    </row>
    <row r="2040" spans="1:5" x14ac:dyDescent="0.2">
      <c r="A2040" s="1">
        <v>42304</v>
      </c>
      <c r="B2040">
        <f>15.43</f>
        <v>15.43</v>
      </c>
      <c r="C2040">
        <f>20.6863</f>
        <v>20.686299999999999</v>
      </c>
      <c r="D2040">
        <f>15.38</f>
        <v>15.38</v>
      </c>
      <c r="E2040">
        <f>19</f>
        <v>19</v>
      </c>
    </row>
    <row r="2041" spans="1:5" x14ac:dyDescent="0.2">
      <c r="A2041" s="1">
        <v>42303</v>
      </c>
      <c r="B2041">
        <f>15.29</f>
        <v>15.29</v>
      </c>
      <c r="C2041">
        <f>20.6403</f>
        <v>20.6403</v>
      </c>
      <c r="D2041">
        <f>15.06</f>
        <v>15.06</v>
      </c>
      <c r="E2041">
        <f>20.48</f>
        <v>20.48</v>
      </c>
    </row>
    <row r="2042" spans="1:5" x14ac:dyDescent="0.2">
      <c r="A2042" s="1">
        <v>42300</v>
      </c>
      <c r="B2042">
        <f>14.46</f>
        <v>14.46</v>
      </c>
      <c r="C2042">
        <f>19.8009</f>
        <v>19.800899999999999</v>
      </c>
      <c r="D2042">
        <f>14.47</f>
        <v>14.47</v>
      </c>
      <c r="E2042">
        <f>18.35</f>
        <v>18.350000000000001</v>
      </c>
    </row>
    <row r="2043" spans="1:5" x14ac:dyDescent="0.2">
      <c r="A2043" s="1">
        <v>42299</v>
      </c>
      <c r="B2043">
        <f>14.45</f>
        <v>14.45</v>
      </c>
      <c r="C2043">
        <f>19.9722</f>
        <v>19.972200000000001</v>
      </c>
      <c r="D2043">
        <f>15.04</f>
        <v>15.04</v>
      </c>
      <c r="E2043">
        <f>20.28</f>
        <v>20.28</v>
      </c>
    </row>
    <row r="2044" spans="1:5" x14ac:dyDescent="0.2">
      <c r="A2044" s="1">
        <v>42298</v>
      </c>
      <c r="B2044">
        <f>16.7</f>
        <v>16.7</v>
      </c>
      <c r="C2044">
        <f>21.8297</f>
        <v>21.829699999999999</v>
      </c>
      <c r="D2044">
        <f>16.01</f>
        <v>16.010000000000002</v>
      </c>
      <c r="E2044">
        <f>20.56</f>
        <v>20.56</v>
      </c>
    </row>
    <row r="2045" spans="1:5" x14ac:dyDescent="0.2">
      <c r="A2045" s="1">
        <v>42297</v>
      </c>
      <c r="B2045">
        <f>15.75</f>
        <v>15.75</v>
      </c>
      <c r="C2045">
        <f>21.7156</f>
        <v>21.715599999999998</v>
      </c>
      <c r="D2045">
        <f>15.82</f>
        <v>15.82</v>
      </c>
      <c r="E2045">
        <f>20.7</f>
        <v>20.7</v>
      </c>
    </row>
    <row r="2046" spans="1:5" x14ac:dyDescent="0.2">
      <c r="A2046" s="1">
        <v>42296</v>
      </c>
      <c r="B2046">
        <f>14.98</f>
        <v>14.98</v>
      </c>
      <c r="C2046">
        <f>22.4522</f>
        <v>22.452200000000001</v>
      </c>
      <c r="D2046">
        <f>16.53</f>
        <v>16.53</v>
      </c>
      <c r="E2046">
        <f>19.96</f>
        <v>19.96</v>
      </c>
    </row>
    <row r="2047" spans="1:5" x14ac:dyDescent="0.2">
      <c r="A2047" s="1">
        <v>42293</v>
      </c>
      <c r="B2047">
        <f>15.05</f>
        <v>15.05</v>
      </c>
      <c r="C2047">
        <f>22.7408</f>
        <v>22.7408</v>
      </c>
      <c r="D2047">
        <f>15.85</f>
        <v>15.85</v>
      </c>
      <c r="E2047">
        <f>20.16</f>
        <v>20.16</v>
      </c>
    </row>
    <row r="2048" spans="1:5" x14ac:dyDescent="0.2">
      <c r="A2048" s="1">
        <v>42292</v>
      </c>
      <c r="B2048">
        <f>16.05</f>
        <v>16.05</v>
      </c>
      <c r="C2048">
        <f>24.1188</f>
        <v>24.1188</v>
      </c>
      <c r="D2048">
        <f>16.54</f>
        <v>16.54</v>
      </c>
      <c r="E2048">
        <f>20.07</f>
        <v>20.07</v>
      </c>
    </row>
    <row r="2049" spans="1:5" x14ac:dyDescent="0.2">
      <c r="A2049" s="1">
        <v>42291</v>
      </c>
      <c r="B2049">
        <f>18.03</f>
        <v>18.03</v>
      </c>
      <c r="C2049">
        <f>25.158</f>
        <v>25.158000000000001</v>
      </c>
      <c r="D2049">
        <f>17.93</f>
        <v>17.93</v>
      </c>
      <c r="E2049">
        <f>19.98</f>
        <v>19.98</v>
      </c>
    </row>
    <row r="2050" spans="1:5" x14ac:dyDescent="0.2">
      <c r="A2050" s="1">
        <v>42290</v>
      </c>
      <c r="B2050">
        <f>17.67</f>
        <v>17.670000000000002</v>
      </c>
      <c r="C2050">
        <f>24.0398</f>
        <v>24.0398</v>
      </c>
      <c r="D2050">
        <f>17.04</f>
        <v>17.04</v>
      </c>
      <c r="E2050">
        <f>20.01</f>
        <v>20.010000000000002</v>
      </c>
    </row>
    <row r="2051" spans="1:5" x14ac:dyDescent="0.2">
      <c r="A2051" s="1">
        <v>42289</v>
      </c>
      <c r="B2051">
        <f>16.17</f>
        <v>16.170000000000002</v>
      </c>
      <c r="C2051">
        <f>23.1872</f>
        <v>23.187200000000001</v>
      </c>
      <c r="D2051">
        <f>16.55</f>
        <v>16.55</v>
      </c>
      <c r="E2051">
        <f>20.28</f>
        <v>20.28</v>
      </c>
    </row>
    <row r="2052" spans="1:5" x14ac:dyDescent="0.2">
      <c r="A2052" s="1">
        <v>42286</v>
      </c>
      <c r="B2052">
        <f>17.08</f>
        <v>17.079999999999998</v>
      </c>
      <c r="C2052">
        <f>23.4173</f>
        <v>23.417300000000001</v>
      </c>
      <c r="D2052">
        <f>16.26</f>
        <v>16.260000000000002</v>
      </c>
      <c r="E2052">
        <f>19.54</f>
        <v>19.54</v>
      </c>
    </row>
    <row r="2053" spans="1:5" x14ac:dyDescent="0.2">
      <c r="A2053" s="1">
        <v>42285</v>
      </c>
      <c r="B2053">
        <f>17.42</f>
        <v>17.420000000000002</v>
      </c>
      <c r="C2053">
        <f>24.5243</f>
        <v>24.5243</v>
      </c>
      <c r="D2053">
        <f>16.73</f>
        <v>16.73</v>
      </c>
      <c r="E2053">
        <f>19.93</f>
        <v>19.93</v>
      </c>
    </row>
    <row r="2054" spans="1:5" x14ac:dyDescent="0.2">
      <c r="A2054" s="1">
        <v>42284</v>
      </c>
      <c r="B2054">
        <f>18.4</f>
        <v>18.399999999999999</v>
      </c>
      <c r="C2054">
        <f>26.3912</f>
        <v>26.391200000000001</v>
      </c>
      <c r="D2054">
        <f>19.81</f>
        <v>19.809999999999999</v>
      </c>
      <c r="E2054">
        <f>20.32</f>
        <v>20.32</v>
      </c>
    </row>
    <row r="2055" spans="1:5" x14ac:dyDescent="0.2">
      <c r="A2055" s="1">
        <v>42283</v>
      </c>
      <c r="B2055">
        <f>19.4</f>
        <v>19.399999999999999</v>
      </c>
      <c r="C2055">
        <f>26.257</f>
        <v>26.257000000000001</v>
      </c>
      <c r="D2055">
        <f>19.96</f>
        <v>19.96</v>
      </c>
      <c r="E2055">
        <f>20.85</f>
        <v>20.85</v>
      </c>
    </row>
    <row r="2056" spans="1:5" x14ac:dyDescent="0.2">
      <c r="A2056" s="1">
        <v>42282</v>
      </c>
      <c r="B2056">
        <f>19.54</f>
        <v>19.54</v>
      </c>
      <c r="C2056">
        <f>28.6187</f>
        <v>28.6187</v>
      </c>
      <c r="D2056">
        <f>22.07</f>
        <v>22.07</v>
      </c>
      <c r="E2056">
        <f>20.71</f>
        <v>20.71</v>
      </c>
    </row>
    <row r="2057" spans="1:5" x14ac:dyDescent="0.2">
      <c r="A2057" s="1">
        <v>42279</v>
      </c>
      <c r="B2057">
        <f>20.94</f>
        <v>20.94</v>
      </c>
      <c r="C2057">
        <f>30.9395</f>
        <v>30.939499999999999</v>
      </c>
      <c r="D2057">
        <f>24.24</f>
        <v>24.24</v>
      </c>
      <c r="E2057">
        <f>22.79</f>
        <v>22.79</v>
      </c>
    </row>
    <row r="2058" spans="1:5" x14ac:dyDescent="0.2">
      <c r="A2058" s="1">
        <v>42278</v>
      </c>
      <c r="B2058">
        <f>22.55</f>
        <v>22.55</v>
      </c>
      <c r="C2058">
        <f>31.7174</f>
        <v>31.717400000000001</v>
      </c>
      <c r="D2058">
        <f>25.07</f>
        <v>25.07</v>
      </c>
      <c r="E2058">
        <f>23.18</f>
        <v>23.18</v>
      </c>
    </row>
    <row r="2059" spans="1:5" x14ac:dyDescent="0.2">
      <c r="A2059" s="1">
        <v>42277</v>
      </c>
      <c r="B2059">
        <f>24.5</f>
        <v>24.5</v>
      </c>
      <c r="C2059">
        <f>32.0459</f>
        <v>32.045900000000003</v>
      </c>
      <c r="D2059">
        <f>24.79</f>
        <v>24.79</v>
      </c>
      <c r="E2059">
        <f>22.45</f>
        <v>22.45</v>
      </c>
    </row>
    <row r="2060" spans="1:5" x14ac:dyDescent="0.2">
      <c r="A2060" s="1">
        <v>42276</v>
      </c>
      <c r="B2060">
        <f>26.83</f>
        <v>26.83</v>
      </c>
      <c r="C2060">
        <f>33.7366</f>
        <v>33.736600000000003</v>
      </c>
      <c r="D2060">
        <f>27.32</f>
        <v>27.32</v>
      </c>
      <c r="E2060">
        <f>23.58</f>
        <v>23.58</v>
      </c>
    </row>
    <row r="2061" spans="1:5" x14ac:dyDescent="0.2">
      <c r="A2061" s="1">
        <v>42275</v>
      </c>
      <c r="B2061">
        <f>27.63</f>
        <v>27.63</v>
      </c>
      <c r="C2061">
        <f>33.0825</f>
        <v>33.082500000000003</v>
      </c>
      <c r="D2061">
        <f>27.12</f>
        <v>27.12</v>
      </c>
      <c r="E2061">
        <f>23.9</f>
        <v>23.9</v>
      </c>
    </row>
    <row r="2062" spans="1:5" x14ac:dyDescent="0.2">
      <c r="A2062" s="1">
        <v>42272</v>
      </c>
      <c r="B2062">
        <f>23.62</f>
        <v>23.62</v>
      </c>
      <c r="C2062">
        <f>30.5182</f>
        <v>30.5182</v>
      </c>
      <c r="D2062">
        <f>23.86</f>
        <v>23.86</v>
      </c>
      <c r="E2062">
        <f>23.09</f>
        <v>23.09</v>
      </c>
    </row>
    <row r="2063" spans="1:5" x14ac:dyDescent="0.2">
      <c r="A2063" s="1">
        <v>42271</v>
      </c>
      <c r="B2063">
        <f>23.47</f>
        <v>23.47</v>
      </c>
      <c r="C2063">
        <f>33.4567</f>
        <v>33.456699999999998</v>
      </c>
      <c r="D2063">
        <f>26.16</f>
        <v>26.16</v>
      </c>
      <c r="E2063" t="e">
        <f>NA()</f>
        <v>#N/A</v>
      </c>
    </row>
    <row r="2064" spans="1:5" x14ac:dyDescent="0.2">
      <c r="A2064" s="1">
        <v>42270</v>
      </c>
      <c r="B2064">
        <f>22.13</f>
        <v>22.13</v>
      </c>
      <c r="C2064">
        <f>31.0561</f>
        <v>31.056100000000001</v>
      </c>
      <c r="D2064">
        <f>24.21</f>
        <v>24.21</v>
      </c>
      <c r="E2064">
        <f>22.96</f>
        <v>22.96</v>
      </c>
    </row>
    <row r="2065" spans="1:5" x14ac:dyDescent="0.2">
      <c r="A2065" s="1">
        <v>42269</v>
      </c>
      <c r="B2065">
        <f>22.44</f>
        <v>22.44</v>
      </c>
      <c r="C2065">
        <f>32.1618</f>
        <v>32.161799999999999</v>
      </c>
      <c r="D2065">
        <f>25.66</f>
        <v>25.66</v>
      </c>
      <c r="E2065">
        <f>23.63</f>
        <v>23.63</v>
      </c>
    </row>
    <row r="2066" spans="1:5" x14ac:dyDescent="0.2">
      <c r="A2066" s="1">
        <v>42268</v>
      </c>
      <c r="B2066">
        <f>20.14</f>
        <v>20.14</v>
      </c>
      <c r="C2066">
        <f>27.0169</f>
        <v>27.0169</v>
      </c>
      <c r="D2066">
        <f>20.76</f>
        <v>20.76</v>
      </c>
      <c r="E2066">
        <f>22.94</f>
        <v>22.94</v>
      </c>
    </row>
    <row r="2067" spans="1:5" x14ac:dyDescent="0.2">
      <c r="A2067" s="1">
        <v>42265</v>
      </c>
      <c r="B2067">
        <f>22.28</f>
        <v>22.28</v>
      </c>
      <c r="C2067">
        <f>28.4011</f>
        <v>28.4011</v>
      </c>
      <c r="D2067">
        <f>22.22</f>
        <v>22.22</v>
      </c>
      <c r="E2067">
        <f>23.02</f>
        <v>23.02</v>
      </c>
    </row>
    <row r="2068" spans="1:5" x14ac:dyDescent="0.2">
      <c r="A2068" s="1">
        <v>42264</v>
      </c>
      <c r="B2068">
        <f>21.14</f>
        <v>21.14</v>
      </c>
      <c r="C2068">
        <f>27.0649</f>
        <v>27.064900000000002</v>
      </c>
      <c r="D2068">
        <f>21.65</f>
        <v>21.65</v>
      </c>
      <c r="E2068">
        <f>19.21</f>
        <v>19.21</v>
      </c>
    </row>
    <row r="2069" spans="1:5" x14ac:dyDescent="0.2">
      <c r="A2069" s="1">
        <v>42263</v>
      </c>
      <c r="B2069">
        <f>21.35</f>
        <v>21.35</v>
      </c>
      <c r="C2069">
        <f>27.9163</f>
        <v>27.9163</v>
      </c>
      <c r="D2069">
        <f>21.07</f>
        <v>21.07</v>
      </c>
      <c r="E2069">
        <f>19.71</f>
        <v>19.71</v>
      </c>
    </row>
    <row r="2070" spans="1:5" x14ac:dyDescent="0.2">
      <c r="A2070" s="1">
        <v>42262</v>
      </c>
      <c r="B2070">
        <f>22.54</f>
        <v>22.54</v>
      </c>
      <c r="C2070">
        <f>29.9496</f>
        <v>29.9496</v>
      </c>
      <c r="D2070">
        <f>23.79</f>
        <v>23.79</v>
      </c>
      <c r="E2070">
        <f>21.24</f>
        <v>21.24</v>
      </c>
    </row>
    <row r="2071" spans="1:5" x14ac:dyDescent="0.2">
      <c r="A2071" s="1">
        <v>42261</v>
      </c>
      <c r="B2071">
        <f>24.25</f>
        <v>24.25</v>
      </c>
      <c r="C2071">
        <f>31.355</f>
        <v>31.355</v>
      </c>
      <c r="D2071">
        <f>25.69</f>
        <v>25.69</v>
      </c>
      <c r="E2071">
        <f>21.49</f>
        <v>21.49</v>
      </c>
    </row>
    <row r="2072" spans="1:5" x14ac:dyDescent="0.2">
      <c r="A2072" s="1">
        <v>42258</v>
      </c>
      <c r="B2072">
        <f>23.2</f>
        <v>23.2</v>
      </c>
      <c r="C2072">
        <f>31.6478</f>
        <v>31.6478</v>
      </c>
      <c r="D2072">
        <f>26.83</f>
        <v>26.83</v>
      </c>
      <c r="E2072">
        <f>20.99</f>
        <v>20.99</v>
      </c>
    </row>
    <row r="2073" spans="1:5" x14ac:dyDescent="0.2">
      <c r="A2073" s="1">
        <v>42257</v>
      </c>
      <c r="B2073">
        <f>24.37</f>
        <v>24.37</v>
      </c>
      <c r="C2073">
        <f>32.0034</f>
        <v>32.003399999999999</v>
      </c>
      <c r="D2073">
        <f>27.73</f>
        <v>27.73</v>
      </c>
      <c r="E2073">
        <f>20.99</f>
        <v>20.99</v>
      </c>
    </row>
    <row r="2074" spans="1:5" x14ac:dyDescent="0.2">
      <c r="A2074" s="1">
        <v>42256</v>
      </c>
      <c r="B2074">
        <f>26.23</f>
        <v>26.23</v>
      </c>
      <c r="C2074">
        <f>30.4496</f>
        <v>30.4496</v>
      </c>
      <c r="D2074">
        <f>24.83</f>
        <v>24.83</v>
      </c>
      <c r="E2074">
        <f>20.48</f>
        <v>20.48</v>
      </c>
    </row>
    <row r="2075" spans="1:5" x14ac:dyDescent="0.2">
      <c r="A2075" s="1">
        <v>42255</v>
      </c>
      <c r="B2075">
        <f>24.9</f>
        <v>24.9</v>
      </c>
      <c r="C2075">
        <f>32.2298</f>
        <v>32.229799999999997</v>
      </c>
      <c r="D2075">
        <f>26.74</f>
        <v>26.74</v>
      </c>
      <c r="E2075">
        <f>20.48</f>
        <v>20.48</v>
      </c>
    </row>
    <row r="2076" spans="1:5" x14ac:dyDescent="0.2">
      <c r="A2076" s="1">
        <v>42254</v>
      </c>
      <c r="B2076" t="e">
        <f>NA()</f>
        <v>#N/A</v>
      </c>
      <c r="C2076">
        <f>35.1536</f>
        <v>35.153599999999997</v>
      </c>
      <c r="D2076">
        <f>29.56</f>
        <v>29.56</v>
      </c>
      <c r="E2076">
        <f>21.25</f>
        <v>21.25</v>
      </c>
    </row>
    <row r="2077" spans="1:5" x14ac:dyDescent="0.2">
      <c r="A2077" s="1">
        <v>42251</v>
      </c>
      <c r="B2077">
        <f>27.8</f>
        <v>27.8</v>
      </c>
      <c r="C2077">
        <f>34.8152</f>
        <v>34.815199999999997</v>
      </c>
      <c r="D2077">
        <f>30.52</f>
        <v>30.52</v>
      </c>
      <c r="E2077">
        <f>21.27</f>
        <v>21.27</v>
      </c>
    </row>
    <row r="2078" spans="1:5" x14ac:dyDescent="0.2">
      <c r="A2078" s="1">
        <v>42250</v>
      </c>
      <c r="B2078">
        <f>25.61</f>
        <v>25.61</v>
      </c>
      <c r="C2078">
        <f>29.8773</f>
        <v>29.877300000000002</v>
      </c>
      <c r="D2078">
        <f>25.66</f>
        <v>25.66</v>
      </c>
      <c r="E2078">
        <f>21.27</f>
        <v>21.27</v>
      </c>
    </row>
    <row r="2079" spans="1:5" x14ac:dyDescent="0.2">
      <c r="A2079" s="1">
        <v>42249</v>
      </c>
      <c r="B2079">
        <f>26.09</f>
        <v>26.09</v>
      </c>
      <c r="C2079">
        <f>33.7021</f>
        <v>33.702100000000002</v>
      </c>
      <c r="D2079">
        <f>30.24</f>
        <v>30.24</v>
      </c>
      <c r="E2079">
        <f>22.31</f>
        <v>22.31</v>
      </c>
    </row>
    <row r="2080" spans="1:5" x14ac:dyDescent="0.2">
      <c r="A2080" s="1">
        <v>42248</v>
      </c>
      <c r="B2080">
        <f>31.4</f>
        <v>31.4</v>
      </c>
      <c r="C2080">
        <f>34.264</f>
        <v>34.264000000000003</v>
      </c>
      <c r="D2080">
        <f>30.09</f>
        <v>30.09</v>
      </c>
      <c r="E2080">
        <f>22.84</f>
        <v>22.84</v>
      </c>
    </row>
    <row r="2081" spans="1:5" x14ac:dyDescent="0.2">
      <c r="A2081" s="1">
        <v>42247</v>
      </c>
      <c r="B2081">
        <f>28.43</f>
        <v>28.43</v>
      </c>
      <c r="C2081">
        <f>31.0718</f>
        <v>31.0718</v>
      </c>
      <c r="D2081" t="e">
        <f>NA()</f>
        <v>#N/A</v>
      </c>
      <c r="E2081">
        <f>21.81</f>
        <v>21.81</v>
      </c>
    </row>
    <row r="2082" spans="1:5" x14ac:dyDescent="0.2">
      <c r="A2082" s="1">
        <v>42244</v>
      </c>
      <c r="B2082">
        <f>26.05</f>
        <v>26.05</v>
      </c>
      <c r="C2082">
        <f>31.0337</f>
        <v>31.0337</v>
      </c>
      <c r="D2082">
        <f>24.47</f>
        <v>24.47</v>
      </c>
      <c r="E2082">
        <f>21.83</f>
        <v>21.83</v>
      </c>
    </row>
    <row r="2083" spans="1:5" x14ac:dyDescent="0.2">
      <c r="A2083" s="1">
        <v>42243</v>
      </c>
      <c r="B2083">
        <f>26.1</f>
        <v>26.1</v>
      </c>
      <c r="C2083">
        <f>30.5602</f>
        <v>30.560199999999998</v>
      </c>
      <c r="D2083">
        <f>23.27</f>
        <v>23.27</v>
      </c>
      <c r="E2083">
        <f>22.91</f>
        <v>22.91</v>
      </c>
    </row>
    <row r="2084" spans="1:5" x14ac:dyDescent="0.2">
      <c r="A2084" s="1">
        <v>42242</v>
      </c>
      <c r="B2084">
        <f>30.32</f>
        <v>30.32</v>
      </c>
      <c r="C2084">
        <f>35.2896</f>
        <v>35.2896</v>
      </c>
      <c r="D2084">
        <f>27.52</f>
        <v>27.52</v>
      </c>
      <c r="E2084">
        <f>22.93</f>
        <v>22.93</v>
      </c>
    </row>
    <row r="2085" spans="1:5" x14ac:dyDescent="0.2">
      <c r="A2085" s="1">
        <v>42241</v>
      </c>
      <c r="B2085">
        <f>36.02</f>
        <v>36.020000000000003</v>
      </c>
      <c r="C2085">
        <f>33.6485</f>
        <v>33.648499999999999</v>
      </c>
      <c r="D2085">
        <f>25.13</f>
        <v>25.13</v>
      </c>
      <c r="E2085">
        <f>22.41</f>
        <v>22.41</v>
      </c>
    </row>
    <row r="2086" spans="1:5" x14ac:dyDescent="0.2">
      <c r="A2086" s="1">
        <v>42240</v>
      </c>
      <c r="B2086">
        <f>40.74</f>
        <v>40.74</v>
      </c>
      <c r="C2086">
        <f>40.803</f>
        <v>40.802999999999997</v>
      </c>
      <c r="D2086">
        <f>32.5</f>
        <v>32.5</v>
      </c>
      <c r="E2086">
        <f>19.4</f>
        <v>19.399999999999999</v>
      </c>
    </row>
    <row r="2087" spans="1:5" x14ac:dyDescent="0.2">
      <c r="A2087" s="1">
        <v>42237</v>
      </c>
      <c r="B2087">
        <f>28.03</f>
        <v>28.03</v>
      </c>
      <c r="C2087">
        <f>30.2101</f>
        <v>30.210100000000001</v>
      </c>
      <c r="D2087">
        <f>21.71</f>
        <v>21.71</v>
      </c>
      <c r="E2087">
        <f>19.44</f>
        <v>19.440000000000001</v>
      </c>
    </row>
    <row r="2088" spans="1:5" x14ac:dyDescent="0.2">
      <c r="A2088" s="1">
        <v>42236</v>
      </c>
      <c r="B2088">
        <f>19.14</f>
        <v>19.14</v>
      </c>
      <c r="C2088">
        <f>25.4949</f>
        <v>25.494900000000001</v>
      </c>
      <c r="D2088">
        <f>17.46</f>
        <v>17.46</v>
      </c>
      <c r="E2088">
        <f>18.91</f>
        <v>18.91</v>
      </c>
    </row>
    <row r="2089" spans="1:5" x14ac:dyDescent="0.2">
      <c r="A2089" s="1">
        <v>42235</v>
      </c>
      <c r="B2089">
        <f>15.25</f>
        <v>15.25</v>
      </c>
      <c r="C2089">
        <f>23.7117</f>
        <v>23.7117</v>
      </c>
      <c r="D2089">
        <f>16.86</f>
        <v>16.86</v>
      </c>
      <c r="E2089">
        <f>18.61</f>
        <v>18.61</v>
      </c>
    </row>
    <row r="2090" spans="1:5" x14ac:dyDescent="0.2">
      <c r="A2090" s="1">
        <v>42234</v>
      </c>
      <c r="B2090">
        <f>13.79</f>
        <v>13.79</v>
      </c>
      <c r="C2090">
        <f>22.5001</f>
        <v>22.5001</v>
      </c>
      <c r="D2090">
        <f>15.25</f>
        <v>15.25</v>
      </c>
      <c r="E2090">
        <f>17.82</f>
        <v>17.82</v>
      </c>
    </row>
    <row r="2091" spans="1:5" x14ac:dyDescent="0.2">
      <c r="A2091" s="1">
        <v>42233</v>
      </c>
      <c r="B2091">
        <f>13.02</f>
        <v>13.02</v>
      </c>
      <c r="C2091">
        <f>22.3811</f>
        <v>22.3811</v>
      </c>
      <c r="D2091">
        <f>15.24</f>
        <v>15.24</v>
      </c>
      <c r="E2091">
        <f>18.09</f>
        <v>18.09</v>
      </c>
    </row>
    <row r="2092" spans="1:5" x14ac:dyDescent="0.2">
      <c r="A2092" s="1">
        <v>42230</v>
      </c>
      <c r="B2092">
        <f>12.83</f>
        <v>12.83</v>
      </c>
      <c r="C2092">
        <f>22.8364</f>
        <v>22.836400000000001</v>
      </c>
      <c r="D2092">
        <f>15.37</f>
        <v>15.37</v>
      </c>
      <c r="E2092">
        <f>18.13</f>
        <v>18.13</v>
      </c>
    </row>
    <row r="2093" spans="1:5" x14ac:dyDescent="0.2">
      <c r="A2093" s="1">
        <v>42229</v>
      </c>
      <c r="B2093">
        <f>13.49</f>
        <v>13.49</v>
      </c>
      <c r="C2093">
        <f>23.2434</f>
        <v>23.243400000000001</v>
      </c>
      <c r="D2093">
        <f>16.06</f>
        <v>16.059999999999999</v>
      </c>
      <c r="E2093">
        <f>17.59</f>
        <v>17.59</v>
      </c>
    </row>
    <row r="2094" spans="1:5" x14ac:dyDescent="0.2">
      <c r="A2094" s="1">
        <v>42228</v>
      </c>
      <c r="B2094">
        <f>13.61</f>
        <v>13.61</v>
      </c>
      <c r="C2094">
        <f>24.4678</f>
        <v>24.4678</v>
      </c>
      <c r="D2094">
        <f>16.62</f>
        <v>16.62</v>
      </c>
      <c r="E2094">
        <f>18.42</f>
        <v>18.420000000000002</v>
      </c>
    </row>
    <row r="2095" spans="1:5" x14ac:dyDescent="0.2">
      <c r="A2095" s="1">
        <v>42227</v>
      </c>
      <c r="B2095">
        <f>13.71</f>
        <v>13.71</v>
      </c>
      <c r="C2095">
        <f>20.4012</f>
        <v>20.401199999999999</v>
      </c>
      <c r="D2095">
        <f>14.02</f>
        <v>14.02</v>
      </c>
      <c r="E2095">
        <f>17.05</f>
        <v>17.05</v>
      </c>
    </row>
    <row r="2096" spans="1:5" x14ac:dyDescent="0.2">
      <c r="A2096" s="1">
        <v>42226</v>
      </c>
      <c r="B2096">
        <f>12.23</f>
        <v>12.23</v>
      </c>
      <c r="C2096">
        <f>18.3067</f>
        <v>18.306699999999999</v>
      </c>
      <c r="D2096">
        <f>12.95</f>
        <v>12.95</v>
      </c>
      <c r="E2096" t="e">
        <f>NA()</f>
        <v>#N/A</v>
      </c>
    </row>
    <row r="2097" spans="1:5" x14ac:dyDescent="0.2">
      <c r="A2097" s="1">
        <v>42223</v>
      </c>
      <c r="B2097">
        <f>13.39</f>
        <v>13.39</v>
      </c>
      <c r="C2097">
        <f>18.7066</f>
        <v>18.706600000000002</v>
      </c>
      <c r="D2097">
        <f>12.62</f>
        <v>12.62</v>
      </c>
      <c r="E2097">
        <f>17.36</f>
        <v>17.36</v>
      </c>
    </row>
    <row r="2098" spans="1:5" x14ac:dyDescent="0.2">
      <c r="A2098" s="1">
        <v>42222</v>
      </c>
      <c r="B2098">
        <f>13.77</f>
        <v>13.77</v>
      </c>
      <c r="C2098">
        <f>18.2603</f>
        <v>18.260300000000001</v>
      </c>
      <c r="D2098">
        <f>12.41</f>
        <v>12.41</v>
      </c>
      <c r="E2098">
        <f>16.85</f>
        <v>16.850000000000001</v>
      </c>
    </row>
    <row r="2099" spans="1:5" x14ac:dyDescent="0.2">
      <c r="A2099" s="1">
        <v>42221</v>
      </c>
      <c r="B2099">
        <f>12.51</f>
        <v>12.51</v>
      </c>
      <c r="C2099">
        <f>17.5482</f>
        <v>17.548200000000001</v>
      </c>
      <c r="D2099">
        <f>12.06</f>
        <v>12.06</v>
      </c>
      <c r="E2099">
        <f>16.54</f>
        <v>16.54</v>
      </c>
    </row>
    <row r="2100" spans="1:5" x14ac:dyDescent="0.2">
      <c r="A2100" s="1">
        <v>42220</v>
      </c>
      <c r="B2100">
        <f>13</f>
        <v>13</v>
      </c>
      <c r="C2100">
        <f>18.2536</f>
        <v>18.253599999999999</v>
      </c>
      <c r="D2100">
        <f>13.26</f>
        <v>13.26</v>
      </c>
      <c r="E2100">
        <f>16.81</f>
        <v>16.809999999999999</v>
      </c>
    </row>
    <row r="2101" spans="1:5" x14ac:dyDescent="0.2">
      <c r="A2101" s="1">
        <v>42219</v>
      </c>
      <c r="B2101">
        <f>12.56</f>
        <v>12.56</v>
      </c>
      <c r="C2101">
        <f>18.5935</f>
        <v>18.593499999999999</v>
      </c>
      <c r="D2101">
        <f>13.75</f>
        <v>13.75</v>
      </c>
      <c r="E2101">
        <f>17.4</f>
        <v>17.399999999999999</v>
      </c>
    </row>
    <row r="2102" spans="1:5" x14ac:dyDescent="0.2">
      <c r="A2102" s="1">
        <v>42216</v>
      </c>
      <c r="B2102">
        <f>12.12</f>
        <v>12.12</v>
      </c>
      <c r="C2102">
        <f>19.2878</f>
        <v>19.287800000000001</v>
      </c>
      <c r="D2102">
        <f>13.92</f>
        <v>13.92</v>
      </c>
      <c r="E2102">
        <f>17.18</f>
        <v>17.18</v>
      </c>
    </row>
    <row r="2103" spans="1:5" x14ac:dyDescent="0.2">
      <c r="A2103" s="1">
        <v>42215</v>
      </c>
      <c r="B2103">
        <f>12.13</f>
        <v>12.13</v>
      </c>
      <c r="C2103">
        <f>20.2348</f>
        <v>20.2348</v>
      </c>
      <c r="D2103">
        <f>14.42</f>
        <v>14.42</v>
      </c>
      <c r="E2103">
        <f>17.46</f>
        <v>17.46</v>
      </c>
    </row>
    <row r="2104" spans="1:5" x14ac:dyDescent="0.2">
      <c r="A2104" s="1">
        <v>42214</v>
      </c>
      <c r="B2104">
        <f>12.5</f>
        <v>12.5</v>
      </c>
      <c r="C2104">
        <f>20.0336</f>
        <v>20.0336</v>
      </c>
      <c r="D2104">
        <f>14.61</f>
        <v>14.61</v>
      </c>
      <c r="E2104">
        <f>18.07</f>
        <v>18.07</v>
      </c>
    </row>
    <row r="2105" spans="1:5" x14ac:dyDescent="0.2">
      <c r="A2105" s="1">
        <v>42213</v>
      </c>
      <c r="B2105">
        <f>13.44</f>
        <v>13.44</v>
      </c>
      <c r="C2105">
        <f>20.8092</f>
        <v>20.809200000000001</v>
      </c>
      <c r="D2105">
        <f>15.62</f>
        <v>15.62</v>
      </c>
      <c r="E2105">
        <f>18.69</f>
        <v>18.690000000000001</v>
      </c>
    </row>
    <row r="2106" spans="1:5" x14ac:dyDescent="0.2">
      <c r="A2106" s="1">
        <v>42212</v>
      </c>
      <c r="B2106">
        <f>15.6</f>
        <v>15.6</v>
      </c>
      <c r="C2106">
        <f>21.9151</f>
        <v>21.915099999999999</v>
      </c>
      <c r="D2106">
        <f>17.1</f>
        <v>17.100000000000001</v>
      </c>
      <c r="E2106">
        <f>18.37</f>
        <v>18.37</v>
      </c>
    </row>
    <row r="2107" spans="1:5" x14ac:dyDescent="0.2">
      <c r="A2107" s="1">
        <v>42209</v>
      </c>
      <c r="B2107">
        <f>13.74</f>
        <v>13.74</v>
      </c>
      <c r="C2107">
        <f>19.0408</f>
        <v>19.040800000000001</v>
      </c>
      <c r="D2107">
        <f>15.58</f>
        <v>15.58</v>
      </c>
      <c r="E2107">
        <f>18.42</f>
        <v>18.420000000000002</v>
      </c>
    </row>
    <row r="2108" spans="1:5" x14ac:dyDescent="0.2">
      <c r="A2108" s="1">
        <v>42208</v>
      </c>
      <c r="B2108">
        <f>12.64</f>
        <v>12.64</v>
      </c>
      <c r="C2108">
        <f>17.4317</f>
        <v>17.431699999999999</v>
      </c>
      <c r="D2108">
        <f>14</f>
        <v>14</v>
      </c>
      <c r="E2108">
        <f>17.82</f>
        <v>17.82</v>
      </c>
    </row>
    <row r="2109" spans="1:5" x14ac:dyDescent="0.2">
      <c r="A2109" s="1">
        <v>42207</v>
      </c>
      <c r="B2109">
        <f>12.12</f>
        <v>12.12</v>
      </c>
      <c r="C2109">
        <f>18.16</f>
        <v>18.16</v>
      </c>
      <c r="D2109">
        <f>14.15</f>
        <v>14.15</v>
      </c>
      <c r="E2109">
        <f>17.85</f>
        <v>17.850000000000001</v>
      </c>
    </row>
    <row r="2110" spans="1:5" x14ac:dyDescent="0.2">
      <c r="A2110" s="1">
        <v>42206</v>
      </c>
      <c r="B2110">
        <f>12.22</f>
        <v>12.22</v>
      </c>
      <c r="C2110">
        <f>17.9144</f>
        <v>17.914400000000001</v>
      </c>
      <c r="D2110">
        <f>12.18</f>
        <v>12.18</v>
      </c>
      <c r="E2110">
        <f>17.14</f>
        <v>17.14</v>
      </c>
    </row>
    <row r="2111" spans="1:5" x14ac:dyDescent="0.2">
      <c r="A2111" s="1">
        <v>42205</v>
      </c>
      <c r="B2111">
        <f>12.25</f>
        <v>12.25</v>
      </c>
      <c r="C2111">
        <f>18.1165</f>
        <v>18.116499999999998</v>
      </c>
      <c r="D2111">
        <f>11.57</f>
        <v>11.57</v>
      </c>
      <c r="E2111">
        <f>17.15</f>
        <v>17.149999999999999</v>
      </c>
    </row>
    <row r="2112" spans="1:5" x14ac:dyDescent="0.2">
      <c r="A2112" s="1">
        <v>42202</v>
      </c>
      <c r="B2112">
        <f>11.95</f>
        <v>11.95</v>
      </c>
      <c r="C2112">
        <f>18.9656</f>
        <v>18.965599999999998</v>
      </c>
      <c r="D2112">
        <f>12.18</f>
        <v>12.18</v>
      </c>
      <c r="E2112">
        <f>17.45</f>
        <v>17.45</v>
      </c>
    </row>
    <row r="2113" spans="1:5" x14ac:dyDescent="0.2">
      <c r="A2113" s="1">
        <v>42201</v>
      </c>
      <c r="B2113">
        <f>12.11</f>
        <v>12.11</v>
      </c>
      <c r="C2113">
        <f>19.018</f>
        <v>19.018000000000001</v>
      </c>
      <c r="D2113">
        <f>11.68</f>
        <v>11.68</v>
      </c>
      <c r="E2113">
        <f>17.46</f>
        <v>17.46</v>
      </c>
    </row>
    <row r="2114" spans="1:5" x14ac:dyDescent="0.2">
      <c r="A2114" s="1">
        <v>42200</v>
      </c>
      <c r="B2114">
        <f>13.23</f>
        <v>13.23</v>
      </c>
      <c r="C2114">
        <f>21.0969</f>
        <v>21.096900000000002</v>
      </c>
      <c r="D2114">
        <f>12.68</f>
        <v>12.68</v>
      </c>
      <c r="E2114">
        <f>18.5</f>
        <v>18.5</v>
      </c>
    </row>
    <row r="2115" spans="1:5" x14ac:dyDescent="0.2">
      <c r="A2115" s="1">
        <v>42199</v>
      </c>
      <c r="B2115">
        <f>13.37</f>
        <v>13.37</v>
      </c>
      <c r="C2115">
        <f>21.5485</f>
        <v>21.548500000000001</v>
      </c>
      <c r="D2115">
        <f>13.04</f>
        <v>13.04</v>
      </c>
      <c r="E2115">
        <f>18.53</f>
        <v>18.53</v>
      </c>
    </row>
    <row r="2116" spans="1:5" x14ac:dyDescent="0.2">
      <c r="A2116" s="1">
        <v>42198</v>
      </c>
      <c r="B2116">
        <f>13.9</f>
        <v>13.9</v>
      </c>
      <c r="C2116">
        <f>23.2482</f>
        <v>23.248200000000001</v>
      </c>
      <c r="D2116">
        <f>14.73</f>
        <v>14.73</v>
      </c>
      <c r="E2116">
        <f>18.3</f>
        <v>18.3</v>
      </c>
    </row>
    <row r="2117" spans="1:5" x14ac:dyDescent="0.2">
      <c r="A2117" s="1">
        <v>42195</v>
      </c>
      <c r="B2117">
        <f>16.83</f>
        <v>16.829999999999998</v>
      </c>
      <c r="C2117">
        <f>27.8763</f>
        <v>27.876300000000001</v>
      </c>
      <c r="D2117">
        <f>17.51</f>
        <v>17.510000000000002</v>
      </c>
      <c r="E2117">
        <f>18.62</f>
        <v>18.62</v>
      </c>
    </row>
    <row r="2118" spans="1:5" x14ac:dyDescent="0.2">
      <c r="A2118" s="1">
        <v>42194</v>
      </c>
      <c r="B2118">
        <f>19.97</f>
        <v>19.97</v>
      </c>
      <c r="C2118">
        <f>30.7656</f>
        <v>30.765599999999999</v>
      </c>
      <c r="D2118">
        <f>19.75</f>
        <v>19.75</v>
      </c>
      <c r="E2118">
        <f>18.92</f>
        <v>18.920000000000002</v>
      </c>
    </row>
    <row r="2119" spans="1:5" x14ac:dyDescent="0.2">
      <c r="A2119" s="1">
        <v>42193</v>
      </c>
      <c r="B2119">
        <f>19.66</f>
        <v>19.66</v>
      </c>
      <c r="C2119">
        <f>31.6348</f>
        <v>31.634799999999998</v>
      </c>
      <c r="D2119">
        <f>19.95</f>
        <v>19.95</v>
      </c>
      <c r="E2119">
        <f>19.92</f>
        <v>19.920000000000002</v>
      </c>
    </row>
    <row r="2120" spans="1:5" x14ac:dyDescent="0.2">
      <c r="A2120" s="1">
        <v>42192</v>
      </c>
      <c r="B2120">
        <f>16.09</f>
        <v>16.09</v>
      </c>
      <c r="C2120">
        <f>30.9878</f>
        <v>30.9878</v>
      </c>
      <c r="D2120">
        <f>19.42</f>
        <v>19.420000000000002</v>
      </c>
      <c r="E2120">
        <f>20.22</f>
        <v>20.22</v>
      </c>
    </row>
    <row r="2121" spans="1:5" x14ac:dyDescent="0.2">
      <c r="A2121" s="1">
        <v>42191</v>
      </c>
      <c r="B2121">
        <f>17.01</f>
        <v>17.010000000000002</v>
      </c>
      <c r="C2121">
        <f>29.9819</f>
        <v>29.9819</v>
      </c>
      <c r="D2121">
        <f>18.52</f>
        <v>18.52</v>
      </c>
      <c r="E2121">
        <f>19.05</f>
        <v>19.05</v>
      </c>
    </row>
    <row r="2122" spans="1:5" x14ac:dyDescent="0.2">
      <c r="A2122" s="1">
        <v>42188</v>
      </c>
      <c r="B2122" t="e">
        <f>NA()</f>
        <v>#N/A</v>
      </c>
      <c r="C2122">
        <f>32.285</f>
        <v>32.284999999999997</v>
      </c>
      <c r="D2122">
        <f>19.88</f>
        <v>19.88</v>
      </c>
      <c r="E2122">
        <f>18.59</f>
        <v>18.59</v>
      </c>
    </row>
    <row r="2123" spans="1:5" x14ac:dyDescent="0.2">
      <c r="A2123" s="1">
        <v>42187</v>
      </c>
      <c r="B2123">
        <f>16.79</f>
        <v>16.79</v>
      </c>
      <c r="C2123">
        <f>31.6721</f>
        <v>31.6721</v>
      </c>
      <c r="D2123">
        <f>17.47</f>
        <v>17.47</v>
      </c>
      <c r="E2123">
        <f>18.36</f>
        <v>18.36</v>
      </c>
    </row>
    <row r="2124" spans="1:5" x14ac:dyDescent="0.2">
      <c r="A2124" s="1">
        <v>42186</v>
      </c>
      <c r="B2124">
        <f>16.09</f>
        <v>16.09</v>
      </c>
      <c r="C2124">
        <f>30.285</f>
        <v>30.285</v>
      </c>
      <c r="D2124">
        <f>17.16</f>
        <v>17.16</v>
      </c>
      <c r="E2124">
        <f>18.7</f>
        <v>18.7</v>
      </c>
    </row>
    <row r="2125" spans="1:5" x14ac:dyDescent="0.2">
      <c r="A2125" s="1">
        <v>42185</v>
      </c>
      <c r="B2125">
        <f>18.23</f>
        <v>18.23</v>
      </c>
      <c r="C2125">
        <f>32.3071</f>
        <v>32.307099999999998</v>
      </c>
      <c r="D2125">
        <f>19.63</f>
        <v>19.63</v>
      </c>
      <c r="E2125">
        <f>19</f>
        <v>19</v>
      </c>
    </row>
    <row r="2126" spans="1:5" x14ac:dyDescent="0.2">
      <c r="A2126" s="1">
        <v>42184</v>
      </c>
      <c r="B2126">
        <f>18.85</f>
        <v>18.850000000000001</v>
      </c>
      <c r="C2126">
        <f>30.6468</f>
        <v>30.646799999999999</v>
      </c>
      <c r="D2126">
        <f>18.07</f>
        <v>18.07</v>
      </c>
      <c r="E2126">
        <f>18.78</f>
        <v>18.78</v>
      </c>
    </row>
    <row r="2127" spans="1:5" x14ac:dyDescent="0.2">
      <c r="A2127" s="1">
        <v>42181</v>
      </c>
      <c r="B2127">
        <f>14.02</f>
        <v>14.02</v>
      </c>
      <c r="C2127">
        <f>26.7172</f>
        <v>26.717199999999998</v>
      </c>
      <c r="D2127">
        <f>15.44</f>
        <v>15.44</v>
      </c>
      <c r="E2127">
        <f>18.33</f>
        <v>18.329999999999998</v>
      </c>
    </row>
    <row r="2128" spans="1:5" x14ac:dyDescent="0.2">
      <c r="A2128" s="1">
        <v>42180</v>
      </c>
      <c r="B2128">
        <f>14.01</f>
        <v>14.01</v>
      </c>
      <c r="C2128">
        <f>25.6433</f>
        <v>25.6433</v>
      </c>
      <c r="D2128">
        <f>14.27</f>
        <v>14.27</v>
      </c>
      <c r="E2128">
        <f>18.1</f>
        <v>18.100000000000001</v>
      </c>
    </row>
    <row r="2129" spans="1:5" x14ac:dyDescent="0.2">
      <c r="A2129" s="1">
        <v>42179</v>
      </c>
      <c r="B2129">
        <f>13.26</f>
        <v>13.26</v>
      </c>
      <c r="C2129">
        <f>24.9348</f>
        <v>24.934799999999999</v>
      </c>
      <c r="D2129">
        <f>13.66</f>
        <v>13.66</v>
      </c>
      <c r="E2129">
        <f>18.15</f>
        <v>18.149999999999999</v>
      </c>
    </row>
    <row r="2130" spans="1:5" x14ac:dyDescent="0.2">
      <c r="A2130" s="1">
        <v>42178</v>
      </c>
      <c r="B2130">
        <f>12.11</f>
        <v>12.11</v>
      </c>
      <c r="C2130">
        <f>23.5179</f>
        <v>23.517900000000001</v>
      </c>
      <c r="D2130">
        <f>13.47</f>
        <v>13.47</v>
      </c>
      <c r="E2130">
        <f>18.46</f>
        <v>18.46</v>
      </c>
    </row>
    <row r="2131" spans="1:5" x14ac:dyDescent="0.2">
      <c r="A2131" s="1">
        <v>42177</v>
      </c>
      <c r="B2131">
        <f>12.74</f>
        <v>12.74</v>
      </c>
      <c r="C2131">
        <f>23.5436</f>
        <v>23.543600000000001</v>
      </c>
      <c r="D2131">
        <f>13.11</f>
        <v>13.11</v>
      </c>
      <c r="E2131">
        <f>19.02</f>
        <v>19.02</v>
      </c>
    </row>
    <row r="2132" spans="1:5" x14ac:dyDescent="0.2">
      <c r="A2132" s="1">
        <v>42174</v>
      </c>
      <c r="B2132">
        <f>13.96</f>
        <v>13.96</v>
      </c>
      <c r="C2132">
        <f>28.6184</f>
        <v>28.618400000000001</v>
      </c>
      <c r="D2132">
        <f>15.96</f>
        <v>15.96</v>
      </c>
      <c r="E2132">
        <f>19.38</f>
        <v>19.38</v>
      </c>
    </row>
    <row r="2133" spans="1:5" x14ac:dyDescent="0.2">
      <c r="A2133" s="1">
        <v>42173</v>
      </c>
      <c r="B2133">
        <f>13.19</f>
        <v>13.19</v>
      </c>
      <c r="C2133">
        <f>28.4283</f>
        <v>28.4283</v>
      </c>
      <c r="D2133">
        <f>15.01</f>
        <v>15.01</v>
      </c>
      <c r="E2133">
        <f>17.65</f>
        <v>17.649999999999999</v>
      </c>
    </row>
    <row r="2134" spans="1:5" x14ac:dyDescent="0.2">
      <c r="A2134" s="1">
        <v>42172</v>
      </c>
      <c r="B2134">
        <f>14.5</f>
        <v>14.5</v>
      </c>
      <c r="C2134">
        <f>28.2724</f>
        <v>28.272400000000001</v>
      </c>
      <c r="D2134">
        <f>14.92</f>
        <v>14.92</v>
      </c>
      <c r="E2134">
        <f>17.91</f>
        <v>17.91</v>
      </c>
    </row>
    <row r="2135" spans="1:5" x14ac:dyDescent="0.2">
      <c r="A2135" s="1">
        <v>42171</v>
      </c>
      <c r="B2135">
        <f>14.81</f>
        <v>14.81</v>
      </c>
      <c r="C2135">
        <f>28.7447</f>
        <v>28.744700000000002</v>
      </c>
      <c r="D2135">
        <f>15.51</f>
        <v>15.51</v>
      </c>
      <c r="E2135" t="e">
        <f>NA()</f>
        <v>#N/A</v>
      </c>
    </row>
    <row r="2136" spans="1:5" x14ac:dyDescent="0.2">
      <c r="A2136" s="1">
        <v>42170</v>
      </c>
      <c r="B2136">
        <f>15.39</f>
        <v>15.39</v>
      </c>
      <c r="C2136">
        <f>27.8467</f>
        <v>27.846699999999998</v>
      </c>
      <c r="D2136">
        <f>15.94</f>
        <v>15.94</v>
      </c>
      <c r="E2136">
        <f>18.43</f>
        <v>18.43</v>
      </c>
    </row>
    <row r="2137" spans="1:5" x14ac:dyDescent="0.2">
      <c r="A2137" s="1">
        <v>42167</v>
      </c>
      <c r="B2137">
        <f>13.78</f>
        <v>13.78</v>
      </c>
      <c r="C2137">
        <f>25.2594</f>
        <v>25.259399999999999</v>
      </c>
      <c r="D2137">
        <f>14.39</f>
        <v>14.39</v>
      </c>
      <c r="E2137">
        <f>18.44</f>
        <v>18.440000000000001</v>
      </c>
    </row>
    <row r="2138" spans="1:5" x14ac:dyDescent="0.2">
      <c r="A2138" s="1">
        <v>42166</v>
      </c>
      <c r="B2138">
        <f>12.85</f>
        <v>12.85</v>
      </c>
      <c r="C2138">
        <f>23.6341</f>
        <v>23.6341</v>
      </c>
      <c r="D2138">
        <f>13.44</f>
        <v>13.44</v>
      </c>
      <c r="E2138">
        <f>18.44</f>
        <v>18.440000000000001</v>
      </c>
    </row>
    <row r="2139" spans="1:5" x14ac:dyDescent="0.2">
      <c r="A2139" s="1">
        <v>42165</v>
      </c>
      <c r="B2139">
        <f>13.22</f>
        <v>13.22</v>
      </c>
      <c r="C2139">
        <f>23.8291</f>
        <v>23.8291</v>
      </c>
      <c r="D2139">
        <f>14.73</f>
        <v>14.73</v>
      </c>
      <c r="E2139">
        <f>19.47</f>
        <v>19.47</v>
      </c>
    </row>
    <row r="2140" spans="1:5" x14ac:dyDescent="0.2">
      <c r="A2140" s="1">
        <v>42164</v>
      </c>
      <c r="B2140">
        <f>14.47</f>
        <v>14.47</v>
      </c>
      <c r="C2140">
        <f>24.9865</f>
        <v>24.986499999999999</v>
      </c>
      <c r="D2140">
        <f>15.68</f>
        <v>15.68</v>
      </c>
      <c r="E2140">
        <f>19.47</f>
        <v>19.47</v>
      </c>
    </row>
    <row r="2141" spans="1:5" x14ac:dyDescent="0.2">
      <c r="A2141" s="1">
        <v>42163</v>
      </c>
      <c r="B2141">
        <f>15.29</f>
        <v>15.29</v>
      </c>
      <c r="C2141">
        <f>25.604</f>
        <v>25.603999999999999</v>
      </c>
      <c r="D2141">
        <f>15.83</f>
        <v>15.83</v>
      </c>
      <c r="E2141">
        <f>18.96</f>
        <v>18.96</v>
      </c>
    </row>
    <row r="2142" spans="1:5" x14ac:dyDescent="0.2">
      <c r="A2142" s="1">
        <v>42160</v>
      </c>
      <c r="B2142">
        <f>14.21</f>
        <v>14.21</v>
      </c>
      <c r="C2142">
        <f>25.2745</f>
        <v>25.2745</v>
      </c>
      <c r="D2142">
        <f>15.87</f>
        <v>15.87</v>
      </c>
      <c r="E2142">
        <f>18.97</f>
        <v>18.97</v>
      </c>
    </row>
    <row r="2143" spans="1:5" x14ac:dyDescent="0.2">
      <c r="A2143" s="1">
        <v>42159</v>
      </c>
      <c r="B2143">
        <f>14.71</f>
        <v>14.71</v>
      </c>
      <c r="C2143">
        <f>24.4495</f>
        <v>24.4495</v>
      </c>
      <c r="D2143">
        <f>15.05</f>
        <v>15.05</v>
      </c>
      <c r="E2143">
        <f>18.98</f>
        <v>18.98</v>
      </c>
    </row>
    <row r="2144" spans="1:5" x14ac:dyDescent="0.2">
      <c r="A2144" s="1">
        <v>42158</v>
      </c>
      <c r="B2144">
        <f>13.66</f>
        <v>13.66</v>
      </c>
      <c r="C2144">
        <f>24.0513</f>
        <v>24.051300000000001</v>
      </c>
      <c r="D2144">
        <f>14.36</f>
        <v>14.36</v>
      </c>
      <c r="E2144">
        <f>18.45</f>
        <v>18.45</v>
      </c>
    </row>
    <row r="2145" spans="1:5" x14ac:dyDescent="0.2">
      <c r="A2145" s="1">
        <v>42157</v>
      </c>
      <c r="B2145">
        <f>14.24</f>
        <v>14.24</v>
      </c>
      <c r="C2145">
        <f>24.5107</f>
        <v>24.5107</v>
      </c>
      <c r="D2145">
        <f>15.28</f>
        <v>15.28</v>
      </c>
      <c r="E2145">
        <f>18.19</f>
        <v>18.190000000000001</v>
      </c>
    </row>
    <row r="2146" spans="1:5" x14ac:dyDescent="0.2">
      <c r="A2146" s="1">
        <v>42156</v>
      </c>
      <c r="B2146">
        <f>13.97</f>
        <v>13.97</v>
      </c>
      <c r="C2146">
        <f>24.5648</f>
        <v>24.564800000000002</v>
      </c>
      <c r="D2146">
        <f>14.94</f>
        <v>14.94</v>
      </c>
      <c r="E2146">
        <f>18.45</f>
        <v>18.45</v>
      </c>
    </row>
    <row r="2147" spans="1:5" x14ac:dyDescent="0.2">
      <c r="A2147" s="1">
        <v>42153</v>
      </c>
      <c r="B2147">
        <f>13.84</f>
        <v>13.84</v>
      </c>
      <c r="C2147">
        <f>23.5386</f>
        <v>23.538599999999999</v>
      </c>
      <c r="D2147">
        <f>14.03</f>
        <v>14.03</v>
      </c>
      <c r="E2147">
        <f>18.21</f>
        <v>18.21</v>
      </c>
    </row>
    <row r="2148" spans="1:5" x14ac:dyDescent="0.2">
      <c r="A2148" s="1">
        <v>42152</v>
      </c>
      <c r="B2148">
        <f>13.31</f>
        <v>13.31</v>
      </c>
      <c r="C2148">
        <f>22.0181</f>
        <v>22.0181</v>
      </c>
      <c r="D2148">
        <f>12.41</f>
        <v>12.41</v>
      </c>
      <c r="E2148">
        <f>17.94</f>
        <v>17.940000000000001</v>
      </c>
    </row>
    <row r="2149" spans="1:5" x14ac:dyDescent="0.2">
      <c r="A2149" s="1">
        <v>42151</v>
      </c>
      <c r="B2149">
        <f>13.27</f>
        <v>13.27</v>
      </c>
      <c r="C2149">
        <f>20.8183</f>
        <v>20.818300000000001</v>
      </c>
      <c r="D2149">
        <f>12.61</f>
        <v>12.61</v>
      </c>
      <c r="E2149">
        <f>17.93</f>
        <v>17.93</v>
      </c>
    </row>
    <row r="2150" spans="1:5" x14ac:dyDescent="0.2">
      <c r="A2150" s="1">
        <v>42150</v>
      </c>
      <c r="B2150">
        <f>14.06</f>
        <v>14.06</v>
      </c>
      <c r="C2150">
        <f>22.5012</f>
        <v>22.501200000000001</v>
      </c>
      <c r="D2150">
        <f>13.58</f>
        <v>13.58</v>
      </c>
      <c r="E2150">
        <f>17.94</f>
        <v>17.940000000000001</v>
      </c>
    </row>
    <row r="2151" spans="1:5" x14ac:dyDescent="0.2">
      <c r="A2151" s="1">
        <v>42149</v>
      </c>
      <c r="B2151" t="e">
        <f>NA()</f>
        <v>#N/A</v>
      </c>
      <c r="C2151" t="e">
        <f>NA()</f>
        <v>#N/A</v>
      </c>
      <c r="D2151" t="e">
        <f>NA()</f>
        <v>#N/A</v>
      </c>
      <c r="E2151">
        <f>17.15</f>
        <v>17.149999999999999</v>
      </c>
    </row>
    <row r="2152" spans="1:5" x14ac:dyDescent="0.2">
      <c r="A2152" s="1">
        <v>42146</v>
      </c>
      <c r="B2152">
        <f>12.13</f>
        <v>12.13</v>
      </c>
      <c r="C2152">
        <f>19.6309</f>
        <v>19.6309</v>
      </c>
      <c r="D2152">
        <f>10.92</f>
        <v>10.92</v>
      </c>
      <c r="E2152">
        <f>17.16</f>
        <v>17.16</v>
      </c>
    </row>
    <row r="2153" spans="1:5" x14ac:dyDescent="0.2">
      <c r="A2153" s="1">
        <v>42145</v>
      </c>
      <c r="B2153">
        <f>12.11</f>
        <v>12.11</v>
      </c>
      <c r="C2153">
        <f>19.5296</f>
        <v>19.529599999999999</v>
      </c>
      <c r="D2153">
        <f>11.11</f>
        <v>11.11</v>
      </c>
      <c r="E2153">
        <f>17.16</f>
        <v>17.16</v>
      </c>
    </row>
    <row r="2154" spans="1:5" x14ac:dyDescent="0.2">
      <c r="A2154" s="1">
        <v>42144</v>
      </c>
      <c r="B2154">
        <f>12.88</f>
        <v>12.88</v>
      </c>
      <c r="C2154">
        <f>19.5695</f>
        <v>19.569500000000001</v>
      </c>
      <c r="D2154">
        <f>11.53</f>
        <v>11.53</v>
      </c>
      <c r="E2154">
        <f>17.15</f>
        <v>17.149999999999999</v>
      </c>
    </row>
    <row r="2155" spans="1:5" x14ac:dyDescent="0.2">
      <c r="A2155" s="1">
        <v>42143</v>
      </c>
      <c r="B2155">
        <f>12.85</f>
        <v>12.85</v>
      </c>
      <c r="C2155">
        <f>20.0541</f>
        <v>20.054099999999998</v>
      </c>
      <c r="D2155">
        <f>12.13</f>
        <v>12.13</v>
      </c>
      <c r="E2155">
        <f>17.13</f>
        <v>17.13</v>
      </c>
    </row>
    <row r="2156" spans="1:5" x14ac:dyDescent="0.2">
      <c r="A2156" s="1">
        <v>42142</v>
      </c>
      <c r="B2156">
        <f>12.73</f>
        <v>12.73</v>
      </c>
      <c r="C2156">
        <f>21.0066</f>
        <v>21.006599999999999</v>
      </c>
      <c r="D2156">
        <f>13.42</f>
        <v>13.42</v>
      </c>
      <c r="E2156">
        <f>17.1</f>
        <v>17.100000000000001</v>
      </c>
    </row>
    <row r="2157" spans="1:5" x14ac:dyDescent="0.2">
      <c r="A2157" s="1">
        <v>42139</v>
      </c>
      <c r="B2157">
        <f>12.38</f>
        <v>12.38</v>
      </c>
      <c r="C2157">
        <f>21.5088</f>
        <v>21.508800000000001</v>
      </c>
      <c r="D2157">
        <f>13.4</f>
        <v>13.4</v>
      </c>
      <c r="E2157">
        <f>17.37</f>
        <v>17.37</v>
      </c>
    </row>
    <row r="2158" spans="1:5" x14ac:dyDescent="0.2">
      <c r="A2158" s="1">
        <v>42138</v>
      </c>
      <c r="B2158">
        <f>12.74</f>
        <v>12.74</v>
      </c>
      <c r="C2158">
        <f>21.7425</f>
        <v>21.7425</v>
      </c>
      <c r="D2158">
        <f>13.53</f>
        <v>13.53</v>
      </c>
      <c r="E2158">
        <f>17.62</f>
        <v>17.62</v>
      </c>
    </row>
    <row r="2159" spans="1:5" x14ac:dyDescent="0.2">
      <c r="A2159" s="1">
        <v>42137</v>
      </c>
      <c r="B2159">
        <f>13.76</f>
        <v>13.76</v>
      </c>
      <c r="C2159">
        <f>23.0546</f>
        <v>23.054600000000001</v>
      </c>
      <c r="D2159">
        <f>14.39</f>
        <v>14.39</v>
      </c>
      <c r="E2159">
        <f>17.34</f>
        <v>17.34</v>
      </c>
    </row>
    <row r="2160" spans="1:5" x14ac:dyDescent="0.2">
      <c r="A2160" s="1">
        <v>42136</v>
      </c>
      <c r="B2160">
        <f>13.86</f>
        <v>13.86</v>
      </c>
      <c r="C2160">
        <f>23.2326</f>
        <v>23.232600000000001</v>
      </c>
      <c r="D2160">
        <f>14.75</f>
        <v>14.75</v>
      </c>
      <c r="E2160">
        <f>17.34</f>
        <v>17.34</v>
      </c>
    </row>
    <row r="2161" spans="1:5" x14ac:dyDescent="0.2">
      <c r="A2161" s="1">
        <v>42135</v>
      </c>
      <c r="B2161">
        <f>13.85</f>
        <v>13.85</v>
      </c>
      <c r="C2161">
        <f>21.8358</f>
        <v>21.835799999999999</v>
      </c>
      <c r="D2161">
        <f>12.04</f>
        <v>12.04</v>
      </c>
      <c r="E2161">
        <f>17.08</f>
        <v>17.079999999999998</v>
      </c>
    </row>
    <row r="2162" spans="1:5" x14ac:dyDescent="0.2">
      <c r="A2162" s="1">
        <v>42132</v>
      </c>
      <c r="B2162">
        <f>12.86</f>
        <v>12.86</v>
      </c>
      <c r="C2162">
        <f>21.1296</f>
        <v>21.1296</v>
      </c>
      <c r="D2162">
        <f>12.31</f>
        <v>12.31</v>
      </c>
      <c r="E2162">
        <f>17.35</f>
        <v>17.350000000000001</v>
      </c>
    </row>
    <row r="2163" spans="1:5" x14ac:dyDescent="0.2">
      <c r="A2163" s="1">
        <v>42131</v>
      </c>
      <c r="B2163">
        <f>15.13</f>
        <v>15.13</v>
      </c>
      <c r="C2163">
        <f>23.7527</f>
        <v>23.752700000000001</v>
      </c>
      <c r="D2163">
        <f>15.94</f>
        <v>15.94</v>
      </c>
      <c r="E2163">
        <f>17.83</f>
        <v>17.829999999999998</v>
      </c>
    </row>
    <row r="2164" spans="1:5" x14ac:dyDescent="0.2">
      <c r="A2164" s="1">
        <v>42130</v>
      </c>
      <c r="B2164">
        <f>15.15</f>
        <v>15.15</v>
      </c>
      <c r="C2164">
        <f>24.7232</f>
        <v>24.723199999999999</v>
      </c>
      <c r="D2164">
        <f>16.52</f>
        <v>16.52</v>
      </c>
      <c r="E2164">
        <f>17.51</f>
        <v>17.510000000000002</v>
      </c>
    </row>
    <row r="2165" spans="1:5" x14ac:dyDescent="0.2">
      <c r="A2165" s="1">
        <v>42129</v>
      </c>
      <c r="B2165">
        <f>14.31</f>
        <v>14.31</v>
      </c>
      <c r="C2165">
        <f>25.2236</f>
        <v>25.223600000000001</v>
      </c>
      <c r="D2165">
        <f>17.79</f>
        <v>17.79</v>
      </c>
      <c r="E2165">
        <f>16.99</f>
        <v>16.989999999999998</v>
      </c>
    </row>
    <row r="2166" spans="1:5" x14ac:dyDescent="0.2">
      <c r="A2166" s="1">
        <v>42128</v>
      </c>
      <c r="B2166">
        <f>12.85</f>
        <v>12.85</v>
      </c>
      <c r="C2166">
        <f>23.4264</f>
        <v>23.426400000000001</v>
      </c>
      <c r="D2166" t="e">
        <f>NA()</f>
        <v>#N/A</v>
      </c>
      <c r="E2166">
        <f>16.98</f>
        <v>16.98</v>
      </c>
    </row>
    <row r="2167" spans="1:5" x14ac:dyDescent="0.2">
      <c r="A2167" s="1">
        <v>42125</v>
      </c>
      <c r="B2167">
        <f>12.7</f>
        <v>12.7</v>
      </c>
      <c r="C2167" t="e">
        <f>NA()</f>
        <v>#N/A</v>
      </c>
      <c r="D2167">
        <f>17.44</f>
        <v>17.440000000000001</v>
      </c>
      <c r="E2167" t="e">
        <f>NA()</f>
        <v>#N/A</v>
      </c>
    </row>
    <row r="2168" spans="1:5" x14ac:dyDescent="0.2">
      <c r="A2168" s="1">
        <v>42124</v>
      </c>
      <c r="B2168">
        <f>14.55</f>
        <v>14.55</v>
      </c>
      <c r="C2168">
        <f>24.2128</f>
        <v>24.212800000000001</v>
      </c>
      <c r="D2168">
        <f>17.84</f>
        <v>17.84</v>
      </c>
      <c r="E2168">
        <f>17.26</f>
        <v>17.260000000000002</v>
      </c>
    </row>
    <row r="2169" spans="1:5" x14ac:dyDescent="0.2">
      <c r="A2169" s="1">
        <v>42123</v>
      </c>
      <c r="B2169">
        <f>13.39</f>
        <v>13.39</v>
      </c>
      <c r="C2169">
        <f>24.0466</f>
        <v>24.046600000000002</v>
      </c>
      <c r="D2169">
        <f>18.53</f>
        <v>18.53</v>
      </c>
      <c r="E2169">
        <f>17.22</f>
        <v>17.22</v>
      </c>
    </row>
    <row r="2170" spans="1:5" x14ac:dyDescent="0.2">
      <c r="A2170" s="1">
        <v>42122</v>
      </c>
      <c r="B2170">
        <f>12.41</f>
        <v>12.41</v>
      </c>
      <c r="C2170">
        <f>22.1195</f>
        <v>22.119499999999999</v>
      </c>
      <c r="D2170">
        <f>17.52</f>
        <v>17.52</v>
      </c>
      <c r="E2170">
        <f>16.96</f>
        <v>16.96</v>
      </c>
    </row>
    <row r="2171" spans="1:5" x14ac:dyDescent="0.2">
      <c r="A2171" s="1">
        <v>42121</v>
      </c>
      <c r="B2171">
        <f>13.12</f>
        <v>13.12</v>
      </c>
      <c r="C2171">
        <f>20.8863</f>
        <v>20.886299999999999</v>
      </c>
      <c r="D2171">
        <f>16.34</f>
        <v>16.34</v>
      </c>
      <c r="E2171" t="e">
        <f>NA()</f>
        <v>#N/A</v>
      </c>
    </row>
    <row r="2172" spans="1:5" x14ac:dyDescent="0.2">
      <c r="A2172" s="1">
        <v>42118</v>
      </c>
      <c r="B2172">
        <f>12.29</f>
        <v>12.29</v>
      </c>
      <c r="C2172">
        <f>21.92</f>
        <v>21.92</v>
      </c>
      <c r="D2172">
        <f>16.15</f>
        <v>16.149999999999999</v>
      </c>
      <c r="E2172">
        <f>16.9</f>
        <v>16.899999999999999</v>
      </c>
    </row>
    <row r="2173" spans="1:5" x14ac:dyDescent="0.2">
      <c r="A2173" s="1">
        <v>42117</v>
      </c>
      <c r="B2173">
        <f>12.48</f>
        <v>12.48</v>
      </c>
      <c r="C2173">
        <f>22.5723</f>
        <v>22.572299999999998</v>
      </c>
      <c r="D2173">
        <f>16.31</f>
        <v>16.309999999999999</v>
      </c>
      <c r="E2173">
        <f>17.23</f>
        <v>17.23</v>
      </c>
    </row>
    <row r="2174" spans="1:5" x14ac:dyDescent="0.2">
      <c r="A2174" s="1">
        <v>42116</v>
      </c>
      <c r="B2174">
        <f>12.71</f>
        <v>12.71</v>
      </c>
      <c r="C2174">
        <f>22.3273</f>
        <v>22.327300000000001</v>
      </c>
      <c r="D2174">
        <f>16.62</f>
        <v>16.62</v>
      </c>
      <c r="E2174">
        <f>17.49</f>
        <v>17.489999999999998</v>
      </c>
    </row>
    <row r="2175" spans="1:5" x14ac:dyDescent="0.2">
      <c r="A2175" s="1">
        <v>42115</v>
      </c>
      <c r="B2175">
        <f>13.25</f>
        <v>13.25</v>
      </c>
      <c r="C2175">
        <f>22.3991</f>
        <v>22.399100000000001</v>
      </c>
      <c r="D2175">
        <f>16.26</f>
        <v>16.260000000000002</v>
      </c>
      <c r="E2175">
        <f>17.54</f>
        <v>17.54</v>
      </c>
    </row>
    <row r="2176" spans="1:5" x14ac:dyDescent="0.2">
      <c r="A2176" s="1">
        <v>42114</v>
      </c>
      <c r="B2176">
        <f>13.3</f>
        <v>13.3</v>
      </c>
      <c r="C2176">
        <f>22.3</f>
        <v>22.3</v>
      </c>
      <c r="D2176">
        <f>16.84</f>
        <v>16.84</v>
      </c>
      <c r="E2176">
        <f>17.8</f>
        <v>17.8</v>
      </c>
    </row>
    <row r="2177" spans="1:5" x14ac:dyDescent="0.2">
      <c r="A2177" s="1">
        <v>42111</v>
      </c>
      <c r="B2177">
        <f>13.89</f>
        <v>13.89</v>
      </c>
      <c r="C2177">
        <f>25.0553</f>
        <v>25.055299999999999</v>
      </c>
      <c r="D2177">
        <f>17.96</f>
        <v>17.96</v>
      </c>
      <c r="E2177">
        <f>17.82</f>
        <v>17.82</v>
      </c>
    </row>
    <row r="2178" spans="1:5" x14ac:dyDescent="0.2">
      <c r="A2178" s="1">
        <v>42110</v>
      </c>
      <c r="B2178">
        <f>12.6</f>
        <v>12.6</v>
      </c>
      <c r="C2178">
        <f>20.1086</f>
        <v>20.108599999999999</v>
      </c>
      <c r="D2178">
        <f>16.45</f>
        <v>16.45</v>
      </c>
      <c r="E2178">
        <f>17.45</f>
        <v>17.45</v>
      </c>
    </row>
    <row r="2179" spans="1:5" x14ac:dyDescent="0.2">
      <c r="A2179" s="1">
        <v>42109</v>
      </c>
      <c r="B2179">
        <f>12.84</f>
        <v>12.84</v>
      </c>
      <c r="C2179">
        <f>18.2074</f>
        <v>18.2074</v>
      </c>
      <c r="D2179">
        <f>15.96</f>
        <v>15.96</v>
      </c>
      <c r="E2179">
        <f>17.82</f>
        <v>17.82</v>
      </c>
    </row>
    <row r="2180" spans="1:5" x14ac:dyDescent="0.2">
      <c r="A2180" s="1">
        <v>42108</v>
      </c>
      <c r="B2180">
        <f>13.67</f>
        <v>13.67</v>
      </c>
      <c r="C2180">
        <f>18.8576</f>
        <v>18.857600000000001</v>
      </c>
      <c r="D2180">
        <f>16.09</f>
        <v>16.09</v>
      </c>
      <c r="E2180">
        <f>18.05</f>
        <v>18.05</v>
      </c>
    </row>
    <row r="2181" spans="1:5" x14ac:dyDescent="0.2">
      <c r="A2181" s="1">
        <v>42107</v>
      </c>
      <c r="B2181">
        <f>13.94</f>
        <v>13.94</v>
      </c>
      <c r="C2181">
        <f>17.8638</f>
        <v>17.863800000000001</v>
      </c>
      <c r="D2181">
        <f>15.62</f>
        <v>15.62</v>
      </c>
      <c r="E2181">
        <f>18.05</f>
        <v>18.05</v>
      </c>
    </row>
    <row r="2182" spans="1:5" x14ac:dyDescent="0.2">
      <c r="A2182" s="1">
        <v>42104</v>
      </c>
      <c r="B2182">
        <f>12.58</f>
        <v>12.58</v>
      </c>
      <c r="C2182">
        <f>17.5116</f>
        <v>17.511600000000001</v>
      </c>
      <c r="D2182">
        <f>14.26</f>
        <v>14.26</v>
      </c>
      <c r="E2182">
        <f>18.72</f>
        <v>18.72</v>
      </c>
    </row>
    <row r="2183" spans="1:5" x14ac:dyDescent="0.2">
      <c r="A2183" s="1">
        <v>42103</v>
      </c>
      <c r="B2183">
        <f>13.09</f>
        <v>13.09</v>
      </c>
      <c r="C2183">
        <f>18.3136</f>
        <v>18.313600000000001</v>
      </c>
      <c r="D2183">
        <f>14.63</f>
        <v>14.63</v>
      </c>
      <c r="E2183">
        <f>19.12</f>
        <v>19.12</v>
      </c>
    </row>
    <row r="2184" spans="1:5" x14ac:dyDescent="0.2">
      <c r="A2184" s="1">
        <v>42102</v>
      </c>
      <c r="B2184">
        <f>13.98</f>
        <v>13.98</v>
      </c>
      <c r="C2184">
        <f>19.4281</f>
        <v>19.428100000000001</v>
      </c>
      <c r="D2184">
        <f>15.56</f>
        <v>15.56</v>
      </c>
      <c r="E2184">
        <f>19.13</f>
        <v>19.13</v>
      </c>
    </row>
    <row r="2185" spans="1:5" x14ac:dyDescent="0.2">
      <c r="A2185" s="1">
        <v>42101</v>
      </c>
      <c r="B2185">
        <f>14.78</f>
        <v>14.78</v>
      </c>
      <c r="C2185">
        <f>20.0561</f>
        <v>20.056100000000001</v>
      </c>
      <c r="D2185">
        <f>15.65</f>
        <v>15.65</v>
      </c>
      <c r="E2185">
        <f>19.12</f>
        <v>19.12</v>
      </c>
    </row>
    <row r="2186" spans="1:5" x14ac:dyDescent="0.2">
      <c r="A2186" s="1">
        <v>42100</v>
      </c>
      <c r="B2186">
        <f>14.74</f>
        <v>14.74</v>
      </c>
      <c r="C2186" t="e">
        <f>NA()</f>
        <v>#N/A</v>
      </c>
      <c r="D2186" t="e">
        <f>NA()</f>
        <v>#N/A</v>
      </c>
      <c r="E2186" t="e">
        <f>NA()</f>
        <v>#N/A</v>
      </c>
    </row>
    <row r="2187" spans="1:5" x14ac:dyDescent="0.2">
      <c r="A2187" s="1">
        <v>42096</v>
      </c>
      <c r="B2187">
        <f>14.67</f>
        <v>14.67</v>
      </c>
      <c r="C2187">
        <f>20.7203</f>
        <v>20.720300000000002</v>
      </c>
      <c r="D2187">
        <f>16.4</f>
        <v>16.399999999999999</v>
      </c>
      <c r="E2187">
        <f>19.45</f>
        <v>19.45</v>
      </c>
    </row>
    <row r="2188" spans="1:5" x14ac:dyDescent="0.2">
      <c r="A2188" s="1">
        <v>42095</v>
      </c>
      <c r="B2188">
        <f>15.11</f>
        <v>15.11</v>
      </c>
      <c r="C2188">
        <f>20.9691</f>
        <v>20.969100000000001</v>
      </c>
      <c r="D2188">
        <f>16.65</f>
        <v>16.649999999999999</v>
      </c>
      <c r="E2188">
        <f>19.46</f>
        <v>19.46</v>
      </c>
    </row>
    <row r="2189" spans="1:5" x14ac:dyDescent="0.2">
      <c r="A2189" s="1">
        <v>42094</v>
      </c>
      <c r="B2189">
        <f>15.29</f>
        <v>15.29</v>
      </c>
      <c r="C2189">
        <f>21.1004</f>
        <v>21.1004</v>
      </c>
      <c r="D2189">
        <f>16.81</f>
        <v>16.809999999999999</v>
      </c>
      <c r="E2189">
        <f>19.3</f>
        <v>19.3</v>
      </c>
    </row>
    <row r="2190" spans="1:5" x14ac:dyDescent="0.2">
      <c r="A2190" s="1">
        <v>42093</v>
      </c>
      <c r="B2190">
        <f>14.51</f>
        <v>14.51</v>
      </c>
      <c r="C2190">
        <f>19.7608</f>
        <v>19.7608</v>
      </c>
      <c r="D2190">
        <f>14.83</f>
        <v>14.83</v>
      </c>
      <c r="E2190">
        <f>19.31</f>
        <v>19.309999999999999</v>
      </c>
    </row>
    <row r="2191" spans="1:5" x14ac:dyDescent="0.2">
      <c r="A2191" s="1">
        <v>42090</v>
      </c>
      <c r="B2191">
        <f>15.07</f>
        <v>15.07</v>
      </c>
      <c r="C2191">
        <f>20.4715</f>
        <v>20.471499999999999</v>
      </c>
      <c r="D2191">
        <f>15</f>
        <v>15</v>
      </c>
      <c r="E2191">
        <f>19.58</f>
        <v>19.579999999999998</v>
      </c>
    </row>
    <row r="2192" spans="1:5" x14ac:dyDescent="0.2">
      <c r="A2192" s="1">
        <v>42089</v>
      </c>
      <c r="B2192">
        <f>15.8</f>
        <v>15.8</v>
      </c>
      <c r="C2192">
        <f>19.6535</f>
        <v>19.653500000000001</v>
      </c>
      <c r="D2192">
        <f>14.84</f>
        <v>14.84</v>
      </c>
      <c r="E2192">
        <f>19.59</f>
        <v>19.59</v>
      </c>
    </row>
    <row r="2193" spans="1:5" x14ac:dyDescent="0.2">
      <c r="A2193" s="1">
        <v>42088</v>
      </c>
      <c r="B2193">
        <f>15.44</f>
        <v>15.44</v>
      </c>
      <c r="C2193">
        <f>19.158</f>
        <v>19.158000000000001</v>
      </c>
      <c r="D2193">
        <f>13.56</f>
        <v>13.56</v>
      </c>
      <c r="E2193">
        <f>19.33</f>
        <v>19.329999999999998</v>
      </c>
    </row>
    <row r="2194" spans="1:5" x14ac:dyDescent="0.2">
      <c r="A2194" s="1">
        <v>42087</v>
      </c>
      <c r="B2194">
        <f>13.62</f>
        <v>13.62</v>
      </c>
      <c r="C2194">
        <f>17.6675</f>
        <v>17.6675</v>
      </c>
      <c r="D2194">
        <f>12.53</f>
        <v>12.53</v>
      </c>
      <c r="E2194">
        <f>19.08</f>
        <v>19.079999999999998</v>
      </c>
    </row>
    <row r="2195" spans="1:5" x14ac:dyDescent="0.2">
      <c r="A2195" s="1">
        <v>42086</v>
      </c>
      <c r="B2195">
        <f>13.41</f>
        <v>13.41</v>
      </c>
      <c r="C2195">
        <f>19.8323</f>
        <v>19.8323</v>
      </c>
      <c r="D2195">
        <f>12.95</f>
        <v>12.95</v>
      </c>
      <c r="E2195">
        <f>19.35</f>
        <v>19.350000000000001</v>
      </c>
    </row>
    <row r="2196" spans="1:5" x14ac:dyDescent="0.2">
      <c r="A2196" s="1">
        <v>42083</v>
      </c>
      <c r="B2196">
        <f>13.02</f>
        <v>13.02</v>
      </c>
      <c r="C2196">
        <f>17.4772</f>
        <v>17.4772</v>
      </c>
      <c r="D2196">
        <f>12.25</f>
        <v>12.25</v>
      </c>
      <c r="E2196">
        <f>19.37</f>
        <v>19.37</v>
      </c>
    </row>
    <row r="2197" spans="1:5" x14ac:dyDescent="0.2">
      <c r="A2197" s="1">
        <v>42082</v>
      </c>
      <c r="B2197">
        <f>14.07</f>
        <v>14.07</v>
      </c>
      <c r="C2197">
        <f>18.9138</f>
        <v>18.913799999999998</v>
      </c>
      <c r="D2197">
        <f>12.01</f>
        <v>12.01</v>
      </c>
      <c r="E2197">
        <f>17.43</f>
        <v>17.43</v>
      </c>
    </row>
    <row r="2198" spans="1:5" x14ac:dyDescent="0.2">
      <c r="A2198" s="1">
        <v>42081</v>
      </c>
      <c r="B2198">
        <f>13.97</f>
        <v>13.97</v>
      </c>
      <c r="C2198">
        <f>19.6938</f>
        <v>19.6938</v>
      </c>
      <c r="D2198">
        <f>13.1</f>
        <v>13.1</v>
      </c>
      <c r="E2198">
        <f>17.69</f>
        <v>17.690000000000001</v>
      </c>
    </row>
    <row r="2199" spans="1:5" x14ac:dyDescent="0.2">
      <c r="A2199" s="1">
        <v>42080</v>
      </c>
      <c r="B2199">
        <f>15.66</f>
        <v>15.66</v>
      </c>
      <c r="C2199">
        <f>20.2476</f>
        <v>20.247599999999998</v>
      </c>
      <c r="D2199">
        <f>14.42</f>
        <v>14.42</v>
      </c>
      <c r="E2199">
        <f>17.69</f>
        <v>17.690000000000001</v>
      </c>
    </row>
    <row r="2200" spans="1:5" x14ac:dyDescent="0.2">
      <c r="A2200" s="1">
        <v>42079</v>
      </c>
      <c r="B2200">
        <f>15.61</f>
        <v>15.61</v>
      </c>
      <c r="C2200">
        <f>19.3889</f>
        <v>19.3889</v>
      </c>
      <c r="D2200">
        <f>14.77</f>
        <v>14.77</v>
      </c>
      <c r="E2200">
        <f>17.69</f>
        <v>17.690000000000001</v>
      </c>
    </row>
    <row r="2201" spans="1:5" x14ac:dyDescent="0.2">
      <c r="A2201" s="1">
        <v>42076</v>
      </c>
      <c r="B2201">
        <f>16</f>
        <v>16</v>
      </c>
      <c r="C2201">
        <f>18.8262</f>
        <v>18.8262</v>
      </c>
      <c r="D2201">
        <f>14.87</f>
        <v>14.87</v>
      </c>
      <c r="E2201">
        <f>17.95</f>
        <v>17.95</v>
      </c>
    </row>
    <row r="2202" spans="1:5" x14ac:dyDescent="0.2">
      <c r="A2202" s="1">
        <v>42075</v>
      </c>
      <c r="B2202">
        <f>15.42</f>
        <v>15.42</v>
      </c>
      <c r="C2202">
        <f>18.967</f>
        <v>18.966999999999999</v>
      </c>
      <c r="D2202">
        <f>13.98</f>
        <v>13.98</v>
      </c>
      <c r="E2202">
        <f>17.95</f>
        <v>17.95</v>
      </c>
    </row>
    <row r="2203" spans="1:5" x14ac:dyDescent="0.2">
      <c r="A2203" s="1">
        <v>42074</v>
      </c>
      <c r="B2203">
        <f>16.87</f>
        <v>16.87</v>
      </c>
      <c r="C2203">
        <f>19.4698</f>
        <v>19.469799999999999</v>
      </c>
      <c r="D2203">
        <f>15.63</f>
        <v>15.63</v>
      </c>
      <c r="E2203">
        <f>17.95</f>
        <v>17.95</v>
      </c>
    </row>
    <row r="2204" spans="1:5" x14ac:dyDescent="0.2">
      <c r="A2204" s="1">
        <v>42073</v>
      </c>
      <c r="B2204">
        <f>16.69</f>
        <v>16.690000000000001</v>
      </c>
      <c r="C2204">
        <f>20.4652</f>
        <v>20.465199999999999</v>
      </c>
      <c r="D2204">
        <f>16.31</f>
        <v>16.309999999999999</v>
      </c>
      <c r="E2204">
        <f>17.69</f>
        <v>17.690000000000001</v>
      </c>
    </row>
    <row r="2205" spans="1:5" x14ac:dyDescent="0.2">
      <c r="A2205" s="1">
        <v>42072</v>
      </c>
      <c r="B2205">
        <f>15.06</f>
        <v>15.06</v>
      </c>
      <c r="C2205">
        <f>18.8112</f>
        <v>18.811199999999999</v>
      </c>
      <c r="D2205">
        <f>13</f>
        <v>13</v>
      </c>
      <c r="E2205">
        <f>17.42</f>
        <v>17.420000000000002</v>
      </c>
    </row>
    <row r="2206" spans="1:5" x14ac:dyDescent="0.2">
      <c r="A2206" s="1">
        <v>42069</v>
      </c>
      <c r="B2206">
        <f>15.2</f>
        <v>15.2</v>
      </c>
      <c r="C2206">
        <f>18.4149</f>
        <v>18.414899999999999</v>
      </c>
      <c r="D2206">
        <f>12.01</f>
        <v>12.01</v>
      </c>
      <c r="E2206">
        <f>17.17</f>
        <v>17.170000000000002</v>
      </c>
    </row>
    <row r="2207" spans="1:5" x14ac:dyDescent="0.2">
      <c r="A2207" s="1">
        <v>42068</v>
      </c>
      <c r="B2207">
        <f>14.04</f>
        <v>14.04</v>
      </c>
      <c r="C2207">
        <f>18.1841</f>
        <v>18.184100000000001</v>
      </c>
      <c r="D2207">
        <f>12</f>
        <v>12</v>
      </c>
      <c r="E2207">
        <f>17.93</f>
        <v>17.93</v>
      </c>
    </row>
    <row r="2208" spans="1:5" x14ac:dyDescent="0.2">
      <c r="A2208" s="1">
        <v>42067</v>
      </c>
      <c r="B2208">
        <f>14.23</f>
        <v>14.23</v>
      </c>
      <c r="C2208">
        <f>18.9188</f>
        <v>18.918800000000001</v>
      </c>
      <c r="D2208">
        <f>13.16</f>
        <v>13.16</v>
      </c>
      <c r="E2208">
        <f>18.19</f>
        <v>18.190000000000001</v>
      </c>
    </row>
    <row r="2209" spans="1:5" x14ac:dyDescent="0.2">
      <c r="A2209" s="1">
        <v>42066</v>
      </c>
      <c r="B2209">
        <f>13.86</f>
        <v>13.86</v>
      </c>
      <c r="C2209">
        <f>19.5843</f>
        <v>19.584299999999999</v>
      </c>
      <c r="D2209">
        <f>13.39</f>
        <v>13.39</v>
      </c>
      <c r="E2209">
        <f>17.93</f>
        <v>17.93</v>
      </c>
    </row>
    <row r="2210" spans="1:5" x14ac:dyDescent="0.2">
      <c r="A2210" s="1">
        <v>42065</v>
      </c>
      <c r="B2210">
        <f>13.04</f>
        <v>13.04</v>
      </c>
      <c r="C2210">
        <f>17.7992</f>
        <v>17.799199999999999</v>
      </c>
      <c r="D2210">
        <f>12.32</f>
        <v>12.32</v>
      </c>
      <c r="E2210">
        <f>18.18</f>
        <v>18.18</v>
      </c>
    </row>
    <row r="2211" spans="1:5" x14ac:dyDescent="0.2">
      <c r="A2211" s="1">
        <v>42062</v>
      </c>
      <c r="B2211">
        <f>13.34</f>
        <v>13.34</v>
      </c>
      <c r="C2211">
        <f>17.7528</f>
        <v>17.752800000000001</v>
      </c>
      <c r="D2211">
        <f>12.12</f>
        <v>12.12</v>
      </c>
      <c r="E2211">
        <f>17.93</f>
        <v>17.93</v>
      </c>
    </row>
    <row r="2212" spans="1:5" x14ac:dyDescent="0.2">
      <c r="A2212" s="1">
        <v>42061</v>
      </c>
      <c r="B2212">
        <f>13.91</f>
        <v>13.91</v>
      </c>
      <c r="C2212">
        <f>17.3519</f>
        <v>17.351900000000001</v>
      </c>
      <c r="D2212">
        <f>11.88</f>
        <v>11.88</v>
      </c>
      <c r="E2212">
        <f>17.93</f>
        <v>17.93</v>
      </c>
    </row>
    <row r="2213" spans="1:5" x14ac:dyDescent="0.2">
      <c r="A2213" s="1">
        <v>42060</v>
      </c>
      <c r="B2213">
        <f>13.84</f>
        <v>13.84</v>
      </c>
      <c r="C2213">
        <f>17.8235</f>
        <v>17.823499999999999</v>
      </c>
      <c r="D2213">
        <f>12.01</f>
        <v>12.01</v>
      </c>
      <c r="E2213">
        <f>17.94</f>
        <v>17.940000000000001</v>
      </c>
    </row>
    <row r="2214" spans="1:5" x14ac:dyDescent="0.2">
      <c r="A2214" s="1">
        <v>42059</v>
      </c>
      <c r="B2214">
        <f>13.69</f>
        <v>13.69</v>
      </c>
      <c r="C2214">
        <f>18.398</f>
        <v>18.398</v>
      </c>
      <c r="D2214">
        <f>12.17</f>
        <v>12.17</v>
      </c>
      <c r="E2214">
        <f>18.46</f>
        <v>18.46</v>
      </c>
    </row>
    <row r="2215" spans="1:5" x14ac:dyDescent="0.2">
      <c r="A2215" s="1">
        <v>42058</v>
      </c>
      <c r="B2215">
        <f>14.56</f>
        <v>14.56</v>
      </c>
      <c r="C2215">
        <f>20.625</f>
        <v>20.625</v>
      </c>
      <c r="D2215">
        <f>13.16</f>
        <v>13.16</v>
      </c>
      <c r="E2215">
        <f>18.72</f>
        <v>18.72</v>
      </c>
    </row>
    <row r="2216" spans="1:5" x14ac:dyDescent="0.2">
      <c r="A2216" s="1">
        <v>42055</v>
      </c>
      <c r="B2216">
        <f>14.3</f>
        <v>14.3</v>
      </c>
      <c r="C2216">
        <f>24.2039</f>
        <v>24.203900000000001</v>
      </c>
      <c r="D2216">
        <f>14.09</f>
        <v>14.09</v>
      </c>
      <c r="E2216">
        <f>18.74</f>
        <v>18.739999999999998</v>
      </c>
    </row>
    <row r="2217" spans="1:5" x14ac:dyDescent="0.2">
      <c r="A2217" s="1">
        <v>42054</v>
      </c>
      <c r="B2217">
        <f>15.29</f>
        <v>15.29</v>
      </c>
      <c r="C2217">
        <f>23.2086</f>
        <v>23.208600000000001</v>
      </c>
      <c r="D2217">
        <f>14.19</f>
        <v>14.19</v>
      </c>
      <c r="E2217">
        <f>18.74</f>
        <v>18.739999999999998</v>
      </c>
    </row>
    <row r="2218" spans="1:5" x14ac:dyDescent="0.2">
      <c r="A2218" s="1">
        <v>42053</v>
      </c>
      <c r="B2218">
        <f>15.45</f>
        <v>15.45</v>
      </c>
      <c r="C2218">
        <f>23.3392</f>
        <v>23.339200000000002</v>
      </c>
      <c r="D2218">
        <f>14.68</f>
        <v>14.68</v>
      </c>
      <c r="E2218">
        <f>19</f>
        <v>19</v>
      </c>
    </row>
    <row r="2219" spans="1:5" x14ac:dyDescent="0.2">
      <c r="A2219" s="1">
        <v>42052</v>
      </c>
      <c r="B2219">
        <f>15.8</f>
        <v>15.8</v>
      </c>
      <c r="C2219">
        <f>24.9047</f>
        <v>24.904699999999998</v>
      </c>
      <c r="D2219">
        <f>14.96</f>
        <v>14.96</v>
      </c>
      <c r="E2219">
        <f>18.98</f>
        <v>18.98</v>
      </c>
    </row>
    <row r="2220" spans="1:5" x14ac:dyDescent="0.2">
      <c r="A2220" s="1">
        <v>42051</v>
      </c>
      <c r="B2220" t="e">
        <f>NA()</f>
        <v>#N/A</v>
      </c>
      <c r="C2220">
        <f>25.2507</f>
        <v>25.250699999999998</v>
      </c>
      <c r="D2220">
        <f>15.78</f>
        <v>15.78</v>
      </c>
      <c r="E2220">
        <f>18.97</f>
        <v>18.97</v>
      </c>
    </row>
    <row r="2221" spans="1:5" x14ac:dyDescent="0.2">
      <c r="A2221" s="1">
        <v>42048</v>
      </c>
      <c r="B2221">
        <f>14.69</f>
        <v>14.69</v>
      </c>
      <c r="C2221">
        <f>24.1849</f>
        <v>24.184899999999999</v>
      </c>
      <c r="D2221">
        <f>15.15</f>
        <v>15.15</v>
      </c>
      <c r="E2221">
        <f>18.99</f>
        <v>18.989999999999998</v>
      </c>
    </row>
    <row r="2222" spans="1:5" x14ac:dyDescent="0.2">
      <c r="A2222" s="1">
        <v>42047</v>
      </c>
      <c r="B2222">
        <f>15.34</f>
        <v>15.34</v>
      </c>
      <c r="C2222">
        <f>24.3635</f>
        <v>24.363499999999998</v>
      </c>
      <c r="D2222">
        <f>15.92</f>
        <v>15.92</v>
      </c>
      <c r="E2222">
        <f>19.28</f>
        <v>19.28</v>
      </c>
    </row>
    <row r="2223" spans="1:5" x14ac:dyDescent="0.2">
      <c r="A2223" s="1">
        <v>42046</v>
      </c>
      <c r="B2223">
        <f>16.96</f>
        <v>16.96</v>
      </c>
      <c r="C2223">
        <f>25.721</f>
        <v>25.721</v>
      </c>
      <c r="D2223">
        <f>16.84</f>
        <v>16.84</v>
      </c>
      <c r="E2223">
        <f>19.57</f>
        <v>19.57</v>
      </c>
    </row>
    <row r="2224" spans="1:5" x14ac:dyDescent="0.2">
      <c r="A2224" s="1">
        <v>42045</v>
      </c>
      <c r="B2224">
        <f>17.23</f>
        <v>17.23</v>
      </c>
      <c r="C2224">
        <f>25.1067</f>
        <v>25.1067</v>
      </c>
      <c r="D2224">
        <f>16.13</f>
        <v>16.13</v>
      </c>
      <c r="E2224">
        <f>19.8</f>
        <v>19.8</v>
      </c>
    </row>
    <row r="2225" spans="1:5" x14ac:dyDescent="0.2">
      <c r="A2225" s="1">
        <v>42044</v>
      </c>
      <c r="B2225">
        <f>18.55</f>
        <v>18.55</v>
      </c>
      <c r="C2225">
        <f>25.3712</f>
        <v>25.371200000000002</v>
      </c>
      <c r="D2225">
        <f>16.4</f>
        <v>16.399999999999999</v>
      </c>
      <c r="E2225">
        <f>20.52</f>
        <v>20.52</v>
      </c>
    </row>
    <row r="2226" spans="1:5" x14ac:dyDescent="0.2">
      <c r="A2226" s="1">
        <v>42041</v>
      </c>
      <c r="B2226">
        <f>17.29</f>
        <v>17.29</v>
      </c>
      <c r="C2226">
        <f>21.8332</f>
        <v>21.833200000000001</v>
      </c>
      <c r="D2226">
        <f>15.45</f>
        <v>15.45</v>
      </c>
      <c r="E2226">
        <f>20.54</f>
        <v>20.54</v>
      </c>
    </row>
    <row r="2227" spans="1:5" x14ac:dyDescent="0.2">
      <c r="A2227" s="1">
        <v>42040</v>
      </c>
      <c r="B2227">
        <f>16.85</f>
        <v>16.850000000000001</v>
      </c>
      <c r="C2227">
        <f>22.2611</f>
        <v>22.261099999999999</v>
      </c>
      <c r="D2227">
        <f>15.26</f>
        <v>15.26</v>
      </c>
      <c r="E2227">
        <f>20.8</f>
        <v>20.8</v>
      </c>
    </row>
    <row r="2228" spans="1:5" x14ac:dyDescent="0.2">
      <c r="A2228" s="1">
        <v>42039</v>
      </c>
      <c r="B2228">
        <f>18.33</f>
        <v>18.329999999999998</v>
      </c>
      <c r="C2228">
        <f>22.2736</f>
        <v>22.273599999999998</v>
      </c>
      <c r="D2228">
        <f>16.23</f>
        <v>16.23</v>
      </c>
      <c r="E2228">
        <f>20.8</f>
        <v>20.8</v>
      </c>
    </row>
    <row r="2229" spans="1:5" x14ac:dyDescent="0.2">
      <c r="A2229" s="1">
        <v>42038</v>
      </c>
      <c r="B2229">
        <f>17.33</f>
        <v>17.329999999999998</v>
      </c>
      <c r="C2229">
        <f>22.7637</f>
        <v>22.7637</v>
      </c>
      <c r="D2229">
        <f>16.46</f>
        <v>16.46</v>
      </c>
      <c r="E2229">
        <f>20.7</f>
        <v>20.7</v>
      </c>
    </row>
    <row r="2230" spans="1:5" x14ac:dyDescent="0.2">
      <c r="A2230" s="1">
        <v>42037</v>
      </c>
      <c r="B2230">
        <f>19.43</f>
        <v>19.43</v>
      </c>
      <c r="C2230">
        <f>24.3214</f>
        <v>24.321400000000001</v>
      </c>
      <c r="D2230">
        <f>17.86</f>
        <v>17.86</v>
      </c>
      <c r="E2230">
        <f>20.96</f>
        <v>20.96</v>
      </c>
    </row>
    <row r="2231" spans="1:5" x14ac:dyDescent="0.2">
      <c r="A2231" s="1">
        <v>42034</v>
      </c>
      <c r="B2231">
        <f>20.97</f>
        <v>20.97</v>
      </c>
      <c r="C2231">
        <f>24.731</f>
        <v>24.731000000000002</v>
      </c>
      <c r="D2231">
        <f>17.07</f>
        <v>17.07</v>
      </c>
      <c r="E2231">
        <f>21</f>
        <v>21</v>
      </c>
    </row>
    <row r="2232" spans="1:5" x14ac:dyDescent="0.2">
      <c r="A2232" s="1">
        <v>42033</v>
      </c>
      <c r="B2232">
        <f>18.76</f>
        <v>18.760000000000002</v>
      </c>
      <c r="C2232">
        <f>23.3237</f>
        <v>23.323699999999999</v>
      </c>
      <c r="D2232">
        <f>15.62</f>
        <v>15.62</v>
      </c>
      <c r="E2232">
        <f>21.26</f>
        <v>21.26</v>
      </c>
    </row>
    <row r="2233" spans="1:5" x14ac:dyDescent="0.2">
      <c r="A2233" s="1">
        <v>42032</v>
      </c>
      <c r="B2233">
        <f>20.44</f>
        <v>20.440000000000001</v>
      </c>
      <c r="C2233">
        <f>21.8259</f>
        <v>21.825900000000001</v>
      </c>
      <c r="D2233">
        <f>15.11</f>
        <v>15.11</v>
      </c>
      <c r="E2233">
        <f>20.83</f>
        <v>20.83</v>
      </c>
    </row>
    <row r="2234" spans="1:5" x14ac:dyDescent="0.2">
      <c r="A2234" s="1">
        <v>42031</v>
      </c>
      <c r="B2234">
        <f>17.22</f>
        <v>17.22</v>
      </c>
      <c r="C2234">
        <f>22.4298</f>
        <v>22.4298</v>
      </c>
      <c r="D2234">
        <f>14.9</f>
        <v>14.9</v>
      </c>
      <c r="E2234">
        <f>21.36</f>
        <v>21.36</v>
      </c>
    </row>
    <row r="2235" spans="1:5" x14ac:dyDescent="0.2">
      <c r="A2235" s="1">
        <v>42030</v>
      </c>
      <c r="B2235">
        <f>15.52</f>
        <v>15.52</v>
      </c>
      <c r="C2235">
        <f>21.3426</f>
        <v>21.342600000000001</v>
      </c>
      <c r="D2235">
        <f>14.17</f>
        <v>14.17</v>
      </c>
      <c r="E2235">
        <f>22.13</f>
        <v>22.13</v>
      </c>
    </row>
    <row r="2236" spans="1:5" x14ac:dyDescent="0.2">
      <c r="A2236" s="1">
        <v>42027</v>
      </c>
      <c r="B2236">
        <f>16.66</f>
        <v>16.66</v>
      </c>
      <c r="C2236">
        <f>23.1125</f>
        <v>23.112500000000001</v>
      </c>
      <c r="D2236">
        <f>15.05</f>
        <v>15.05</v>
      </c>
      <c r="E2236">
        <f>23.2</f>
        <v>23.2</v>
      </c>
    </row>
    <row r="2237" spans="1:5" x14ac:dyDescent="0.2">
      <c r="A2237" s="1">
        <v>42026</v>
      </c>
      <c r="B2237">
        <f>16.4</f>
        <v>16.399999999999999</v>
      </c>
      <c r="C2237">
        <f>22.9441</f>
        <v>22.944099999999999</v>
      </c>
      <c r="D2237">
        <f>14.91</f>
        <v>14.91</v>
      </c>
      <c r="E2237">
        <f>23.06</f>
        <v>23.06</v>
      </c>
    </row>
    <row r="2238" spans="1:5" x14ac:dyDescent="0.2">
      <c r="A2238" s="1">
        <v>42025</v>
      </c>
      <c r="B2238">
        <f>18.85</f>
        <v>18.850000000000001</v>
      </c>
      <c r="C2238">
        <f>26.0176</f>
        <v>26.017600000000002</v>
      </c>
      <c r="D2238">
        <f>16.07</f>
        <v>16.07</v>
      </c>
      <c r="E2238">
        <f>23.4</f>
        <v>23.4</v>
      </c>
    </row>
    <row r="2239" spans="1:5" x14ac:dyDescent="0.2">
      <c r="A2239" s="1">
        <v>42024</v>
      </c>
      <c r="B2239">
        <f>19.89</f>
        <v>19.89</v>
      </c>
      <c r="C2239">
        <f>27.0724</f>
        <v>27.072399999999998</v>
      </c>
      <c r="D2239">
        <f>17.9</f>
        <v>17.899999999999999</v>
      </c>
      <c r="E2239">
        <f>23.69</f>
        <v>23.69</v>
      </c>
    </row>
    <row r="2240" spans="1:5" x14ac:dyDescent="0.2">
      <c r="A2240" s="1">
        <v>42023</v>
      </c>
      <c r="B2240" t="e">
        <f>NA()</f>
        <v>#N/A</v>
      </c>
      <c r="C2240">
        <f>28.32</f>
        <v>28.32</v>
      </c>
      <c r="D2240">
        <f>19.4</f>
        <v>19.399999999999999</v>
      </c>
      <c r="E2240">
        <f>23.72</f>
        <v>23.72</v>
      </c>
    </row>
    <row r="2241" spans="1:5" x14ac:dyDescent="0.2">
      <c r="A2241" s="1">
        <v>42020</v>
      </c>
      <c r="B2241">
        <f>20.95</f>
        <v>20.95</v>
      </c>
      <c r="C2241">
        <f>29.3287</f>
        <v>29.328700000000001</v>
      </c>
      <c r="D2241">
        <f>20.6</f>
        <v>20.6</v>
      </c>
      <c r="E2241">
        <f>24.04</f>
        <v>24.04</v>
      </c>
    </row>
    <row r="2242" spans="1:5" x14ac:dyDescent="0.2">
      <c r="A2242" s="1">
        <v>42019</v>
      </c>
      <c r="B2242">
        <f>22.39</f>
        <v>22.39</v>
      </c>
      <c r="C2242">
        <f>29.026</f>
        <v>29.026</v>
      </c>
      <c r="D2242">
        <f>20.51</f>
        <v>20.51</v>
      </c>
      <c r="E2242">
        <f>24.55</f>
        <v>24.55</v>
      </c>
    </row>
    <row r="2243" spans="1:5" x14ac:dyDescent="0.2">
      <c r="A2243" s="1">
        <v>42018</v>
      </c>
      <c r="B2243">
        <f>21.48</f>
        <v>21.48</v>
      </c>
      <c r="C2243">
        <f>29.4845</f>
        <v>29.484500000000001</v>
      </c>
      <c r="D2243">
        <f>21.06</f>
        <v>21.06</v>
      </c>
      <c r="E2243">
        <f>24.65</f>
        <v>24.65</v>
      </c>
    </row>
    <row r="2244" spans="1:5" x14ac:dyDescent="0.2">
      <c r="A2244" s="1">
        <v>42017</v>
      </c>
      <c r="B2244">
        <f>20.56</f>
        <v>20.56</v>
      </c>
      <c r="C2244">
        <f>28.5404</f>
        <v>28.540400000000002</v>
      </c>
      <c r="D2244">
        <f>44.05</f>
        <v>44.05</v>
      </c>
      <c r="E2244">
        <f>22.54</f>
        <v>22.54</v>
      </c>
    </row>
    <row r="2245" spans="1:5" x14ac:dyDescent="0.2">
      <c r="A2245" s="1">
        <v>42016</v>
      </c>
      <c r="B2245">
        <f>19.6</f>
        <v>19.600000000000001</v>
      </c>
      <c r="C2245">
        <f>29.7249</f>
        <v>29.724900000000002</v>
      </c>
      <c r="D2245">
        <f>32.98</f>
        <v>32.979999999999997</v>
      </c>
      <c r="E2245">
        <f>22.58</f>
        <v>22.58</v>
      </c>
    </row>
    <row r="2246" spans="1:5" x14ac:dyDescent="0.2">
      <c r="A2246" s="1">
        <v>42013</v>
      </c>
      <c r="B2246">
        <f>17.55</f>
        <v>17.55</v>
      </c>
      <c r="C2246">
        <f>28.7787</f>
        <v>28.778700000000001</v>
      </c>
      <c r="D2246">
        <f>19.21</f>
        <v>19.21</v>
      </c>
      <c r="E2246">
        <f>22.66</f>
        <v>22.66</v>
      </c>
    </row>
    <row r="2247" spans="1:5" x14ac:dyDescent="0.2">
      <c r="A2247" s="1">
        <v>42012</v>
      </c>
      <c r="B2247">
        <f>17.01</f>
        <v>17.010000000000002</v>
      </c>
      <c r="C2247">
        <f>25.9087</f>
        <v>25.9087</v>
      </c>
      <c r="D2247">
        <f>17.07</f>
        <v>17.07</v>
      </c>
      <c r="E2247">
        <f>22.05</f>
        <v>22.05</v>
      </c>
    </row>
    <row r="2248" spans="1:5" x14ac:dyDescent="0.2">
      <c r="A2248" s="1">
        <v>42011</v>
      </c>
      <c r="B2248">
        <f>19.31</f>
        <v>19.309999999999999</v>
      </c>
      <c r="C2248">
        <f>28.1715</f>
        <v>28.171500000000002</v>
      </c>
      <c r="D2248">
        <f>20.53</f>
        <v>20.53</v>
      </c>
      <c r="E2248">
        <f>22.3</f>
        <v>22.3</v>
      </c>
    </row>
    <row r="2249" spans="1:5" x14ac:dyDescent="0.2">
      <c r="A2249" s="1">
        <v>42010</v>
      </c>
      <c r="B2249">
        <f>21.12</f>
        <v>21.12</v>
      </c>
      <c r="C2249">
        <f>28.8317</f>
        <v>28.831700000000001</v>
      </c>
      <c r="D2249">
        <f>21.76</f>
        <v>21.76</v>
      </c>
      <c r="E2249">
        <f>22.76</f>
        <v>22.76</v>
      </c>
    </row>
    <row r="2250" spans="1:5" x14ac:dyDescent="0.2">
      <c r="A2250" s="1">
        <v>42009</v>
      </c>
      <c r="B2250">
        <f>19.92</f>
        <v>19.920000000000002</v>
      </c>
      <c r="C2250">
        <f>29.6236</f>
        <v>29.6236</v>
      </c>
      <c r="D2250">
        <f>22.4</f>
        <v>22.4</v>
      </c>
      <c r="E2250">
        <f>23.32</f>
        <v>23.32</v>
      </c>
    </row>
    <row r="2251" spans="1:5" x14ac:dyDescent="0.2">
      <c r="A2251" s="1">
        <v>42006</v>
      </c>
      <c r="B2251">
        <f>17.79</f>
        <v>17.79</v>
      </c>
      <c r="C2251">
        <f>26.2531</f>
        <v>26.2531</v>
      </c>
      <c r="D2251">
        <f>19.16</f>
        <v>19.16</v>
      </c>
      <c r="E2251">
        <f>22.22</f>
        <v>22.22</v>
      </c>
    </row>
    <row r="2252" spans="1:5" x14ac:dyDescent="0.2">
      <c r="A2252" s="1">
        <v>42004</v>
      </c>
      <c r="B2252">
        <f>19.2</f>
        <v>19.2</v>
      </c>
      <c r="C2252" t="e">
        <f>NA()</f>
        <v>#N/A</v>
      </c>
      <c r="D2252">
        <f>18.34</f>
        <v>18.34</v>
      </c>
      <c r="E2252">
        <f>22.16</f>
        <v>22.16</v>
      </c>
    </row>
    <row r="2253" spans="1:5" x14ac:dyDescent="0.2">
      <c r="A2253" s="1">
        <v>42003</v>
      </c>
      <c r="B2253">
        <f>15.92</f>
        <v>15.92</v>
      </c>
      <c r="C2253">
        <f>26.1876</f>
        <v>26.1876</v>
      </c>
      <c r="D2253">
        <f>19.07</f>
        <v>19.07</v>
      </c>
      <c r="E2253">
        <f>22.02</f>
        <v>22.02</v>
      </c>
    </row>
    <row r="2254" spans="1:5" x14ac:dyDescent="0.2">
      <c r="A2254" s="1">
        <v>42002</v>
      </c>
      <c r="B2254">
        <f>15.06</f>
        <v>15.06</v>
      </c>
      <c r="C2254">
        <f>24.9354</f>
        <v>24.935400000000001</v>
      </c>
      <c r="D2254">
        <f>18.09</f>
        <v>18.09</v>
      </c>
      <c r="E2254">
        <f>21.81</f>
        <v>21.81</v>
      </c>
    </row>
    <row r="2255" spans="1:5" x14ac:dyDescent="0.2">
      <c r="A2255" s="1">
        <v>41999</v>
      </c>
      <c r="B2255">
        <f>14.5</f>
        <v>14.5</v>
      </c>
      <c r="C2255" t="e">
        <f>NA()</f>
        <v>#N/A</v>
      </c>
      <c r="D2255" t="e">
        <f>NA()</f>
        <v>#N/A</v>
      </c>
      <c r="E2255" t="e">
        <f>NA()</f>
        <v>#N/A</v>
      </c>
    </row>
    <row r="2256" spans="1:5" x14ac:dyDescent="0.2">
      <c r="A2256" s="1">
        <v>41997</v>
      </c>
      <c r="B2256">
        <f>14.37</f>
        <v>14.37</v>
      </c>
      <c r="C2256" t="e">
        <f>NA()</f>
        <v>#N/A</v>
      </c>
      <c r="D2256">
        <f>17.04</f>
        <v>17.04</v>
      </c>
      <c r="E2256">
        <f>22.44</f>
        <v>22.44</v>
      </c>
    </row>
    <row r="2257" spans="1:5" x14ac:dyDescent="0.2">
      <c r="A2257" s="1">
        <v>41996</v>
      </c>
      <c r="B2257">
        <f>14.8</f>
        <v>14.8</v>
      </c>
      <c r="C2257">
        <f>22.0804</f>
        <v>22.080400000000001</v>
      </c>
      <c r="D2257">
        <f>17.3</f>
        <v>17.3</v>
      </c>
      <c r="E2257">
        <f>22.35</f>
        <v>22.35</v>
      </c>
    </row>
    <row r="2258" spans="1:5" x14ac:dyDescent="0.2">
      <c r="A2258" s="1">
        <v>41995</v>
      </c>
      <c r="B2258">
        <f>15.25</f>
        <v>15.25</v>
      </c>
      <c r="C2258">
        <f>22.9656</f>
        <v>22.965599999999998</v>
      </c>
      <c r="D2258">
        <f>17.11</f>
        <v>17.11</v>
      </c>
      <c r="E2258">
        <f>22.65</f>
        <v>22.65</v>
      </c>
    </row>
    <row r="2259" spans="1:5" x14ac:dyDescent="0.2">
      <c r="A2259" s="1">
        <v>41992</v>
      </c>
      <c r="B2259">
        <f>16.49</f>
        <v>16.489999999999998</v>
      </c>
      <c r="C2259">
        <f>23.6176</f>
        <v>23.617599999999999</v>
      </c>
      <c r="D2259">
        <f>16.44</f>
        <v>16.440000000000001</v>
      </c>
      <c r="E2259">
        <f>22.51</f>
        <v>22.51</v>
      </c>
    </row>
    <row r="2260" spans="1:5" x14ac:dyDescent="0.2">
      <c r="A2260" s="1">
        <v>41991</v>
      </c>
      <c r="B2260">
        <f>16.81</f>
        <v>16.809999999999999</v>
      </c>
      <c r="C2260">
        <f>22.5806</f>
        <v>22.5806</v>
      </c>
      <c r="D2260">
        <f>17.24</f>
        <v>17.239999999999998</v>
      </c>
      <c r="E2260">
        <f>20.75</f>
        <v>20.75</v>
      </c>
    </row>
    <row r="2261" spans="1:5" x14ac:dyDescent="0.2">
      <c r="A2261" s="1">
        <v>41990</v>
      </c>
      <c r="B2261">
        <f>19.44</f>
        <v>19.440000000000001</v>
      </c>
      <c r="C2261">
        <f>27.228</f>
        <v>27.228000000000002</v>
      </c>
      <c r="D2261">
        <f>19.99</f>
        <v>19.989999999999998</v>
      </c>
      <c r="E2261">
        <f>22.27</f>
        <v>22.27</v>
      </c>
    </row>
    <row r="2262" spans="1:5" x14ac:dyDescent="0.2">
      <c r="A2262" s="1">
        <v>41989</v>
      </c>
      <c r="B2262">
        <f>23.57</f>
        <v>23.57</v>
      </c>
      <c r="C2262">
        <f>25.6614</f>
        <v>25.6614</v>
      </c>
      <c r="D2262">
        <f>20.55</f>
        <v>20.55</v>
      </c>
      <c r="E2262" t="e">
        <f>NA()</f>
        <v>#N/A</v>
      </c>
    </row>
    <row r="2263" spans="1:5" x14ac:dyDescent="0.2">
      <c r="A2263" s="1">
        <v>41988</v>
      </c>
      <c r="B2263">
        <f>20.42</f>
        <v>20.420000000000002</v>
      </c>
      <c r="C2263">
        <f>29.5265</f>
        <v>29.526499999999999</v>
      </c>
      <c r="D2263">
        <f>25.14</f>
        <v>25.14</v>
      </c>
      <c r="E2263">
        <f>22.01</f>
        <v>22.01</v>
      </c>
    </row>
    <row r="2264" spans="1:5" x14ac:dyDescent="0.2">
      <c r="A2264" s="1">
        <v>41985</v>
      </c>
      <c r="B2264">
        <f>21.08</f>
        <v>21.08</v>
      </c>
      <c r="C2264">
        <f>26.4981</f>
        <v>26.498100000000001</v>
      </c>
      <c r="D2264">
        <f>23.05</f>
        <v>23.05</v>
      </c>
      <c r="E2264">
        <f>21.52</f>
        <v>21.52</v>
      </c>
    </row>
    <row r="2265" spans="1:5" x14ac:dyDescent="0.2">
      <c r="A2265" s="1">
        <v>41984</v>
      </c>
      <c r="B2265">
        <f>20.08</f>
        <v>20.079999999999998</v>
      </c>
      <c r="C2265">
        <f>20.8103</f>
        <v>20.810300000000002</v>
      </c>
      <c r="D2265">
        <f>16.03</f>
        <v>16.03</v>
      </c>
      <c r="E2265">
        <f>21.75</f>
        <v>21.75</v>
      </c>
    </row>
    <row r="2266" spans="1:5" x14ac:dyDescent="0.2">
      <c r="A2266" s="1">
        <v>41983</v>
      </c>
      <c r="B2266">
        <f>18.53</f>
        <v>18.53</v>
      </c>
      <c r="C2266">
        <f>21.7342</f>
        <v>21.734200000000001</v>
      </c>
      <c r="D2266">
        <f>16.73</f>
        <v>16.73</v>
      </c>
      <c r="E2266">
        <f>21.49</f>
        <v>21.49</v>
      </c>
    </row>
    <row r="2267" spans="1:5" x14ac:dyDescent="0.2">
      <c r="A2267" s="1">
        <v>41982</v>
      </c>
      <c r="B2267">
        <f>14.89</f>
        <v>14.89</v>
      </c>
      <c r="C2267">
        <f>21.4418</f>
        <v>21.441800000000001</v>
      </c>
      <c r="D2267">
        <f>16.25</f>
        <v>16.25</v>
      </c>
      <c r="E2267">
        <f>21.23</f>
        <v>21.23</v>
      </c>
    </row>
    <row r="2268" spans="1:5" x14ac:dyDescent="0.2">
      <c r="A2268" s="1">
        <v>41981</v>
      </c>
      <c r="B2268">
        <f>14.21</f>
        <v>14.21</v>
      </c>
      <c r="C2268">
        <f>16.6347</f>
        <v>16.634699999999999</v>
      </c>
      <c r="D2268">
        <f>12.02</f>
        <v>12.02</v>
      </c>
      <c r="E2268">
        <f>20.45</f>
        <v>20.45</v>
      </c>
    </row>
    <row r="2269" spans="1:5" x14ac:dyDescent="0.2">
      <c r="A2269" s="1">
        <v>41978</v>
      </c>
      <c r="B2269">
        <f>11.82</f>
        <v>11.82</v>
      </c>
      <c r="C2269">
        <f>16.3307</f>
        <v>16.3307</v>
      </c>
      <c r="D2269">
        <f>10.87</f>
        <v>10.87</v>
      </c>
      <c r="E2269">
        <f>20.47</f>
        <v>20.47</v>
      </c>
    </row>
    <row r="2270" spans="1:5" x14ac:dyDescent="0.2">
      <c r="A2270" s="1">
        <v>41977</v>
      </c>
      <c r="B2270">
        <f>12.38</f>
        <v>12.38</v>
      </c>
      <c r="C2270">
        <f>18.1098</f>
        <v>18.1098</v>
      </c>
      <c r="D2270">
        <f>12.34</f>
        <v>12.34</v>
      </c>
      <c r="E2270">
        <f>20.48</f>
        <v>20.48</v>
      </c>
    </row>
    <row r="2271" spans="1:5" x14ac:dyDescent="0.2">
      <c r="A2271" s="1">
        <v>41976</v>
      </c>
      <c r="B2271">
        <f>12.47</f>
        <v>12.47</v>
      </c>
      <c r="C2271">
        <f>18.7911</f>
        <v>18.7911</v>
      </c>
      <c r="D2271">
        <f>12.49</f>
        <v>12.49</v>
      </c>
      <c r="E2271">
        <f>20.22</f>
        <v>20.22</v>
      </c>
    </row>
    <row r="2272" spans="1:5" x14ac:dyDescent="0.2">
      <c r="A2272" s="1">
        <v>41975</v>
      </c>
      <c r="B2272">
        <f>12.85</f>
        <v>12.85</v>
      </c>
      <c r="C2272">
        <f>19.1189</f>
        <v>19.1189</v>
      </c>
      <c r="D2272">
        <f>12.64</f>
        <v>12.64</v>
      </c>
      <c r="E2272">
        <f>20.48</f>
        <v>20.48</v>
      </c>
    </row>
    <row r="2273" spans="1:5" x14ac:dyDescent="0.2">
      <c r="A2273" s="1">
        <v>41974</v>
      </c>
      <c r="B2273">
        <f>14.29</f>
        <v>14.29</v>
      </c>
      <c r="C2273">
        <f>19.3406</f>
        <v>19.340599999999998</v>
      </c>
      <c r="D2273">
        <f>13.53</f>
        <v>13.53</v>
      </c>
      <c r="E2273">
        <f>21</f>
        <v>21</v>
      </c>
    </row>
    <row r="2274" spans="1:5" x14ac:dyDescent="0.2">
      <c r="A2274" s="1">
        <v>41971</v>
      </c>
      <c r="B2274">
        <f>13.33</f>
        <v>13.33</v>
      </c>
      <c r="C2274">
        <f>18.0253</f>
        <v>18.025300000000001</v>
      </c>
      <c r="D2274">
        <f>11.4</f>
        <v>11.4</v>
      </c>
      <c r="E2274">
        <f>19.43</f>
        <v>19.43</v>
      </c>
    </row>
    <row r="2275" spans="1:5" x14ac:dyDescent="0.2">
      <c r="A2275" s="1">
        <v>41970</v>
      </c>
      <c r="B2275" t="e">
        <f>NA()</f>
        <v>#N/A</v>
      </c>
      <c r="C2275">
        <f>18.156</f>
        <v>18.155999999999999</v>
      </c>
      <c r="D2275">
        <f>11.76</f>
        <v>11.76</v>
      </c>
      <c r="E2275">
        <f>18.65</f>
        <v>18.649999999999999</v>
      </c>
    </row>
    <row r="2276" spans="1:5" x14ac:dyDescent="0.2">
      <c r="A2276" s="1">
        <v>41969</v>
      </c>
      <c r="B2276">
        <f>12.07</f>
        <v>12.07</v>
      </c>
      <c r="C2276">
        <f>18.2837</f>
        <v>18.2837</v>
      </c>
      <c r="D2276">
        <f>11.65</f>
        <v>11.65</v>
      </c>
      <c r="E2276">
        <f>18.15</f>
        <v>18.149999999999999</v>
      </c>
    </row>
    <row r="2277" spans="1:5" x14ac:dyDescent="0.2">
      <c r="A2277" s="1">
        <v>41968</v>
      </c>
      <c r="B2277">
        <f>12.25</f>
        <v>12.25</v>
      </c>
      <c r="C2277">
        <f>19.1485</f>
        <v>19.148499999999999</v>
      </c>
      <c r="D2277">
        <f>11.62</f>
        <v>11.62</v>
      </c>
      <c r="E2277">
        <f>17.62</f>
        <v>17.62</v>
      </c>
    </row>
    <row r="2278" spans="1:5" x14ac:dyDescent="0.2">
      <c r="A2278" s="1">
        <v>41967</v>
      </c>
      <c r="B2278">
        <f>12.62</f>
        <v>12.62</v>
      </c>
      <c r="C2278">
        <f>19.3169</f>
        <v>19.3169</v>
      </c>
      <c r="D2278">
        <f>12.41</f>
        <v>12.41</v>
      </c>
      <c r="E2278">
        <f>17.64</f>
        <v>17.64</v>
      </c>
    </row>
    <row r="2279" spans="1:5" x14ac:dyDescent="0.2">
      <c r="A2279" s="1">
        <v>41964</v>
      </c>
      <c r="B2279">
        <f>12.9</f>
        <v>12.9</v>
      </c>
      <c r="C2279">
        <f>18.9133</f>
        <v>18.9133</v>
      </c>
      <c r="D2279">
        <f>12.31</f>
        <v>12.31</v>
      </c>
      <c r="E2279">
        <f>18.71</f>
        <v>18.71</v>
      </c>
    </row>
    <row r="2280" spans="1:5" x14ac:dyDescent="0.2">
      <c r="A2280" s="1">
        <v>41963</v>
      </c>
      <c r="B2280">
        <f>13.58</f>
        <v>13.58</v>
      </c>
      <c r="C2280">
        <f>19.9065</f>
        <v>19.906500000000001</v>
      </c>
      <c r="D2280">
        <f>12.79</f>
        <v>12.79</v>
      </c>
      <c r="E2280">
        <f>18.71</f>
        <v>18.71</v>
      </c>
    </row>
    <row r="2281" spans="1:5" x14ac:dyDescent="0.2">
      <c r="A2281" s="1">
        <v>41962</v>
      </c>
      <c r="B2281">
        <f>13.96</f>
        <v>13.96</v>
      </c>
      <c r="C2281">
        <f>19.5753</f>
        <v>19.575299999999999</v>
      </c>
      <c r="D2281">
        <f>13.3</f>
        <v>13.3</v>
      </c>
      <c r="E2281">
        <f>18.17</f>
        <v>18.170000000000002</v>
      </c>
    </row>
    <row r="2282" spans="1:5" x14ac:dyDescent="0.2">
      <c r="A2282" s="1">
        <v>41961</v>
      </c>
      <c r="B2282">
        <f>13.86</f>
        <v>13.86</v>
      </c>
      <c r="C2282">
        <f>18.9696</f>
        <v>18.9696</v>
      </c>
      <c r="D2282">
        <f>12.68</f>
        <v>12.68</v>
      </c>
      <c r="E2282">
        <f>17.72</f>
        <v>17.72</v>
      </c>
    </row>
    <row r="2283" spans="1:5" x14ac:dyDescent="0.2">
      <c r="A2283" s="1">
        <v>41960</v>
      </c>
      <c r="B2283">
        <f>13.99</f>
        <v>13.99</v>
      </c>
      <c r="C2283">
        <f>19.416</f>
        <v>19.416</v>
      </c>
      <c r="D2283">
        <f>12.58</f>
        <v>12.58</v>
      </c>
      <c r="E2283">
        <f>17.73</f>
        <v>17.73</v>
      </c>
    </row>
    <row r="2284" spans="1:5" x14ac:dyDescent="0.2">
      <c r="A2284" s="1">
        <v>41957</v>
      </c>
      <c r="B2284">
        <f>13.31</f>
        <v>13.31</v>
      </c>
      <c r="C2284">
        <f>19.5586</f>
        <v>19.558599999999998</v>
      </c>
      <c r="D2284">
        <f>12.11</f>
        <v>12.11</v>
      </c>
      <c r="E2284">
        <f>17.7</f>
        <v>17.7</v>
      </c>
    </row>
    <row r="2285" spans="1:5" x14ac:dyDescent="0.2">
      <c r="A2285" s="1">
        <v>41956</v>
      </c>
      <c r="B2285">
        <f>13.79</f>
        <v>13.79</v>
      </c>
      <c r="C2285">
        <f>20.0406</f>
        <v>20.040600000000001</v>
      </c>
      <c r="D2285">
        <f>12.57</f>
        <v>12.57</v>
      </c>
      <c r="E2285">
        <f>17.71</f>
        <v>17.71</v>
      </c>
    </row>
    <row r="2286" spans="1:5" x14ac:dyDescent="0.2">
      <c r="A2286" s="1">
        <v>41955</v>
      </c>
      <c r="B2286">
        <f>13.02</f>
        <v>13.02</v>
      </c>
      <c r="C2286">
        <f>20.6145</f>
        <v>20.6145</v>
      </c>
      <c r="D2286">
        <f>12.47</f>
        <v>12.47</v>
      </c>
      <c r="E2286">
        <f>17.72</f>
        <v>17.72</v>
      </c>
    </row>
    <row r="2287" spans="1:5" x14ac:dyDescent="0.2">
      <c r="A2287" s="1">
        <v>41954</v>
      </c>
      <c r="B2287">
        <f>12.92</f>
        <v>12.92</v>
      </c>
      <c r="C2287">
        <f>18.2589</f>
        <v>18.258900000000001</v>
      </c>
      <c r="D2287">
        <f>12.02</f>
        <v>12.02</v>
      </c>
      <c r="E2287">
        <f>17.5</f>
        <v>17.5</v>
      </c>
    </row>
    <row r="2288" spans="1:5" x14ac:dyDescent="0.2">
      <c r="A2288" s="1">
        <v>41953</v>
      </c>
      <c r="B2288">
        <f>12.67</f>
        <v>12.67</v>
      </c>
      <c r="C2288">
        <f>19.1799</f>
        <v>19.1799</v>
      </c>
      <c r="D2288">
        <f>12.45</f>
        <v>12.45</v>
      </c>
      <c r="E2288">
        <f>17.51</f>
        <v>17.510000000000002</v>
      </c>
    </row>
    <row r="2289" spans="1:5" x14ac:dyDescent="0.2">
      <c r="A2289" s="1">
        <v>41950</v>
      </c>
      <c r="B2289">
        <f>13.12</f>
        <v>13.12</v>
      </c>
      <c r="C2289">
        <f>21.1162</f>
        <v>21.116199999999999</v>
      </c>
      <c r="D2289">
        <f>12.83</f>
        <v>12.83</v>
      </c>
      <c r="E2289">
        <f>17.46</f>
        <v>17.46</v>
      </c>
    </row>
    <row r="2290" spans="1:5" x14ac:dyDescent="0.2">
      <c r="A2290" s="1">
        <v>41949</v>
      </c>
      <c r="B2290">
        <f>13.67</f>
        <v>13.67</v>
      </c>
      <c r="C2290">
        <f>20.7181</f>
        <v>20.7181</v>
      </c>
      <c r="D2290">
        <f>13.12</f>
        <v>13.12</v>
      </c>
      <c r="E2290">
        <f>17.82</f>
        <v>17.82</v>
      </c>
    </row>
    <row r="2291" spans="1:5" x14ac:dyDescent="0.2">
      <c r="A2291" s="1">
        <v>41948</v>
      </c>
      <c r="B2291">
        <f>14.17</f>
        <v>14.17</v>
      </c>
      <c r="C2291">
        <f>21.9455</f>
        <v>21.945499999999999</v>
      </c>
      <c r="D2291">
        <f>14.59</f>
        <v>14.59</v>
      </c>
      <c r="E2291">
        <f>17.78</f>
        <v>17.78</v>
      </c>
    </row>
    <row r="2292" spans="1:5" x14ac:dyDescent="0.2">
      <c r="A2292" s="1">
        <v>41947</v>
      </c>
      <c r="B2292">
        <f>14.89</f>
        <v>14.89</v>
      </c>
      <c r="C2292">
        <f>22.8946</f>
        <v>22.894600000000001</v>
      </c>
      <c r="D2292">
        <f>15.8</f>
        <v>15.8</v>
      </c>
      <c r="E2292">
        <f>17.84</f>
        <v>17.84</v>
      </c>
    </row>
    <row r="2293" spans="1:5" x14ac:dyDescent="0.2">
      <c r="A2293" s="1">
        <v>41946</v>
      </c>
      <c r="B2293">
        <f>14.73</f>
        <v>14.73</v>
      </c>
      <c r="C2293">
        <f>21.364</f>
        <v>21.364000000000001</v>
      </c>
      <c r="D2293">
        <f>14.9</f>
        <v>14.9</v>
      </c>
      <c r="E2293">
        <f>17.48</f>
        <v>17.48</v>
      </c>
    </row>
    <row r="2294" spans="1:5" x14ac:dyDescent="0.2">
      <c r="A2294" s="1">
        <v>41943</v>
      </c>
      <c r="B2294">
        <f>14.03</f>
        <v>14.03</v>
      </c>
      <c r="C2294">
        <f>20.3172</f>
        <v>20.3172</v>
      </c>
      <c r="D2294">
        <f>14.43</f>
        <v>14.43</v>
      </c>
      <c r="E2294">
        <f>17.55</f>
        <v>17.55</v>
      </c>
    </row>
    <row r="2295" spans="1:5" x14ac:dyDescent="0.2">
      <c r="A2295" s="1">
        <v>41942</v>
      </c>
      <c r="B2295">
        <f>14.52</f>
        <v>14.52</v>
      </c>
      <c r="C2295">
        <f>20.8846</f>
        <v>20.884599999999999</v>
      </c>
      <c r="D2295">
        <f>15.08</f>
        <v>15.08</v>
      </c>
      <c r="E2295">
        <f>18.08</f>
        <v>18.079999999999998</v>
      </c>
    </row>
    <row r="2296" spans="1:5" x14ac:dyDescent="0.2">
      <c r="A2296" s="1">
        <v>41941</v>
      </c>
      <c r="B2296">
        <f>15.15</f>
        <v>15.15</v>
      </c>
      <c r="C2296">
        <f>20.7403</f>
        <v>20.740300000000001</v>
      </c>
      <c r="D2296">
        <f>14.84</f>
        <v>14.84</v>
      </c>
      <c r="E2296">
        <f>17.63</f>
        <v>17.63</v>
      </c>
    </row>
    <row r="2297" spans="1:5" x14ac:dyDescent="0.2">
      <c r="A2297" s="1">
        <v>41940</v>
      </c>
      <c r="B2297">
        <f>14.39</f>
        <v>14.39</v>
      </c>
      <c r="C2297">
        <f>20.4123</f>
        <v>20.412299999999998</v>
      </c>
      <c r="D2297">
        <f>15.46</f>
        <v>15.46</v>
      </c>
      <c r="E2297">
        <f>18.08</f>
        <v>18.079999999999998</v>
      </c>
    </row>
    <row r="2298" spans="1:5" x14ac:dyDescent="0.2">
      <c r="A2298" s="1">
        <v>41939</v>
      </c>
      <c r="B2298">
        <f>16.04</f>
        <v>16.04</v>
      </c>
      <c r="C2298">
        <f>23.0205</f>
        <v>23.020499999999998</v>
      </c>
      <c r="D2298">
        <f>17.27</f>
        <v>17.27</v>
      </c>
      <c r="E2298">
        <f>19.15</f>
        <v>19.149999999999999</v>
      </c>
    </row>
    <row r="2299" spans="1:5" x14ac:dyDescent="0.2">
      <c r="A2299" s="1">
        <v>41936</v>
      </c>
      <c r="B2299">
        <f>16.11</f>
        <v>16.11</v>
      </c>
      <c r="C2299">
        <f>21.3229</f>
        <v>21.322900000000001</v>
      </c>
      <c r="D2299">
        <f>15.82</f>
        <v>15.82</v>
      </c>
      <c r="E2299">
        <f>18.91</f>
        <v>18.91</v>
      </c>
    </row>
    <row r="2300" spans="1:5" x14ac:dyDescent="0.2">
      <c r="A2300" s="1">
        <v>41935</v>
      </c>
      <c r="B2300">
        <f>16.53</f>
        <v>16.53</v>
      </c>
      <c r="C2300">
        <f>20.8792</f>
        <v>20.879200000000001</v>
      </c>
      <c r="D2300">
        <f>15.38</f>
        <v>15.38</v>
      </c>
      <c r="E2300">
        <f>18.93</f>
        <v>18.93</v>
      </c>
    </row>
    <row r="2301" spans="1:5" x14ac:dyDescent="0.2">
      <c r="A2301" s="1">
        <v>41934</v>
      </c>
      <c r="B2301">
        <f>17.87</f>
        <v>17.87</v>
      </c>
      <c r="C2301">
        <f>21.6951</f>
        <v>21.6951</v>
      </c>
      <c r="D2301">
        <f>15.59</f>
        <v>15.59</v>
      </c>
      <c r="E2301">
        <f>18.76</f>
        <v>18.760000000000002</v>
      </c>
    </row>
    <row r="2302" spans="1:5" x14ac:dyDescent="0.2">
      <c r="A2302" s="1">
        <v>41933</v>
      </c>
      <c r="B2302">
        <f>16.08</f>
        <v>16.079999999999998</v>
      </c>
      <c r="C2302">
        <f>22.2422</f>
        <v>22.2422</v>
      </c>
      <c r="D2302">
        <f>16.71</f>
        <v>16.71</v>
      </c>
      <c r="E2302">
        <f>18.42</f>
        <v>18.420000000000002</v>
      </c>
    </row>
    <row r="2303" spans="1:5" x14ac:dyDescent="0.2">
      <c r="A2303" s="1">
        <v>41932</v>
      </c>
      <c r="B2303">
        <f>18.57</f>
        <v>18.57</v>
      </c>
      <c r="C2303">
        <f>25.1853</f>
        <v>25.185300000000002</v>
      </c>
      <c r="D2303">
        <f>19.88</f>
        <v>19.88</v>
      </c>
      <c r="E2303">
        <f>19.13</f>
        <v>19.13</v>
      </c>
    </row>
    <row r="2304" spans="1:5" x14ac:dyDescent="0.2">
      <c r="A2304" s="1">
        <v>41929</v>
      </c>
      <c r="B2304">
        <f>21.99</f>
        <v>21.99</v>
      </c>
      <c r="C2304">
        <f>25.3527</f>
        <v>25.352699999999999</v>
      </c>
      <c r="D2304">
        <f>19.33</f>
        <v>19.329999999999998</v>
      </c>
      <c r="E2304">
        <f>18.89</f>
        <v>18.89</v>
      </c>
    </row>
    <row r="2305" spans="1:5" x14ac:dyDescent="0.2">
      <c r="A2305" s="1">
        <v>41928</v>
      </c>
      <c r="B2305">
        <f>25.2</f>
        <v>25.2</v>
      </c>
      <c r="C2305">
        <f>31.5233</f>
        <v>31.523299999999999</v>
      </c>
      <c r="D2305">
        <f>24.64</f>
        <v>24.64</v>
      </c>
      <c r="E2305">
        <f>19.73</f>
        <v>19.73</v>
      </c>
    </row>
    <row r="2306" spans="1:5" x14ac:dyDescent="0.2">
      <c r="A2306" s="1">
        <v>41927</v>
      </c>
      <c r="B2306">
        <f>26.25</f>
        <v>26.25</v>
      </c>
      <c r="C2306">
        <f>28.7576</f>
        <v>28.7576</v>
      </c>
      <c r="D2306">
        <f>24.21</f>
        <v>24.21</v>
      </c>
      <c r="E2306">
        <f>19.84</f>
        <v>19.84</v>
      </c>
    </row>
    <row r="2307" spans="1:5" x14ac:dyDescent="0.2">
      <c r="A2307" s="1">
        <v>41926</v>
      </c>
      <c r="B2307">
        <f>22.79</f>
        <v>22.79</v>
      </c>
      <c r="C2307">
        <f>23.3811</f>
        <v>23.3811</v>
      </c>
      <c r="D2307">
        <f>17.96</f>
        <v>17.96</v>
      </c>
      <c r="E2307">
        <f>19.07</f>
        <v>19.07</v>
      </c>
    </row>
    <row r="2308" spans="1:5" x14ac:dyDescent="0.2">
      <c r="A2308" s="1">
        <v>41925</v>
      </c>
      <c r="B2308">
        <f>24.64</f>
        <v>24.64</v>
      </c>
      <c r="C2308">
        <f>23.4966</f>
        <v>23.496600000000001</v>
      </c>
      <c r="D2308">
        <f>18.44</f>
        <v>18.440000000000001</v>
      </c>
      <c r="E2308">
        <f>18.43</f>
        <v>18.43</v>
      </c>
    </row>
    <row r="2309" spans="1:5" x14ac:dyDescent="0.2">
      <c r="A2309" s="1">
        <v>41922</v>
      </c>
      <c r="B2309">
        <f>21.24</f>
        <v>21.24</v>
      </c>
      <c r="C2309">
        <f>23.1168</f>
        <v>23.116800000000001</v>
      </c>
      <c r="D2309">
        <f>18.37</f>
        <v>18.37</v>
      </c>
      <c r="E2309">
        <f>18.7</f>
        <v>18.7</v>
      </c>
    </row>
    <row r="2310" spans="1:5" x14ac:dyDescent="0.2">
      <c r="A2310" s="1">
        <v>41921</v>
      </c>
      <c r="B2310">
        <f>18.76</f>
        <v>18.760000000000002</v>
      </c>
      <c r="C2310">
        <f>20.5162</f>
        <v>20.516200000000001</v>
      </c>
      <c r="D2310">
        <f>15.58</f>
        <v>15.58</v>
      </c>
      <c r="E2310">
        <f>17.79</f>
        <v>17.79</v>
      </c>
    </row>
    <row r="2311" spans="1:5" x14ac:dyDescent="0.2">
      <c r="A2311" s="1">
        <v>41920</v>
      </c>
      <c r="B2311">
        <f>15.11</f>
        <v>15.11</v>
      </c>
      <c r="C2311">
        <f>20.9036</f>
        <v>20.903600000000001</v>
      </c>
      <c r="D2311">
        <f>15.99</f>
        <v>15.99</v>
      </c>
      <c r="E2311">
        <f>17.79</f>
        <v>17.79</v>
      </c>
    </row>
    <row r="2312" spans="1:5" x14ac:dyDescent="0.2">
      <c r="A2312" s="1">
        <v>41919</v>
      </c>
      <c r="B2312">
        <f>17.2</f>
        <v>17.2</v>
      </c>
      <c r="C2312">
        <f>21.0076</f>
        <v>21.0076</v>
      </c>
      <c r="D2312">
        <f>15.85</f>
        <v>15.85</v>
      </c>
      <c r="E2312">
        <f>17.27</f>
        <v>17.27</v>
      </c>
    </row>
    <row r="2313" spans="1:5" x14ac:dyDescent="0.2">
      <c r="A2313" s="1">
        <v>41918</v>
      </c>
      <c r="B2313">
        <f>15.46</f>
        <v>15.46</v>
      </c>
      <c r="C2313">
        <f>19.7614</f>
        <v>19.761399999999998</v>
      </c>
      <c r="D2313">
        <f>14.85</f>
        <v>14.85</v>
      </c>
      <c r="E2313">
        <f>16.99</f>
        <v>16.989999999999998</v>
      </c>
    </row>
    <row r="2314" spans="1:5" x14ac:dyDescent="0.2">
      <c r="A2314" s="1">
        <v>41915</v>
      </c>
      <c r="B2314">
        <f>14.55</f>
        <v>14.55</v>
      </c>
      <c r="C2314">
        <f>19.695</f>
        <v>19.695</v>
      </c>
      <c r="D2314">
        <f>15.86</f>
        <v>15.86</v>
      </c>
      <c r="E2314">
        <f>17.52</f>
        <v>17.52</v>
      </c>
    </row>
    <row r="2315" spans="1:5" x14ac:dyDescent="0.2">
      <c r="A2315" s="1">
        <v>41914</v>
      </c>
      <c r="B2315">
        <f>16.16</f>
        <v>16.16</v>
      </c>
      <c r="C2315">
        <f>21.0788</f>
        <v>21.078800000000001</v>
      </c>
      <c r="D2315">
        <f>17.25</f>
        <v>17.25</v>
      </c>
      <c r="E2315">
        <f>17.78</f>
        <v>17.78</v>
      </c>
    </row>
    <row r="2316" spans="1:5" x14ac:dyDescent="0.2">
      <c r="A2316" s="1">
        <v>41913</v>
      </c>
      <c r="B2316">
        <f>16.71</f>
        <v>16.71</v>
      </c>
      <c r="C2316">
        <f>19.014</f>
        <v>19.013999999999999</v>
      </c>
      <c r="D2316">
        <f>15.27</f>
        <v>15.27</v>
      </c>
      <c r="E2316">
        <f>17.25</f>
        <v>17.25</v>
      </c>
    </row>
    <row r="2317" spans="1:5" x14ac:dyDescent="0.2">
      <c r="A2317" s="1">
        <v>41912</v>
      </c>
      <c r="B2317">
        <f>16.31</f>
        <v>16.309999999999999</v>
      </c>
      <c r="C2317">
        <f>17.8514</f>
        <v>17.851400000000002</v>
      </c>
      <c r="D2317">
        <f>13.89</f>
        <v>13.89</v>
      </c>
      <c r="E2317">
        <f>16.99</f>
        <v>16.989999999999998</v>
      </c>
    </row>
    <row r="2318" spans="1:5" x14ac:dyDescent="0.2">
      <c r="A2318" s="1">
        <v>41911</v>
      </c>
      <c r="B2318">
        <f>15.98</f>
        <v>15.98</v>
      </c>
      <c r="C2318">
        <f>18.7975</f>
        <v>18.797499999999999</v>
      </c>
      <c r="D2318">
        <f>14.32</f>
        <v>14.32</v>
      </c>
      <c r="E2318">
        <f>17.31</f>
        <v>17.309999999999999</v>
      </c>
    </row>
    <row r="2319" spans="1:5" x14ac:dyDescent="0.2">
      <c r="A2319" s="1">
        <v>41908</v>
      </c>
      <c r="B2319">
        <f>14.85</f>
        <v>14.85</v>
      </c>
      <c r="C2319">
        <f>17.6012</f>
        <v>17.601199999999999</v>
      </c>
      <c r="D2319">
        <f>14.2</f>
        <v>14.2</v>
      </c>
      <c r="E2319">
        <f>16.9</f>
        <v>16.899999999999999</v>
      </c>
    </row>
    <row r="2320" spans="1:5" x14ac:dyDescent="0.2">
      <c r="A2320" s="1">
        <v>41907</v>
      </c>
      <c r="B2320">
        <f>15.64</f>
        <v>15.64</v>
      </c>
      <c r="C2320">
        <f>17.5658</f>
        <v>17.565799999999999</v>
      </c>
      <c r="D2320">
        <f>14.2</f>
        <v>14.2</v>
      </c>
      <c r="E2320">
        <f>17.23</f>
        <v>17.23</v>
      </c>
    </row>
    <row r="2321" spans="1:5" x14ac:dyDescent="0.2">
      <c r="A2321" s="1">
        <v>41906</v>
      </c>
      <c r="B2321">
        <f>13.27</f>
        <v>13.27</v>
      </c>
      <c r="C2321">
        <f>15.9504</f>
        <v>15.9504</v>
      </c>
      <c r="D2321">
        <f>13.13</f>
        <v>13.13</v>
      </c>
      <c r="E2321" t="e">
        <f>NA()</f>
        <v>#N/A</v>
      </c>
    </row>
    <row r="2322" spans="1:5" x14ac:dyDescent="0.2">
      <c r="A2322" s="1">
        <v>41905</v>
      </c>
      <c r="B2322">
        <f>14.93</f>
        <v>14.93</v>
      </c>
      <c r="C2322">
        <f>17.7684</f>
        <v>17.7684</v>
      </c>
      <c r="D2322">
        <f>13.69</f>
        <v>13.69</v>
      </c>
      <c r="E2322">
        <f>15.87</f>
        <v>15.87</v>
      </c>
    </row>
    <row r="2323" spans="1:5" x14ac:dyDescent="0.2">
      <c r="A2323" s="1">
        <v>41904</v>
      </c>
      <c r="B2323">
        <f>13.69</f>
        <v>13.69</v>
      </c>
      <c r="C2323">
        <f>15.8303</f>
        <v>15.830299999999999</v>
      </c>
      <c r="D2323">
        <f>11.74</f>
        <v>11.74</v>
      </c>
      <c r="E2323">
        <f>15.59</f>
        <v>15.59</v>
      </c>
    </row>
    <row r="2324" spans="1:5" x14ac:dyDescent="0.2">
      <c r="A2324" s="1">
        <v>41901</v>
      </c>
      <c r="B2324">
        <f>12.11</f>
        <v>12.11</v>
      </c>
      <c r="C2324">
        <f>15.0596</f>
        <v>15.0596</v>
      </c>
      <c r="D2324">
        <f>10.32</f>
        <v>10.32</v>
      </c>
      <c r="E2324">
        <f>14.82</f>
        <v>14.82</v>
      </c>
    </row>
    <row r="2325" spans="1:5" x14ac:dyDescent="0.2">
      <c r="A2325" s="1">
        <v>41900</v>
      </c>
      <c r="B2325">
        <f>12.03</f>
        <v>12.03</v>
      </c>
      <c r="C2325">
        <f>16.6266</f>
        <v>16.6266</v>
      </c>
      <c r="D2325">
        <f>14.93</f>
        <v>14.93</v>
      </c>
      <c r="E2325">
        <f>16.03</f>
        <v>16.03</v>
      </c>
    </row>
    <row r="2326" spans="1:5" x14ac:dyDescent="0.2">
      <c r="A2326" s="1">
        <v>41899</v>
      </c>
      <c r="B2326">
        <f>12.65</f>
        <v>12.65</v>
      </c>
      <c r="C2326">
        <f>16.432</f>
        <v>16.431999999999999</v>
      </c>
      <c r="D2326">
        <f>14.67</f>
        <v>14.67</v>
      </c>
      <c r="E2326">
        <f>15.76</f>
        <v>15.76</v>
      </c>
    </row>
    <row r="2327" spans="1:5" x14ac:dyDescent="0.2">
      <c r="A2327" s="1">
        <v>41898</v>
      </c>
      <c r="B2327">
        <f>12.73</f>
        <v>12.73</v>
      </c>
      <c r="C2327">
        <f>17.096</f>
        <v>17.096</v>
      </c>
      <c r="D2327">
        <f>15.27</f>
        <v>15.27</v>
      </c>
      <c r="E2327">
        <f>15.24</f>
        <v>15.24</v>
      </c>
    </row>
    <row r="2328" spans="1:5" x14ac:dyDescent="0.2">
      <c r="A2328" s="1">
        <v>41897</v>
      </c>
      <c r="B2328">
        <f>14.12</f>
        <v>14.12</v>
      </c>
      <c r="C2328">
        <f>16.7209</f>
        <v>16.7209</v>
      </c>
      <c r="D2328">
        <f>15.17</f>
        <v>15.17</v>
      </c>
      <c r="E2328">
        <f>14.98</f>
        <v>14.98</v>
      </c>
    </row>
    <row r="2329" spans="1:5" x14ac:dyDescent="0.2">
      <c r="A2329" s="1">
        <v>41894</v>
      </c>
      <c r="B2329">
        <f>13.31</f>
        <v>13.31</v>
      </c>
      <c r="C2329">
        <f>15.9108</f>
        <v>15.9108</v>
      </c>
      <c r="D2329">
        <f>14.57</f>
        <v>14.57</v>
      </c>
      <c r="E2329">
        <f>14.98</f>
        <v>14.98</v>
      </c>
    </row>
    <row r="2330" spans="1:5" x14ac:dyDescent="0.2">
      <c r="A2330" s="1">
        <v>41893</v>
      </c>
      <c r="B2330">
        <f>12.8</f>
        <v>12.8</v>
      </c>
      <c r="C2330">
        <f>16.6097</f>
        <v>16.6097</v>
      </c>
      <c r="D2330">
        <f>15.23</f>
        <v>15.23</v>
      </c>
      <c r="E2330">
        <f>14.97</f>
        <v>14.97</v>
      </c>
    </row>
    <row r="2331" spans="1:5" x14ac:dyDescent="0.2">
      <c r="A2331" s="1">
        <v>41892</v>
      </c>
      <c r="B2331">
        <f>12.88</f>
        <v>12.88</v>
      </c>
      <c r="C2331">
        <f>16.4187</f>
        <v>16.418700000000001</v>
      </c>
      <c r="D2331">
        <f>15.63</f>
        <v>15.63</v>
      </c>
      <c r="E2331">
        <f>14.97</f>
        <v>14.97</v>
      </c>
    </row>
    <row r="2332" spans="1:5" x14ac:dyDescent="0.2">
      <c r="A2332" s="1">
        <v>41891</v>
      </c>
      <c r="B2332">
        <f>13.5</f>
        <v>13.5</v>
      </c>
      <c r="C2332">
        <f>15.878</f>
        <v>15.878</v>
      </c>
      <c r="D2332">
        <f>15.64</f>
        <v>15.64</v>
      </c>
      <c r="E2332">
        <f>14.96</f>
        <v>14.96</v>
      </c>
    </row>
    <row r="2333" spans="1:5" x14ac:dyDescent="0.2">
      <c r="A2333" s="1">
        <v>41890</v>
      </c>
      <c r="B2333">
        <f>12.66</f>
        <v>12.66</v>
      </c>
      <c r="C2333">
        <f>15.8479</f>
        <v>15.847899999999999</v>
      </c>
      <c r="D2333">
        <f>15.65</f>
        <v>15.65</v>
      </c>
      <c r="E2333">
        <f>14.71</f>
        <v>14.71</v>
      </c>
    </row>
    <row r="2334" spans="1:5" x14ac:dyDescent="0.2">
      <c r="A2334" s="1">
        <v>41887</v>
      </c>
      <c r="B2334">
        <f>12.09</f>
        <v>12.09</v>
      </c>
      <c r="C2334">
        <f>15.4702</f>
        <v>15.4702</v>
      </c>
      <c r="D2334">
        <f>13.27</f>
        <v>13.27</v>
      </c>
      <c r="E2334">
        <f>14.98</f>
        <v>14.98</v>
      </c>
    </row>
    <row r="2335" spans="1:5" x14ac:dyDescent="0.2">
      <c r="A2335" s="1">
        <v>41886</v>
      </c>
      <c r="B2335">
        <f>12.64</f>
        <v>12.64</v>
      </c>
      <c r="C2335">
        <f>16.161</f>
        <v>16.161000000000001</v>
      </c>
      <c r="D2335">
        <f>12.43</f>
        <v>12.43</v>
      </c>
      <c r="E2335">
        <f>14.45</f>
        <v>14.45</v>
      </c>
    </row>
    <row r="2336" spans="1:5" x14ac:dyDescent="0.2">
      <c r="A2336" s="1">
        <v>41885</v>
      </c>
      <c r="B2336">
        <f>12.36</f>
        <v>12.36</v>
      </c>
      <c r="C2336">
        <f>16.8103</f>
        <v>16.810300000000002</v>
      </c>
      <c r="D2336">
        <f>11.63</f>
        <v>11.63</v>
      </c>
      <c r="E2336">
        <f>14.72</f>
        <v>14.72</v>
      </c>
    </row>
    <row r="2337" spans="1:5" x14ac:dyDescent="0.2">
      <c r="A2337" s="1">
        <v>41884</v>
      </c>
      <c r="B2337">
        <f>12.25</f>
        <v>12.25</v>
      </c>
      <c r="C2337">
        <f>17.835</f>
        <v>17.835000000000001</v>
      </c>
      <c r="D2337">
        <f>12.54</f>
        <v>12.54</v>
      </c>
      <c r="E2337">
        <f>15.23</f>
        <v>15.23</v>
      </c>
    </row>
    <row r="2338" spans="1:5" x14ac:dyDescent="0.2">
      <c r="A2338" s="1">
        <v>41883</v>
      </c>
      <c r="B2338" t="e">
        <f>NA()</f>
        <v>#N/A</v>
      </c>
      <c r="C2338">
        <f>17.7323</f>
        <v>17.732299999999999</v>
      </c>
      <c r="D2338">
        <f>11.8</f>
        <v>11.8</v>
      </c>
      <c r="E2338">
        <f>15.5</f>
        <v>15.5</v>
      </c>
    </row>
    <row r="2339" spans="1:5" x14ac:dyDescent="0.2">
      <c r="A2339" s="1">
        <v>41880</v>
      </c>
      <c r="B2339">
        <f>11.98</f>
        <v>11.98</v>
      </c>
      <c r="C2339">
        <f>17.1888</f>
        <v>17.188800000000001</v>
      </c>
      <c r="D2339">
        <f>11.69</f>
        <v>11.69</v>
      </c>
      <c r="E2339">
        <f>15.51</f>
        <v>15.51</v>
      </c>
    </row>
    <row r="2340" spans="1:5" x14ac:dyDescent="0.2">
      <c r="A2340" s="1">
        <v>41879</v>
      </c>
      <c r="B2340">
        <f>12.05</f>
        <v>12.05</v>
      </c>
      <c r="C2340">
        <f>17.2795</f>
        <v>17.279499999999999</v>
      </c>
      <c r="D2340">
        <f>11.45</f>
        <v>11.45</v>
      </c>
      <c r="E2340">
        <f>15.74</f>
        <v>15.74</v>
      </c>
    </row>
    <row r="2341" spans="1:5" x14ac:dyDescent="0.2">
      <c r="A2341" s="1">
        <v>41878</v>
      </c>
      <c r="B2341">
        <f>11.78</f>
        <v>11.78</v>
      </c>
      <c r="C2341">
        <f>16.1061</f>
        <v>16.106100000000001</v>
      </c>
      <c r="D2341">
        <f>10.53</f>
        <v>10.53</v>
      </c>
      <c r="E2341">
        <f>15.48</f>
        <v>15.48</v>
      </c>
    </row>
    <row r="2342" spans="1:5" x14ac:dyDescent="0.2">
      <c r="A2342" s="1">
        <v>41877</v>
      </c>
      <c r="B2342">
        <f>11.63</f>
        <v>11.63</v>
      </c>
      <c r="C2342">
        <f>15.8972</f>
        <v>15.8972</v>
      </c>
      <c r="D2342">
        <f>10.85</f>
        <v>10.85</v>
      </c>
      <c r="E2342">
        <f>15.48</f>
        <v>15.48</v>
      </c>
    </row>
    <row r="2343" spans="1:5" x14ac:dyDescent="0.2">
      <c r="A2343" s="1">
        <v>41876</v>
      </c>
      <c r="B2343">
        <f>11.7</f>
        <v>11.7</v>
      </c>
      <c r="C2343">
        <f>16.4519</f>
        <v>16.451899999999998</v>
      </c>
      <c r="D2343" t="e">
        <f>NA()</f>
        <v>#N/A</v>
      </c>
      <c r="E2343">
        <f>15.97</f>
        <v>15.97</v>
      </c>
    </row>
    <row r="2344" spans="1:5" x14ac:dyDescent="0.2">
      <c r="A2344" s="1">
        <v>41873</v>
      </c>
      <c r="B2344">
        <f>11.47</f>
        <v>11.47</v>
      </c>
      <c r="C2344">
        <f>17.2349</f>
        <v>17.2349</v>
      </c>
      <c r="D2344">
        <f>11.14</f>
        <v>11.14</v>
      </c>
      <c r="E2344">
        <f>15.73</f>
        <v>15.73</v>
      </c>
    </row>
    <row r="2345" spans="1:5" x14ac:dyDescent="0.2">
      <c r="A2345" s="1">
        <v>41872</v>
      </c>
      <c r="B2345">
        <f>11.76</f>
        <v>11.76</v>
      </c>
      <c r="C2345">
        <f>16.0345</f>
        <v>16.034500000000001</v>
      </c>
      <c r="D2345">
        <f>10.84</f>
        <v>10.84</v>
      </c>
      <c r="E2345">
        <f>15.71</f>
        <v>15.71</v>
      </c>
    </row>
    <row r="2346" spans="1:5" x14ac:dyDescent="0.2">
      <c r="A2346" s="1">
        <v>41871</v>
      </c>
      <c r="B2346">
        <f>11.78</f>
        <v>11.78</v>
      </c>
      <c r="C2346">
        <f>16.7278</f>
        <v>16.727799999999998</v>
      </c>
      <c r="D2346">
        <f>11.82</f>
        <v>11.82</v>
      </c>
      <c r="E2346">
        <f>15.48</f>
        <v>15.48</v>
      </c>
    </row>
    <row r="2347" spans="1:5" x14ac:dyDescent="0.2">
      <c r="A2347" s="1">
        <v>41870</v>
      </c>
      <c r="B2347">
        <f>12.21</f>
        <v>12.21</v>
      </c>
      <c r="C2347">
        <f>16.3083</f>
        <v>16.308299999999999</v>
      </c>
      <c r="D2347">
        <f>11.41</f>
        <v>11.41</v>
      </c>
      <c r="E2347">
        <f>15.45</f>
        <v>15.45</v>
      </c>
    </row>
    <row r="2348" spans="1:5" x14ac:dyDescent="0.2">
      <c r="A2348" s="1">
        <v>41869</v>
      </c>
      <c r="B2348">
        <f>12.32</f>
        <v>12.32</v>
      </c>
      <c r="C2348">
        <f>17.0294</f>
        <v>17.029399999999999</v>
      </c>
      <c r="D2348">
        <f>11.53</f>
        <v>11.53</v>
      </c>
      <c r="E2348">
        <f>15.42</f>
        <v>15.42</v>
      </c>
    </row>
    <row r="2349" spans="1:5" x14ac:dyDescent="0.2">
      <c r="A2349" s="1">
        <v>41866</v>
      </c>
      <c r="B2349">
        <f>13.15</f>
        <v>13.15</v>
      </c>
      <c r="C2349">
        <f>20.3569</f>
        <v>20.3569</v>
      </c>
      <c r="D2349">
        <f>13.83</f>
        <v>13.83</v>
      </c>
      <c r="E2349">
        <f>15.71</f>
        <v>15.71</v>
      </c>
    </row>
    <row r="2350" spans="1:5" x14ac:dyDescent="0.2">
      <c r="A2350" s="1">
        <v>41865</v>
      </c>
      <c r="B2350">
        <f>12.42</f>
        <v>12.42</v>
      </c>
      <c r="C2350">
        <f>17.2978</f>
        <v>17.297799999999999</v>
      </c>
      <c r="D2350">
        <f>11.94</f>
        <v>11.94</v>
      </c>
      <c r="E2350">
        <f>15.25</f>
        <v>15.25</v>
      </c>
    </row>
    <row r="2351" spans="1:5" x14ac:dyDescent="0.2">
      <c r="A2351" s="1">
        <v>41864</v>
      </c>
      <c r="B2351">
        <f>12.9</f>
        <v>12.9</v>
      </c>
      <c r="C2351">
        <f>18.2314</f>
        <v>18.231400000000001</v>
      </c>
      <c r="D2351">
        <f>12.58</f>
        <v>12.58</v>
      </c>
      <c r="E2351">
        <f>15.25</f>
        <v>15.25</v>
      </c>
    </row>
    <row r="2352" spans="1:5" x14ac:dyDescent="0.2">
      <c r="A2352" s="1">
        <v>41863</v>
      </c>
      <c r="B2352">
        <f>14.13</f>
        <v>14.13</v>
      </c>
      <c r="C2352">
        <f>19.562</f>
        <v>19.562000000000001</v>
      </c>
      <c r="D2352">
        <f>14.38</f>
        <v>14.38</v>
      </c>
      <c r="E2352">
        <f>14.99</f>
        <v>14.99</v>
      </c>
    </row>
    <row r="2353" spans="1:5" x14ac:dyDescent="0.2">
      <c r="A2353" s="1">
        <v>41862</v>
      </c>
      <c r="B2353">
        <f>14.23</f>
        <v>14.23</v>
      </c>
      <c r="C2353">
        <f>19.4288</f>
        <v>19.428799999999999</v>
      </c>
      <c r="D2353">
        <f>14.25</f>
        <v>14.25</v>
      </c>
      <c r="E2353">
        <f>14.99</f>
        <v>14.99</v>
      </c>
    </row>
    <row r="2354" spans="1:5" x14ac:dyDescent="0.2">
      <c r="A2354" s="1">
        <v>41859</v>
      </c>
      <c r="B2354">
        <f>15.77</f>
        <v>15.77</v>
      </c>
      <c r="C2354">
        <f>21.2386</f>
        <v>21.238600000000002</v>
      </c>
      <c r="D2354">
        <f>16.08</f>
        <v>16.079999999999998</v>
      </c>
      <c r="E2354">
        <f>15.47</f>
        <v>15.47</v>
      </c>
    </row>
    <row r="2355" spans="1:5" x14ac:dyDescent="0.2">
      <c r="A2355" s="1">
        <v>41858</v>
      </c>
      <c r="B2355">
        <f>16.66</f>
        <v>16.66</v>
      </c>
      <c r="C2355">
        <f>20.7973</f>
        <v>20.7973</v>
      </c>
      <c r="D2355">
        <f>15.35</f>
        <v>15.35</v>
      </c>
      <c r="E2355">
        <f>15.46</f>
        <v>15.46</v>
      </c>
    </row>
    <row r="2356" spans="1:5" x14ac:dyDescent="0.2">
      <c r="A2356" s="1">
        <v>41857</v>
      </c>
      <c r="B2356">
        <f>16.37</f>
        <v>16.37</v>
      </c>
      <c r="C2356">
        <f>19.1494</f>
        <v>19.1494</v>
      </c>
      <c r="D2356">
        <f>14.5</f>
        <v>14.5</v>
      </c>
      <c r="E2356">
        <f>15.2</f>
        <v>15.2</v>
      </c>
    </row>
    <row r="2357" spans="1:5" x14ac:dyDescent="0.2">
      <c r="A2357" s="1">
        <v>41856</v>
      </c>
      <c r="B2357">
        <f>16.87</f>
        <v>16.87</v>
      </c>
      <c r="C2357">
        <f>18.4436</f>
        <v>18.4436</v>
      </c>
      <c r="D2357">
        <f>13.85</f>
        <v>13.85</v>
      </c>
      <c r="E2357">
        <f>14.77</f>
        <v>14.77</v>
      </c>
    </row>
    <row r="2358" spans="1:5" x14ac:dyDescent="0.2">
      <c r="A2358" s="1">
        <v>41855</v>
      </c>
      <c r="B2358">
        <f>15.12</f>
        <v>15.12</v>
      </c>
      <c r="C2358">
        <f>19.094</f>
        <v>19.094000000000001</v>
      </c>
      <c r="D2358">
        <f>14.68</f>
        <v>14.68</v>
      </c>
      <c r="E2358">
        <f>14.76</f>
        <v>14.76</v>
      </c>
    </row>
    <row r="2359" spans="1:5" x14ac:dyDescent="0.2">
      <c r="A2359" s="1">
        <v>41852</v>
      </c>
      <c r="B2359">
        <f>17.03</f>
        <v>17.03</v>
      </c>
      <c r="C2359">
        <f>19.8142</f>
        <v>19.8142</v>
      </c>
      <c r="D2359">
        <f>15.13</f>
        <v>15.13</v>
      </c>
      <c r="E2359">
        <f>15.01</f>
        <v>15.01</v>
      </c>
    </row>
    <row r="2360" spans="1:5" x14ac:dyDescent="0.2">
      <c r="A2360" s="1">
        <v>41851</v>
      </c>
      <c r="B2360">
        <f>16.95</f>
        <v>16.95</v>
      </c>
      <c r="C2360">
        <f>19.1221</f>
        <v>19.1221</v>
      </c>
      <c r="D2360">
        <f>13.98</f>
        <v>13.98</v>
      </c>
      <c r="E2360">
        <f>14.71</f>
        <v>14.71</v>
      </c>
    </row>
    <row r="2361" spans="1:5" x14ac:dyDescent="0.2">
      <c r="A2361" s="1">
        <v>41850</v>
      </c>
      <c r="B2361">
        <f>13.33</f>
        <v>13.33</v>
      </c>
      <c r="C2361">
        <f>17.4831</f>
        <v>17.4831</v>
      </c>
      <c r="D2361">
        <f>12.7</f>
        <v>12.7</v>
      </c>
      <c r="E2361">
        <f>14.44</f>
        <v>14.44</v>
      </c>
    </row>
    <row r="2362" spans="1:5" x14ac:dyDescent="0.2">
      <c r="A2362" s="1">
        <v>41849</v>
      </c>
      <c r="B2362">
        <f>13.28</f>
        <v>13.28</v>
      </c>
      <c r="C2362">
        <f>16.7601</f>
        <v>16.760100000000001</v>
      </c>
      <c r="D2362">
        <f>11.75</f>
        <v>11.75</v>
      </c>
      <c r="E2362">
        <f>14.73</f>
        <v>14.73</v>
      </c>
    </row>
    <row r="2363" spans="1:5" x14ac:dyDescent="0.2">
      <c r="A2363" s="1">
        <v>41848</v>
      </c>
      <c r="B2363">
        <f>12.56</f>
        <v>12.56</v>
      </c>
      <c r="C2363">
        <f>17.0697</f>
        <v>17.069700000000001</v>
      </c>
      <c r="D2363">
        <f>12.3</f>
        <v>12.3</v>
      </c>
      <c r="E2363">
        <f>13.72</f>
        <v>13.72</v>
      </c>
    </row>
    <row r="2364" spans="1:5" x14ac:dyDescent="0.2">
      <c r="A2364" s="1">
        <v>41845</v>
      </c>
      <c r="B2364">
        <f>12.69</f>
        <v>12.69</v>
      </c>
      <c r="C2364">
        <f>16.7309</f>
        <v>16.730899999999998</v>
      </c>
      <c r="D2364">
        <f>11.95</f>
        <v>11.95</v>
      </c>
      <c r="E2364">
        <f>13.72</f>
        <v>13.72</v>
      </c>
    </row>
    <row r="2365" spans="1:5" x14ac:dyDescent="0.2">
      <c r="A2365" s="1">
        <v>41844</v>
      </c>
      <c r="B2365">
        <f>11.84</f>
        <v>11.84</v>
      </c>
      <c r="C2365">
        <f>14.8523</f>
        <v>14.8523</v>
      </c>
      <c r="D2365">
        <f>11.12</f>
        <v>11.12</v>
      </c>
      <c r="E2365">
        <f>13.68</f>
        <v>13.68</v>
      </c>
    </row>
    <row r="2366" spans="1:5" x14ac:dyDescent="0.2">
      <c r="A2366" s="1">
        <v>41843</v>
      </c>
      <c r="B2366">
        <f>11.52</f>
        <v>11.52</v>
      </c>
      <c r="C2366">
        <f>15.5898</f>
        <v>15.5898</v>
      </c>
      <c r="D2366">
        <f>11.62</f>
        <v>11.62</v>
      </c>
      <c r="E2366">
        <f>13.41</f>
        <v>13.41</v>
      </c>
    </row>
    <row r="2367" spans="1:5" x14ac:dyDescent="0.2">
      <c r="A2367" s="1">
        <v>41842</v>
      </c>
      <c r="B2367">
        <f>12.24</f>
        <v>12.24</v>
      </c>
      <c r="C2367">
        <f>15.6723</f>
        <v>15.6723</v>
      </c>
      <c r="D2367">
        <f>11.54</f>
        <v>11.54</v>
      </c>
      <c r="E2367">
        <f>13.4</f>
        <v>13.4</v>
      </c>
    </row>
    <row r="2368" spans="1:5" x14ac:dyDescent="0.2">
      <c r="A2368" s="1">
        <v>41841</v>
      </c>
      <c r="B2368">
        <f>12.81</f>
        <v>12.81</v>
      </c>
      <c r="C2368">
        <f>17.7222</f>
        <v>17.722200000000001</v>
      </c>
      <c r="D2368">
        <f>12.77</f>
        <v>12.77</v>
      </c>
      <c r="E2368">
        <f>13.65</f>
        <v>13.65</v>
      </c>
    </row>
    <row r="2369" spans="1:5" x14ac:dyDescent="0.2">
      <c r="A2369" s="1">
        <v>41838</v>
      </c>
      <c r="B2369">
        <f>12.06</f>
        <v>12.06</v>
      </c>
      <c r="C2369">
        <f>16.5305</f>
        <v>16.5305</v>
      </c>
      <c r="D2369">
        <f>12.42</f>
        <v>12.42</v>
      </c>
      <c r="E2369">
        <f>13.39</f>
        <v>13.39</v>
      </c>
    </row>
    <row r="2370" spans="1:5" x14ac:dyDescent="0.2">
      <c r="A2370" s="1">
        <v>41837</v>
      </c>
      <c r="B2370">
        <f>14.54</f>
        <v>14.54</v>
      </c>
      <c r="C2370">
        <f>17.6468</f>
        <v>17.646799999999999</v>
      </c>
      <c r="D2370">
        <f>12.67</f>
        <v>12.67</v>
      </c>
      <c r="E2370">
        <f>13.09</f>
        <v>13.09</v>
      </c>
    </row>
    <row r="2371" spans="1:5" x14ac:dyDescent="0.2">
      <c r="A2371" s="1">
        <v>41836</v>
      </c>
      <c r="B2371">
        <f>11</f>
        <v>11</v>
      </c>
      <c r="C2371">
        <f>14.8111</f>
        <v>14.8111</v>
      </c>
      <c r="D2371">
        <f>11.46</f>
        <v>11.46</v>
      </c>
      <c r="E2371">
        <f>13.08</f>
        <v>13.08</v>
      </c>
    </row>
    <row r="2372" spans="1:5" x14ac:dyDescent="0.2">
      <c r="A2372" s="1">
        <v>41835</v>
      </c>
      <c r="B2372">
        <f>11.96</f>
        <v>11.96</v>
      </c>
      <c r="C2372">
        <f>15.8707</f>
        <v>15.870699999999999</v>
      </c>
      <c r="D2372">
        <f>12.23</f>
        <v>12.23</v>
      </c>
      <c r="E2372">
        <f>13.37</f>
        <v>13.37</v>
      </c>
    </row>
    <row r="2373" spans="1:5" x14ac:dyDescent="0.2">
      <c r="A2373" s="1">
        <v>41834</v>
      </c>
      <c r="B2373">
        <f>11.82</f>
        <v>11.82</v>
      </c>
      <c r="C2373">
        <f>14.9871</f>
        <v>14.9871</v>
      </c>
      <c r="D2373">
        <f>11.18</f>
        <v>11.18</v>
      </c>
      <c r="E2373">
        <f>13.36</f>
        <v>13.36</v>
      </c>
    </row>
    <row r="2374" spans="1:5" x14ac:dyDescent="0.2">
      <c r="A2374" s="1">
        <v>41831</v>
      </c>
      <c r="B2374">
        <f>12.08</f>
        <v>12.08</v>
      </c>
      <c r="C2374">
        <f>16.3382</f>
        <v>16.338200000000001</v>
      </c>
      <c r="D2374">
        <f>11.99</f>
        <v>11.99</v>
      </c>
      <c r="E2374">
        <f>14.14</f>
        <v>14.14</v>
      </c>
    </row>
    <row r="2375" spans="1:5" x14ac:dyDescent="0.2">
      <c r="A2375" s="1">
        <v>41830</v>
      </c>
      <c r="B2375">
        <f>12.59</f>
        <v>12.59</v>
      </c>
      <c r="C2375">
        <f>16.6584</f>
        <v>16.6584</v>
      </c>
      <c r="D2375">
        <f>12.73</f>
        <v>12.73</v>
      </c>
      <c r="E2375">
        <f>13.8</f>
        <v>13.8</v>
      </c>
    </row>
    <row r="2376" spans="1:5" x14ac:dyDescent="0.2">
      <c r="A2376" s="1">
        <v>41829</v>
      </c>
      <c r="B2376">
        <f>11.65</f>
        <v>11.65</v>
      </c>
      <c r="C2376">
        <f>15.092</f>
        <v>15.092000000000001</v>
      </c>
      <c r="D2376">
        <f>12.19</f>
        <v>12.19</v>
      </c>
      <c r="E2376">
        <f>13.51</f>
        <v>13.51</v>
      </c>
    </row>
    <row r="2377" spans="1:5" x14ac:dyDescent="0.2">
      <c r="A2377" s="1">
        <v>41828</v>
      </c>
      <c r="B2377">
        <f>11.98</f>
        <v>11.98</v>
      </c>
      <c r="C2377">
        <f>15.8867</f>
        <v>15.886699999999999</v>
      </c>
      <c r="D2377">
        <f>12.56</f>
        <v>12.56</v>
      </c>
      <c r="E2377">
        <f>12.44</f>
        <v>12.44</v>
      </c>
    </row>
    <row r="2378" spans="1:5" x14ac:dyDescent="0.2">
      <c r="A2378" s="1">
        <v>41827</v>
      </c>
      <c r="B2378">
        <f>11.33</f>
        <v>11.33</v>
      </c>
      <c r="C2378">
        <f>14.3276</f>
        <v>14.3276</v>
      </c>
      <c r="D2378">
        <f>10.94</f>
        <v>10.94</v>
      </c>
      <c r="E2378">
        <f>12.42</f>
        <v>12.42</v>
      </c>
    </row>
    <row r="2379" spans="1:5" x14ac:dyDescent="0.2">
      <c r="A2379" s="1">
        <v>41824</v>
      </c>
      <c r="B2379" t="e">
        <f>NA()</f>
        <v>#N/A</v>
      </c>
      <c r="C2379">
        <f>13.0962</f>
        <v>13.0962</v>
      </c>
      <c r="D2379">
        <f>10.07</f>
        <v>10.07</v>
      </c>
      <c r="E2379">
        <f>12.44</f>
        <v>12.44</v>
      </c>
    </row>
    <row r="2380" spans="1:5" x14ac:dyDescent="0.2">
      <c r="A2380" s="1">
        <v>41823</v>
      </c>
      <c r="B2380">
        <f>10.32</f>
        <v>10.32</v>
      </c>
      <c r="C2380">
        <f>12.8852</f>
        <v>12.885199999999999</v>
      </c>
      <c r="D2380">
        <f>9.76</f>
        <v>9.76</v>
      </c>
      <c r="E2380">
        <f>12.38</f>
        <v>12.38</v>
      </c>
    </row>
    <row r="2381" spans="1:5" x14ac:dyDescent="0.2">
      <c r="A2381" s="1">
        <v>41822</v>
      </c>
      <c r="B2381">
        <f>10.82</f>
        <v>10.82</v>
      </c>
      <c r="C2381">
        <f>13.9595</f>
        <v>13.9595</v>
      </c>
      <c r="D2381">
        <f>10.5</f>
        <v>10.5</v>
      </c>
      <c r="E2381">
        <f>12.36</f>
        <v>12.36</v>
      </c>
    </row>
    <row r="2382" spans="1:5" x14ac:dyDescent="0.2">
      <c r="A2382" s="1">
        <v>41821</v>
      </c>
      <c r="B2382">
        <f>11.15</f>
        <v>11.15</v>
      </c>
      <c r="C2382">
        <f>14.3916</f>
        <v>14.3916</v>
      </c>
      <c r="D2382">
        <f>10.4</f>
        <v>10.4</v>
      </c>
      <c r="E2382">
        <f>13.38</f>
        <v>13.38</v>
      </c>
    </row>
    <row r="2383" spans="1:5" x14ac:dyDescent="0.2">
      <c r="A2383" s="1">
        <v>41820</v>
      </c>
      <c r="B2383">
        <f>11.57</f>
        <v>11.57</v>
      </c>
      <c r="C2383">
        <f>15.269</f>
        <v>15.269</v>
      </c>
      <c r="D2383">
        <f>11.39</f>
        <v>11.39</v>
      </c>
      <c r="E2383">
        <f>12.7</f>
        <v>12.7</v>
      </c>
    </row>
    <row r="2384" spans="1:5" x14ac:dyDescent="0.2">
      <c r="A2384" s="1">
        <v>41817</v>
      </c>
      <c r="B2384">
        <f>11.26</f>
        <v>11.26</v>
      </c>
      <c r="C2384">
        <f>15.2961</f>
        <v>15.296099999999999</v>
      </c>
      <c r="D2384">
        <f>11.54</f>
        <v>11.54</v>
      </c>
      <c r="E2384">
        <f>12.96</f>
        <v>12.96</v>
      </c>
    </row>
    <row r="2385" spans="1:5" x14ac:dyDescent="0.2">
      <c r="A2385" s="1">
        <v>41816</v>
      </c>
      <c r="B2385">
        <f>11.63</f>
        <v>11.63</v>
      </c>
      <c r="C2385">
        <f>14.7994</f>
        <v>14.7994</v>
      </c>
      <c r="D2385">
        <f>11.79</f>
        <v>11.79</v>
      </c>
      <c r="E2385">
        <f>12.91</f>
        <v>12.91</v>
      </c>
    </row>
    <row r="2386" spans="1:5" x14ac:dyDescent="0.2">
      <c r="A2386" s="1">
        <v>41815</v>
      </c>
      <c r="B2386">
        <f>11.59</f>
        <v>11.59</v>
      </c>
      <c r="C2386">
        <f>14.3007</f>
        <v>14.300700000000001</v>
      </c>
      <c r="D2386">
        <f>11.88</f>
        <v>11.88</v>
      </c>
      <c r="E2386">
        <f>13.16</f>
        <v>13.16</v>
      </c>
    </row>
    <row r="2387" spans="1:5" x14ac:dyDescent="0.2">
      <c r="A2387" s="1">
        <v>41814</v>
      </c>
      <c r="B2387">
        <f>12.13</f>
        <v>12.13</v>
      </c>
      <c r="C2387">
        <f>13.1291</f>
        <v>13.129099999999999</v>
      </c>
      <c r="D2387">
        <f>11.17</f>
        <v>11.17</v>
      </c>
      <c r="E2387">
        <f>12.64</f>
        <v>12.64</v>
      </c>
    </row>
    <row r="2388" spans="1:5" x14ac:dyDescent="0.2">
      <c r="A2388" s="1">
        <v>41813</v>
      </c>
      <c r="B2388">
        <f>10.98</f>
        <v>10.98</v>
      </c>
      <c r="C2388">
        <f>13.5834</f>
        <v>13.583399999999999</v>
      </c>
      <c r="D2388">
        <f>11.13</f>
        <v>11.13</v>
      </c>
      <c r="E2388">
        <f>12.62</f>
        <v>12.62</v>
      </c>
    </row>
    <row r="2389" spans="1:5" x14ac:dyDescent="0.2">
      <c r="A2389" s="1">
        <v>41810</v>
      </c>
      <c r="B2389">
        <f>10.85</f>
        <v>10.85</v>
      </c>
      <c r="C2389">
        <f>12.7797</f>
        <v>12.7797</v>
      </c>
      <c r="D2389">
        <f>10.3</f>
        <v>10.3</v>
      </c>
      <c r="E2389">
        <f>12.31</f>
        <v>12.31</v>
      </c>
    </row>
    <row r="2390" spans="1:5" x14ac:dyDescent="0.2">
      <c r="A2390" s="1">
        <v>41809</v>
      </c>
      <c r="B2390">
        <f>10.62</f>
        <v>10.62</v>
      </c>
      <c r="C2390">
        <f>12.713</f>
        <v>12.712999999999999</v>
      </c>
      <c r="D2390">
        <f>11.29</f>
        <v>11.29</v>
      </c>
      <c r="E2390">
        <f>11.88</f>
        <v>11.88</v>
      </c>
    </row>
    <row r="2391" spans="1:5" x14ac:dyDescent="0.2">
      <c r="A2391" s="1">
        <v>41808</v>
      </c>
      <c r="B2391">
        <f>10.61</f>
        <v>10.61</v>
      </c>
      <c r="C2391">
        <f>13.8823</f>
        <v>13.882300000000001</v>
      </c>
      <c r="D2391">
        <f>12.61</f>
        <v>12.61</v>
      </c>
      <c r="E2391">
        <f>12.4</f>
        <v>12.4</v>
      </c>
    </row>
    <row r="2392" spans="1:5" x14ac:dyDescent="0.2">
      <c r="A2392" s="1">
        <v>41807</v>
      </c>
      <c r="B2392">
        <f>12.06</f>
        <v>12.06</v>
      </c>
      <c r="C2392">
        <f>14.3399</f>
        <v>14.3399</v>
      </c>
      <c r="D2392">
        <f>12.33</f>
        <v>12.33</v>
      </c>
      <c r="E2392">
        <f>12.4</f>
        <v>12.4</v>
      </c>
    </row>
    <row r="2393" spans="1:5" x14ac:dyDescent="0.2">
      <c r="A2393" s="1">
        <v>41806</v>
      </c>
      <c r="B2393">
        <f>12.65</f>
        <v>12.65</v>
      </c>
      <c r="C2393">
        <f>15.3716</f>
        <v>15.371600000000001</v>
      </c>
      <c r="D2393">
        <f>13.02</f>
        <v>13.02</v>
      </c>
      <c r="E2393" t="e">
        <f>NA()</f>
        <v>#N/A</v>
      </c>
    </row>
    <row r="2394" spans="1:5" x14ac:dyDescent="0.2">
      <c r="A2394" s="1">
        <v>41803</v>
      </c>
      <c r="B2394">
        <f>12.18</f>
        <v>12.18</v>
      </c>
      <c r="C2394">
        <f>14.1513</f>
        <v>14.151300000000001</v>
      </c>
      <c r="D2394">
        <f>12.25</f>
        <v>12.25</v>
      </c>
      <c r="E2394">
        <f>12.41</f>
        <v>12.41</v>
      </c>
    </row>
    <row r="2395" spans="1:5" x14ac:dyDescent="0.2">
      <c r="A2395" s="1">
        <v>41802</v>
      </c>
      <c r="B2395">
        <f>12.56</f>
        <v>12.56</v>
      </c>
      <c r="C2395">
        <f>13.8464</f>
        <v>13.846399999999999</v>
      </c>
      <c r="D2395">
        <f>10.64</f>
        <v>10.64</v>
      </c>
      <c r="E2395">
        <f>12.39</f>
        <v>12.39</v>
      </c>
    </row>
    <row r="2396" spans="1:5" x14ac:dyDescent="0.2">
      <c r="A2396" s="1">
        <v>41801</v>
      </c>
      <c r="B2396">
        <f>11.6</f>
        <v>11.6</v>
      </c>
      <c r="C2396">
        <f>13.7325</f>
        <v>13.7325</v>
      </c>
      <c r="D2396">
        <f>11.29</f>
        <v>11.29</v>
      </c>
      <c r="E2396">
        <f>13.17</f>
        <v>13.17</v>
      </c>
    </row>
    <row r="2397" spans="1:5" x14ac:dyDescent="0.2">
      <c r="A2397" s="1">
        <v>41800</v>
      </c>
      <c r="B2397">
        <f>10.99</f>
        <v>10.99</v>
      </c>
      <c r="C2397">
        <f>13.0399</f>
        <v>13.039899999999999</v>
      </c>
      <c r="D2397">
        <f>10.94</f>
        <v>10.94</v>
      </c>
      <c r="E2397">
        <f>12.64</f>
        <v>12.64</v>
      </c>
    </row>
    <row r="2398" spans="1:5" x14ac:dyDescent="0.2">
      <c r="A2398" s="1">
        <v>41799</v>
      </c>
      <c r="B2398">
        <f>11.15</f>
        <v>11.15</v>
      </c>
      <c r="C2398">
        <f>13.1403</f>
        <v>13.1403</v>
      </c>
      <c r="D2398">
        <f>10.97</f>
        <v>10.97</v>
      </c>
      <c r="E2398">
        <f>13.42</f>
        <v>13.42</v>
      </c>
    </row>
    <row r="2399" spans="1:5" x14ac:dyDescent="0.2">
      <c r="A2399" s="1">
        <v>41796</v>
      </c>
      <c r="B2399">
        <f>10.73</f>
        <v>10.73</v>
      </c>
      <c r="C2399">
        <f>13.4607</f>
        <v>13.460699999999999</v>
      </c>
      <c r="D2399">
        <f>10.98</f>
        <v>10.98</v>
      </c>
      <c r="E2399">
        <f>13.17</f>
        <v>13.17</v>
      </c>
    </row>
    <row r="2400" spans="1:5" x14ac:dyDescent="0.2">
      <c r="A2400" s="1">
        <v>41795</v>
      </c>
      <c r="B2400">
        <f>11.68</f>
        <v>11.68</v>
      </c>
      <c r="C2400">
        <f>14.6235</f>
        <v>14.6235</v>
      </c>
      <c r="D2400">
        <f>11.47</f>
        <v>11.47</v>
      </c>
      <c r="E2400">
        <f>13.15</f>
        <v>13.15</v>
      </c>
    </row>
    <row r="2401" spans="1:5" x14ac:dyDescent="0.2">
      <c r="A2401" s="1">
        <v>41794</v>
      </c>
      <c r="B2401">
        <f>12.08</f>
        <v>12.08</v>
      </c>
      <c r="C2401">
        <f>16.5083</f>
        <v>16.508299999999998</v>
      </c>
      <c r="D2401">
        <f>12.39</f>
        <v>12.39</v>
      </c>
      <c r="E2401">
        <f>13.15</f>
        <v>13.15</v>
      </c>
    </row>
    <row r="2402" spans="1:5" x14ac:dyDescent="0.2">
      <c r="A2402" s="1">
        <v>41793</v>
      </c>
      <c r="B2402">
        <f>11.87</f>
        <v>11.87</v>
      </c>
      <c r="C2402">
        <f>16.5208</f>
        <v>16.520800000000001</v>
      </c>
      <c r="D2402">
        <f>12.36</f>
        <v>12.36</v>
      </c>
      <c r="E2402">
        <f>13.4</f>
        <v>13.4</v>
      </c>
    </row>
    <row r="2403" spans="1:5" x14ac:dyDescent="0.2">
      <c r="A2403" s="1">
        <v>41792</v>
      </c>
      <c r="B2403">
        <f>11.58</f>
        <v>11.58</v>
      </c>
      <c r="C2403">
        <f>16.2586</f>
        <v>16.258600000000001</v>
      </c>
      <c r="D2403">
        <f>11.82</f>
        <v>11.82</v>
      </c>
      <c r="E2403">
        <f>13.44</f>
        <v>13.44</v>
      </c>
    </row>
    <row r="2404" spans="1:5" x14ac:dyDescent="0.2">
      <c r="A2404" s="1">
        <v>41789</v>
      </c>
      <c r="B2404">
        <f>11.4</f>
        <v>11.4</v>
      </c>
      <c r="C2404">
        <f>15.7845</f>
        <v>15.7845</v>
      </c>
      <c r="D2404">
        <f>11.89</f>
        <v>11.89</v>
      </c>
      <c r="E2404">
        <f>14</f>
        <v>14</v>
      </c>
    </row>
    <row r="2405" spans="1:5" x14ac:dyDescent="0.2">
      <c r="A2405" s="1">
        <v>41788</v>
      </c>
      <c r="B2405">
        <f>11.57</f>
        <v>11.57</v>
      </c>
      <c r="C2405">
        <f>15.5171</f>
        <v>15.517099999999999</v>
      </c>
      <c r="D2405">
        <f>11.39</f>
        <v>11.39</v>
      </c>
      <c r="E2405">
        <f>15.23</f>
        <v>15.23</v>
      </c>
    </row>
    <row r="2406" spans="1:5" x14ac:dyDescent="0.2">
      <c r="A2406" s="1">
        <v>41787</v>
      </c>
      <c r="B2406">
        <f>11.68</f>
        <v>11.68</v>
      </c>
      <c r="C2406">
        <f>15.0184</f>
        <v>15.0184</v>
      </c>
      <c r="D2406">
        <f>11.57</f>
        <v>11.57</v>
      </c>
      <c r="E2406">
        <f>14.5</f>
        <v>14.5</v>
      </c>
    </row>
    <row r="2407" spans="1:5" x14ac:dyDescent="0.2">
      <c r="A2407" s="1">
        <v>41786</v>
      </c>
      <c r="B2407">
        <f>11.51</f>
        <v>11.51</v>
      </c>
      <c r="C2407">
        <f>15.1522</f>
        <v>15.152200000000001</v>
      </c>
      <c r="D2407">
        <f>11.77</f>
        <v>11.77</v>
      </c>
      <c r="E2407">
        <f>14.5</f>
        <v>14.5</v>
      </c>
    </row>
    <row r="2408" spans="1:5" x14ac:dyDescent="0.2">
      <c r="A2408" s="1">
        <v>41785</v>
      </c>
      <c r="B2408" t="e">
        <f>NA()</f>
        <v>#N/A</v>
      </c>
      <c r="C2408">
        <f>15.249</f>
        <v>15.249000000000001</v>
      </c>
      <c r="D2408" t="e">
        <f>NA()</f>
        <v>#N/A</v>
      </c>
      <c r="E2408">
        <f>14.51</f>
        <v>14.51</v>
      </c>
    </row>
    <row r="2409" spans="1:5" x14ac:dyDescent="0.2">
      <c r="A2409" s="1">
        <v>41782</v>
      </c>
      <c r="B2409">
        <f>11.36</f>
        <v>11.36</v>
      </c>
      <c r="C2409">
        <f>15.5997</f>
        <v>15.5997</v>
      </c>
      <c r="D2409">
        <f>11.36</f>
        <v>11.36</v>
      </c>
      <c r="E2409">
        <f>14.52</f>
        <v>14.52</v>
      </c>
    </row>
    <row r="2410" spans="1:5" x14ac:dyDescent="0.2">
      <c r="A2410" s="1">
        <v>41781</v>
      </c>
      <c r="B2410">
        <f>12.03</f>
        <v>12.03</v>
      </c>
      <c r="C2410">
        <f>15.2602</f>
        <v>15.260199999999999</v>
      </c>
      <c r="D2410">
        <f>11.76</f>
        <v>11.76</v>
      </c>
      <c r="E2410">
        <f>14.52</f>
        <v>14.52</v>
      </c>
    </row>
    <row r="2411" spans="1:5" x14ac:dyDescent="0.2">
      <c r="A2411" s="1">
        <v>41780</v>
      </c>
      <c r="B2411">
        <f>11.91</f>
        <v>11.91</v>
      </c>
      <c r="C2411">
        <f>15.2901</f>
        <v>15.290100000000001</v>
      </c>
      <c r="D2411">
        <f>11.93</f>
        <v>11.93</v>
      </c>
      <c r="E2411">
        <f>14.55</f>
        <v>14.55</v>
      </c>
    </row>
    <row r="2412" spans="1:5" x14ac:dyDescent="0.2">
      <c r="A2412" s="1">
        <v>41779</v>
      </c>
      <c r="B2412">
        <f>12.96</f>
        <v>12.96</v>
      </c>
      <c r="C2412">
        <f>15.7231</f>
        <v>15.723100000000001</v>
      </c>
      <c r="D2412">
        <f>12.98</f>
        <v>12.98</v>
      </c>
      <c r="E2412">
        <f>14.55</f>
        <v>14.55</v>
      </c>
    </row>
    <row r="2413" spans="1:5" x14ac:dyDescent="0.2">
      <c r="A2413" s="1">
        <v>41778</v>
      </c>
      <c r="B2413">
        <f>12.42</f>
        <v>12.42</v>
      </c>
      <c r="C2413">
        <f>15.9315</f>
        <v>15.9315</v>
      </c>
      <c r="D2413">
        <f>13.06</f>
        <v>13.06</v>
      </c>
      <c r="E2413">
        <f>15.02</f>
        <v>15.02</v>
      </c>
    </row>
    <row r="2414" spans="1:5" x14ac:dyDescent="0.2">
      <c r="A2414" s="1">
        <v>41775</v>
      </c>
      <c r="B2414">
        <f>12.44</f>
        <v>12.44</v>
      </c>
      <c r="C2414">
        <f>15.7941</f>
        <v>15.7941</v>
      </c>
      <c r="D2414">
        <f>12.28</f>
        <v>12.28</v>
      </c>
      <c r="E2414">
        <f>15.29</f>
        <v>15.29</v>
      </c>
    </row>
    <row r="2415" spans="1:5" x14ac:dyDescent="0.2">
      <c r="A2415" s="1">
        <v>41774</v>
      </c>
      <c r="B2415">
        <f>13.17</f>
        <v>13.17</v>
      </c>
      <c r="C2415">
        <f>17.4465</f>
        <v>17.4465</v>
      </c>
      <c r="D2415">
        <f>13.05</f>
        <v>13.05</v>
      </c>
      <c r="E2415">
        <f>15.47</f>
        <v>15.47</v>
      </c>
    </row>
    <row r="2416" spans="1:5" x14ac:dyDescent="0.2">
      <c r="A2416" s="1">
        <v>41773</v>
      </c>
      <c r="B2416">
        <f>12.17</f>
        <v>12.17</v>
      </c>
      <c r="C2416">
        <f>15.8782</f>
        <v>15.8782</v>
      </c>
      <c r="D2416">
        <f>11.7</f>
        <v>11.7</v>
      </c>
      <c r="E2416">
        <f>15.46</f>
        <v>15.46</v>
      </c>
    </row>
    <row r="2417" spans="1:5" x14ac:dyDescent="0.2">
      <c r="A2417" s="1">
        <v>41772</v>
      </c>
      <c r="B2417">
        <f>12.13</f>
        <v>12.13</v>
      </c>
      <c r="C2417">
        <f>15.9994</f>
        <v>15.9994</v>
      </c>
      <c r="D2417">
        <f>11.3</f>
        <v>11.3</v>
      </c>
      <c r="E2417">
        <f>15.72</f>
        <v>15.72</v>
      </c>
    </row>
    <row r="2418" spans="1:5" x14ac:dyDescent="0.2">
      <c r="A2418" s="1">
        <v>41771</v>
      </c>
      <c r="B2418">
        <f>12.23</f>
        <v>12.23</v>
      </c>
      <c r="C2418">
        <f>16.2491</f>
        <v>16.249099999999999</v>
      </c>
      <c r="D2418">
        <f>11.95</f>
        <v>11.95</v>
      </c>
      <c r="E2418">
        <f>15.72</f>
        <v>15.72</v>
      </c>
    </row>
    <row r="2419" spans="1:5" x14ac:dyDescent="0.2">
      <c r="A2419" s="1">
        <v>41768</v>
      </c>
      <c r="B2419">
        <f>12.92</f>
        <v>12.92</v>
      </c>
      <c r="C2419">
        <f>16.6668</f>
        <v>16.666799999999999</v>
      </c>
      <c r="D2419">
        <f>11.43</f>
        <v>11.43</v>
      </c>
      <c r="E2419">
        <f>16.24</f>
        <v>16.239999999999998</v>
      </c>
    </row>
    <row r="2420" spans="1:5" x14ac:dyDescent="0.2">
      <c r="A2420" s="1">
        <v>41767</v>
      </c>
      <c r="B2420">
        <f>13.43</f>
        <v>13.43</v>
      </c>
      <c r="C2420">
        <f>16.7342</f>
        <v>16.734200000000001</v>
      </c>
      <c r="D2420">
        <f>11.64</f>
        <v>11.64</v>
      </c>
      <c r="E2420">
        <f>16.12</f>
        <v>16.12</v>
      </c>
    </row>
    <row r="2421" spans="1:5" x14ac:dyDescent="0.2">
      <c r="A2421" s="1">
        <v>41766</v>
      </c>
      <c r="B2421">
        <f>13.4</f>
        <v>13.4</v>
      </c>
      <c r="C2421">
        <f>17.5579</f>
        <v>17.5579</v>
      </c>
      <c r="D2421">
        <f>12.61</f>
        <v>12.61</v>
      </c>
      <c r="E2421" t="e">
        <f>NA()</f>
        <v>#N/A</v>
      </c>
    </row>
    <row r="2422" spans="1:5" x14ac:dyDescent="0.2">
      <c r="A2422" s="1">
        <v>41765</v>
      </c>
      <c r="B2422">
        <f>13.8</f>
        <v>13.8</v>
      </c>
      <c r="C2422">
        <f>18.5097</f>
        <v>18.509699999999999</v>
      </c>
      <c r="D2422">
        <f>12.55</f>
        <v>12.55</v>
      </c>
      <c r="E2422">
        <f>16.1</f>
        <v>16.100000000000001</v>
      </c>
    </row>
    <row r="2423" spans="1:5" x14ac:dyDescent="0.2">
      <c r="A2423" s="1">
        <v>41764</v>
      </c>
      <c r="B2423">
        <f>13.29</f>
        <v>13.29</v>
      </c>
      <c r="C2423">
        <f>18.0644</f>
        <v>18.064399999999999</v>
      </c>
      <c r="D2423" t="e">
        <f>NA()</f>
        <v>#N/A</v>
      </c>
      <c r="E2423">
        <f>16.09</f>
        <v>16.09</v>
      </c>
    </row>
    <row r="2424" spans="1:5" x14ac:dyDescent="0.2">
      <c r="A2424" s="1">
        <v>41761</v>
      </c>
      <c r="B2424">
        <f>12.91</f>
        <v>12.91</v>
      </c>
      <c r="C2424">
        <f>17.9023</f>
        <v>17.9023</v>
      </c>
      <c r="D2424">
        <f>12.14</f>
        <v>12.14</v>
      </c>
      <c r="E2424">
        <f>15.83</f>
        <v>15.83</v>
      </c>
    </row>
    <row r="2425" spans="1:5" x14ac:dyDescent="0.2">
      <c r="A2425" s="1">
        <v>41760</v>
      </c>
      <c r="B2425">
        <f>13.25</f>
        <v>13.25</v>
      </c>
      <c r="C2425" t="e">
        <f>NA()</f>
        <v>#N/A</v>
      </c>
      <c r="D2425">
        <f>11.64</f>
        <v>11.64</v>
      </c>
      <c r="E2425" t="e">
        <f>NA()</f>
        <v>#N/A</v>
      </c>
    </row>
    <row r="2426" spans="1:5" x14ac:dyDescent="0.2">
      <c r="A2426" s="1">
        <v>41759</v>
      </c>
      <c r="B2426">
        <f>13.41</f>
        <v>13.41</v>
      </c>
      <c r="C2426">
        <f>17.0713</f>
        <v>17.071300000000001</v>
      </c>
      <c r="D2426">
        <f>11.99</f>
        <v>11.99</v>
      </c>
      <c r="E2426">
        <f>15.87</f>
        <v>15.87</v>
      </c>
    </row>
    <row r="2427" spans="1:5" x14ac:dyDescent="0.2">
      <c r="A2427" s="1">
        <v>41758</v>
      </c>
      <c r="B2427">
        <f>13.71</f>
        <v>13.71</v>
      </c>
      <c r="C2427">
        <f>17.343</f>
        <v>17.343</v>
      </c>
      <c r="D2427">
        <f>12.28</f>
        <v>12.28</v>
      </c>
      <c r="E2427">
        <f>15.86</f>
        <v>15.86</v>
      </c>
    </row>
    <row r="2428" spans="1:5" x14ac:dyDescent="0.2">
      <c r="A2428" s="1">
        <v>41757</v>
      </c>
      <c r="B2428">
        <f>13.97</f>
        <v>13.97</v>
      </c>
      <c r="C2428">
        <f>18.4517</f>
        <v>18.451699999999999</v>
      </c>
      <c r="D2428">
        <f>12.91</f>
        <v>12.91</v>
      </c>
      <c r="E2428" t="e">
        <f>NA()</f>
        <v>#N/A</v>
      </c>
    </row>
    <row r="2429" spans="1:5" x14ac:dyDescent="0.2">
      <c r="A2429" s="1">
        <v>41754</v>
      </c>
      <c r="B2429">
        <f>14.06</f>
        <v>14.06</v>
      </c>
      <c r="C2429">
        <f>18.7678</f>
        <v>18.767800000000001</v>
      </c>
      <c r="D2429">
        <f>13.21</f>
        <v>13.21</v>
      </c>
      <c r="E2429">
        <f>15.79</f>
        <v>15.79</v>
      </c>
    </row>
    <row r="2430" spans="1:5" x14ac:dyDescent="0.2">
      <c r="A2430" s="1">
        <v>41753</v>
      </c>
      <c r="B2430">
        <f>13.32</f>
        <v>13.32</v>
      </c>
      <c r="C2430">
        <f>16.9981</f>
        <v>16.998100000000001</v>
      </c>
      <c r="D2430">
        <f>12.58</f>
        <v>12.58</v>
      </c>
      <c r="E2430">
        <f>16.31</f>
        <v>16.309999999999999</v>
      </c>
    </row>
    <row r="2431" spans="1:5" x14ac:dyDescent="0.2">
      <c r="A2431" s="1">
        <v>41752</v>
      </c>
      <c r="B2431">
        <f>13.27</f>
        <v>13.27</v>
      </c>
      <c r="C2431">
        <f>17.1008</f>
        <v>17.1008</v>
      </c>
      <c r="D2431">
        <f>12.94</f>
        <v>12.94</v>
      </c>
      <c r="E2431">
        <f>16.55</f>
        <v>16.55</v>
      </c>
    </row>
    <row r="2432" spans="1:5" x14ac:dyDescent="0.2">
      <c r="A2432" s="1">
        <v>41751</v>
      </c>
      <c r="B2432">
        <f>13.19</f>
        <v>13.19</v>
      </c>
      <c r="C2432">
        <f>16.8121</f>
        <v>16.812100000000001</v>
      </c>
      <c r="D2432">
        <f>12.75</f>
        <v>12.75</v>
      </c>
      <c r="E2432">
        <f>16.32</f>
        <v>16.32</v>
      </c>
    </row>
    <row r="2433" spans="1:5" x14ac:dyDescent="0.2">
      <c r="A2433" s="1">
        <v>41750</v>
      </c>
      <c r="B2433">
        <f>13.25</f>
        <v>13.25</v>
      </c>
      <c r="C2433" t="e">
        <f>NA()</f>
        <v>#N/A</v>
      </c>
      <c r="D2433" t="e">
        <f>NA()</f>
        <v>#N/A</v>
      </c>
      <c r="E2433" t="e">
        <f>NA()</f>
        <v>#N/A</v>
      </c>
    </row>
    <row r="2434" spans="1:5" x14ac:dyDescent="0.2">
      <c r="A2434" s="1">
        <v>41746</v>
      </c>
      <c r="B2434">
        <f>13.36</f>
        <v>13.36</v>
      </c>
      <c r="C2434">
        <f>16.9939</f>
        <v>16.9939</v>
      </c>
      <c r="D2434">
        <f>12.83</f>
        <v>12.83</v>
      </c>
      <c r="E2434">
        <f>16.57</f>
        <v>16.57</v>
      </c>
    </row>
    <row r="2435" spans="1:5" x14ac:dyDescent="0.2">
      <c r="A2435" s="1">
        <v>41745</v>
      </c>
      <c r="B2435">
        <f>14.18</f>
        <v>14.18</v>
      </c>
      <c r="C2435">
        <f>17.3181</f>
        <v>17.318100000000001</v>
      </c>
      <c r="D2435">
        <f>13</f>
        <v>13</v>
      </c>
      <c r="E2435">
        <f>16.65</f>
        <v>16.649999999999999</v>
      </c>
    </row>
    <row r="2436" spans="1:5" x14ac:dyDescent="0.2">
      <c r="A2436" s="1">
        <v>41744</v>
      </c>
      <c r="B2436">
        <f>15.61</f>
        <v>15.61</v>
      </c>
      <c r="C2436">
        <f>19.6432</f>
        <v>19.6432</v>
      </c>
      <c r="D2436">
        <f>14.33</f>
        <v>14.33</v>
      </c>
      <c r="E2436">
        <f>16.9</f>
        <v>16.899999999999999</v>
      </c>
    </row>
    <row r="2437" spans="1:5" x14ac:dyDescent="0.2">
      <c r="A2437" s="1">
        <v>41743</v>
      </c>
      <c r="B2437">
        <f>16.11</f>
        <v>16.11</v>
      </c>
      <c r="C2437">
        <f>18.4986</f>
        <v>18.4986</v>
      </c>
      <c r="D2437">
        <f>13.32</f>
        <v>13.32</v>
      </c>
      <c r="E2437">
        <f>16.62</f>
        <v>16.62</v>
      </c>
    </row>
    <row r="2438" spans="1:5" x14ac:dyDescent="0.2">
      <c r="A2438" s="1">
        <v>41740</v>
      </c>
      <c r="B2438">
        <f>17.03</f>
        <v>17.03</v>
      </c>
      <c r="C2438">
        <f>18.2955</f>
        <v>18.295500000000001</v>
      </c>
      <c r="D2438">
        <f>13.04</f>
        <v>13.04</v>
      </c>
      <c r="E2438">
        <f>16.57</f>
        <v>16.57</v>
      </c>
    </row>
    <row r="2439" spans="1:5" x14ac:dyDescent="0.2">
      <c r="A2439" s="1">
        <v>41739</v>
      </c>
      <c r="B2439">
        <f>15.89</f>
        <v>15.89</v>
      </c>
      <c r="C2439">
        <f>17.2542</f>
        <v>17.254200000000001</v>
      </c>
      <c r="D2439">
        <f>11.73</f>
        <v>11.73</v>
      </c>
      <c r="E2439">
        <f>16.17</f>
        <v>16.170000000000002</v>
      </c>
    </row>
    <row r="2440" spans="1:5" x14ac:dyDescent="0.2">
      <c r="A2440" s="1">
        <v>41738</v>
      </c>
      <c r="B2440">
        <f>13.82</f>
        <v>13.82</v>
      </c>
      <c r="C2440">
        <f>16.9287</f>
        <v>16.928699999999999</v>
      </c>
      <c r="D2440">
        <f>11.76</f>
        <v>11.76</v>
      </c>
      <c r="E2440">
        <f>16.28</f>
        <v>16.28</v>
      </c>
    </row>
    <row r="2441" spans="1:5" x14ac:dyDescent="0.2">
      <c r="A2441" s="1">
        <v>41737</v>
      </c>
      <c r="B2441">
        <f>14.89</f>
        <v>14.89</v>
      </c>
      <c r="C2441">
        <f>17.6031</f>
        <v>17.603100000000001</v>
      </c>
      <c r="D2441">
        <f>12.82</f>
        <v>12.82</v>
      </c>
      <c r="E2441">
        <f>16.39</f>
        <v>16.39</v>
      </c>
    </row>
    <row r="2442" spans="1:5" x14ac:dyDescent="0.2">
      <c r="A2442" s="1">
        <v>41736</v>
      </c>
      <c r="B2442">
        <f>15.57</f>
        <v>15.57</v>
      </c>
      <c r="C2442">
        <f>17.5437</f>
        <v>17.543700000000001</v>
      </c>
      <c r="D2442">
        <f>12.74</f>
        <v>12.74</v>
      </c>
      <c r="E2442">
        <f>16.64</f>
        <v>16.64</v>
      </c>
    </row>
    <row r="2443" spans="1:5" x14ac:dyDescent="0.2">
      <c r="A2443" s="1">
        <v>41733</v>
      </c>
      <c r="B2443">
        <f>13.96</f>
        <v>13.96</v>
      </c>
      <c r="C2443">
        <f>15.875</f>
        <v>15.875</v>
      </c>
      <c r="D2443">
        <f>11.77</f>
        <v>11.77</v>
      </c>
      <c r="E2443">
        <f>16.34</f>
        <v>16.34</v>
      </c>
    </row>
    <row r="2444" spans="1:5" x14ac:dyDescent="0.2">
      <c r="A2444" s="1">
        <v>41732</v>
      </c>
      <c r="B2444">
        <f>13.37</f>
        <v>13.37</v>
      </c>
      <c r="C2444">
        <f>16.3742</f>
        <v>16.374199999999998</v>
      </c>
      <c r="D2444">
        <f>12.2</f>
        <v>12.2</v>
      </c>
      <c r="E2444">
        <f>16.32</f>
        <v>16.32</v>
      </c>
    </row>
    <row r="2445" spans="1:5" x14ac:dyDescent="0.2">
      <c r="A2445" s="1">
        <v>41731</v>
      </c>
      <c r="B2445">
        <f>13.09</f>
        <v>13.09</v>
      </c>
      <c r="C2445">
        <f>17.1108</f>
        <v>17.110800000000001</v>
      </c>
      <c r="D2445">
        <f>12.68</f>
        <v>12.68</v>
      </c>
      <c r="E2445">
        <f>16.48</f>
        <v>16.48</v>
      </c>
    </row>
    <row r="2446" spans="1:5" x14ac:dyDescent="0.2">
      <c r="A2446" s="1">
        <v>41730</v>
      </c>
      <c r="B2446">
        <f>13.1</f>
        <v>13.1</v>
      </c>
      <c r="C2446">
        <f>16.9064</f>
        <v>16.906400000000001</v>
      </c>
      <c r="D2446">
        <f>12.91</f>
        <v>12.91</v>
      </c>
      <c r="E2446">
        <f>16.49</f>
        <v>16.489999999999998</v>
      </c>
    </row>
    <row r="2447" spans="1:5" x14ac:dyDescent="0.2">
      <c r="A2447" s="1">
        <v>41729</v>
      </c>
      <c r="B2447">
        <f>13.88</f>
        <v>13.88</v>
      </c>
      <c r="C2447">
        <f>17.6639</f>
        <v>17.663900000000002</v>
      </c>
      <c r="D2447">
        <f>13.12</f>
        <v>13.12</v>
      </c>
      <c r="E2447">
        <f>16.73</f>
        <v>16.73</v>
      </c>
    </row>
    <row r="2448" spans="1:5" x14ac:dyDescent="0.2">
      <c r="A2448" s="1">
        <v>41726</v>
      </c>
      <c r="B2448">
        <f>14.41</f>
        <v>14.41</v>
      </c>
      <c r="C2448">
        <f>17.0324</f>
        <v>17.032399999999999</v>
      </c>
      <c r="D2448">
        <f>12.48</f>
        <v>12.48</v>
      </c>
      <c r="E2448">
        <f>16.65</f>
        <v>16.649999999999999</v>
      </c>
    </row>
    <row r="2449" spans="1:5" x14ac:dyDescent="0.2">
      <c r="A2449" s="1">
        <v>41725</v>
      </c>
      <c r="B2449">
        <f>14.62</f>
        <v>14.62</v>
      </c>
      <c r="C2449">
        <f>17.6397</f>
        <v>17.639700000000001</v>
      </c>
      <c r="D2449">
        <f>13.08</f>
        <v>13.08</v>
      </c>
      <c r="E2449">
        <f>17.51</f>
        <v>17.510000000000002</v>
      </c>
    </row>
    <row r="2450" spans="1:5" x14ac:dyDescent="0.2">
      <c r="A2450" s="1">
        <v>41724</v>
      </c>
      <c r="B2450">
        <f>14.93</f>
        <v>14.93</v>
      </c>
      <c r="C2450">
        <f>17.5869</f>
        <v>17.5869</v>
      </c>
      <c r="D2450">
        <f>13.06</f>
        <v>13.06</v>
      </c>
      <c r="E2450">
        <f>17.19</f>
        <v>17.190000000000001</v>
      </c>
    </row>
    <row r="2451" spans="1:5" x14ac:dyDescent="0.2">
      <c r="A2451" s="1">
        <v>41723</v>
      </c>
      <c r="B2451">
        <f>14.02</f>
        <v>14.02</v>
      </c>
      <c r="C2451">
        <f>18.2637</f>
        <v>18.2637</v>
      </c>
      <c r="D2451">
        <f>13.11</f>
        <v>13.11</v>
      </c>
      <c r="E2451">
        <f>19.89</f>
        <v>19.89</v>
      </c>
    </row>
    <row r="2452" spans="1:5" x14ac:dyDescent="0.2">
      <c r="A2452" s="1">
        <v>41722</v>
      </c>
      <c r="B2452">
        <f>15.09</f>
        <v>15.09</v>
      </c>
      <c r="C2452">
        <f>19.4248</f>
        <v>19.424800000000001</v>
      </c>
      <c r="D2452">
        <f>13.79</f>
        <v>13.79</v>
      </c>
      <c r="E2452">
        <f>19.89</f>
        <v>19.89</v>
      </c>
    </row>
    <row r="2453" spans="1:5" x14ac:dyDescent="0.2">
      <c r="A2453" s="1">
        <v>41719</v>
      </c>
      <c r="B2453">
        <f>15</f>
        <v>15</v>
      </c>
      <c r="C2453">
        <f>17.1916</f>
        <v>17.191600000000001</v>
      </c>
      <c r="D2453">
        <f>12.7</f>
        <v>12.7</v>
      </c>
      <c r="E2453" t="e">
        <f>NA()</f>
        <v>#N/A</v>
      </c>
    </row>
    <row r="2454" spans="1:5" x14ac:dyDescent="0.2">
      <c r="A2454" s="1">
        <v>41718</v>
      </c>
      <c r="B2454">
        <f>14.52</f>
        <v>14.52</v>
      </c>
      <c r="C2454">
        <f>18.1292</f>
        <v>18.129200000000001</v>
      </c>
      <c r="D2454">
        <f>13.68</f>
        <v>13.68</v>
      </c>
      <c r="E2454">
        <f>19.96</f>
        <v>19.96</v>
      </c>
    </row>
    <row r="2455" spans="1:5" x14ac:dyDescent="0.2">
      <c r="A2455" s="1">
        <v>41717</v>
      </c>
      <c r="B2455">
        <f>15.12</f>
        <v>15.12</v>
      </c>
      <c r="C2455">
        <f>19.293</f>
        <v>19.292999999999999</v>
      </c>
      <c r="D2455">
        <f>14.05</f>
        <v>14.05</v>
      </c>
      <c r="E2455">
        <f>19.96</f>
        <v>19.96</v>
      </c>
    </row>
    <row r="2456" spans="1:5" x14ac:dyDescent="0.2">
      <c r="A2456" s="1">
        <v>41716</v>
      </c>
      <c r="B2456">
        <f>14.52</f>
        <v>14.52</v>
      </c>
      <c r="C2456">
        <f>20.1089</f>
        <v>20.108899999999998</v>
      </c>
      <c r="D2456">
        <f>14.1</f>
        <v>14.1</v>
      </c>
      <c r="E2456">
        <f>19.19</f>
        <v>19.190000000000001</v>
      </c>
    </row>
    <row r="2457" spans="1:5" x14ac:dyDescent="0.2">
      <c r="A2457" s="1">
        <v>41715</v>
      </c>
      <c r="B2457">
        <f>15.64</f>
        <v>15.64</v>
      </c>
      <c r="C2457">
        <f>21.4617</f>
        <v>21.4617</v>
      </c>
      <c r="D2457">
        <f>15.16</f>
        <v>15.16</v>
      </c>
      <c r="E2457">
        <f>19.44</f>
        <v>19.440000000000001</v>
      </c>
    </row>
    <row r="2458" spans="1:5" x14ac:dyDescent="0.2">
      <c r="A2458" s="1">
        <v>41712</v>
      </c>
      <c r="B2458">
        <f>17.82</f>
        <v>17.82</v>
      </c>
      <c r="C2458">
        <f>23.2095</f>
        <v>23.209499999999998</v>
      </c>
      <c r="D2458">
        <f>16.8</f>
        <v>16.8</v>
      </c>
      <c r="E2458">
        <f>19.71</f>
        <v>19.71</v>
      </c>
    </row>
    <row r="2459" spans="1:5" x14ac:dyDescent="0.2">
      <c r="A2459" s="1">
        <v>41711</v>
      </c>
      <c r="B2459">
        <f>16.22</f>
        <v>16.22</v>
      </c>
      <c r="C2459">
        <f>22.0896</f>
        <v>22.089600000000001</v>
      </c>
      <c r="D2459">
        <f>15.87</f>
        <v>15.87</v>
      </c>
      <c r="E2459">
        <f>19.18</f>
        <v>19.18</v>
      </c>
    </row>
    <row r="2460" spans="1:5" x14ac:dyDescent="0.2">
      <c r="A2460" s="1">
        <v>41710</v>
      </c>
      <c r="B2460">
        <f>14.47</f>
        <v>14.47</v>
      </c>
      <c r="C2460">
        <f>20.212</f>
        <v>20.212</v>
      </c>
      <c r="D2460">
        <f>15.11</f>
        <v>15.11</v>
      </c>
      <c r="E2460">
        <f>19.18</f>
        <v>19.18</v>
      </c>
    </row>
    <row r="2461" spans="1:5" x14ac:dyDescent="0.2">
      <c r="A2461" s="1">
        <v>41709</v>
      </c>
      <c r="B2461">
        <f>14.8</f>
        <v>14.8</v>
      </c>
      <c r="C2461">
        <f>19.7688</f>
        <v>19.768799999999999</v>
      </c>
      <c r="D2461">
        <f>14.67</f>
        <v>14.67</v>
      </c>
      <c r="E2461">
        <f>18.92</f>
        <v>18.920000000000002</v>
      </c>
    </row>
    <row r="2462" spans="1:5" x14ac:dyDescent="0.2">
      <c r="A2462" s="1">
        <v>41708</v>
      </c>
      <c r="B2462">
        <f>14.2</f>
        <v>14.2</v>
      </c>
      <c r="C2462">
        <f>20.1237</f>
        <v>20.123699999999999</v>
      </c>
      <c r="D2462">
        <f>15.3</f>
        <v>15.3</v>
      </c>
      <c r="E2462">
        <f>19.18</f>
        <v>19.18</v>
      </c>
    </row>
    <row r="2463" spans="1:5" x14ac:dyDescent="0.2">
      <c r="A2463" s="1">
        <v>41705</v>
      </c>
      <c r="B2463">
        <f>14.11</f>
        <v>14.11</v>
      </c>
      <c r="C2463">
        <f>20.473</f>
        <v>20.472999999999999</v>
      </c>
      <c r="D2463">
        <f>15.09</f>
        <v>15.09</v>
      </c>
      <c r="E2463">
        <f>18.91</f>
        <v>18.91</v>
      </c>
    </row>
    <row r="2464" spans="1:5" x14ac:dyDescent="0.2">
      <c r="A2464" s="1">
        <v>41704</v>
      </c>
      <c r="B2464">
        <f>14.21</f>
        <v>14.21</v>
      </c>
      <c r="C2464">
        <f>17.8166</f>
        <v>17.816600000000001</v>
      </c>
      <c r="D2464">
        <f>13.98</f>
        <v>13.98</v>
      </c>
      <c r="E2464">
        <f>18.9</f>
        <v>18.899999999999999</v>
      </c>
    </row>
    <row r="2465" spans="1:5" x14ac:dyDescent="0.2">
      <c r="A2465" s="1">
        <v>41703</v>
      </c>
      <c r="B2465">
        <f>13.89</f>
        <v>13.89</v>
      </c>
      <c r="C2465">
        <f>18.7004</f>
        <v>18.700399999999998</v>
      </c>
      <c r="D2465">
        <f>14.79</f>
        <v>14.79</v>
      </c>
      <c r="E2465">
        <f>19.16</f>
        <v>19.16</v>
      </c>
    </row>
    <row r="2466" spans="1:5" x14ac:dyDescent="0.2">
      <c r="A2466" s="1">
        <v>41702</v>
      </c>
      <c r="B2466">
        <f>14.1</f>
        <v>14.1</v>
      </c>
      <c r="C2466">
        <f>18.6455</f>
        <v>18.645499999999998</v>
      </c>
      <c r="D2466">
        <f>14.52</f>
        <v>14.52</v>
      </c>
      <c r="E2466">
        <f>18.89</f>
        <v>18.89</v>
      </c>
    </row>
    <row r="2467" spans="1:5" x14ac:dyDescent="0.2">
      <c r="A2467" s="1">
        <v>41701</v>
      </c>
      <c r="B2467">
        <f>16</f>
        <v>16</v>
      </c>
      <c r="C2467">
        <f>21.8609</f>
        <v>21.860900000000001</v>
      </c>
      <c r="D2467">
        <f>17.01</f>
        <v>17.010000000000002</v>
      </c>
      <c r="E2467">
        <f>19.15</f>
        <v>19.149999999999999</v>
      </c>
    </row>
    <row r="2468" spans="1:5" x14ac:dyDescent="0.2">
      <c r="A2468" s="1">
        <v>41698</v>
      </c>
      <c r="B2468">
        <f>14</f>
        <v>14</v>
      </c>
      <c r="C2468">
        <f>16.7667</f>
        <v>16.7667</v>
      </c>
      <c r="D2468">
        <f>13.33</f>
        <v>13.33</v>
      </c>
      <c r="E2468">
        <f>18.87</f>
        <v>18.87</v>
      </c>
    </row>
    <row r="2469" spans="1:5" x14ac:dyDescent="0.2">
      <c r="A2469" s="1">
        <v>41697</v>
      </c>
      <c r="B2469">
        <f>14.04</f>
        <v>14.04</v>
      </c>
      <c r="C2469">
        <f>17.1187</f>
        <v>17.1187</v>
      </c>
      <c r="D2469">
        <f>13.39</f>
        <v>13.39</v>
      </c>
      <c r="E2469">
        <f>19.13</f>
        <v>19.13</v>
      </c>
    </row>
    <row r="2470" spans="1:5" x14ac:dyDescent="0.2">
      <c r="A2470" s="1">
        <v>41696</v>
      </c>
      <c r="B2470">
        <f>14.35</f>
        <v>14.35</v>
      </c>
      <c r="C2470">
        <f>16.1415</f>
        <v>16.141500000000001</v>
      </c>
      <c r="D2470">
        <f>13.92</f>
        <v>13.92</v>
      </c>
      <c r="E2470">
        <f>19.12</f>
        <v>19.12</v>
      </c>
    </row>
    <row r="2471" spans="1:5" x14ac:dyDescent="0.2">
      <c r="A2471" s="1">
        <v>41695</v>
      </c>
      <c r="B2471">
        <f>13.67</f>
        <v>13.67</v>
      </c>
      <c r="C2471">
        <f>16.2399</f>
        <v>16.239899999999999</v>
      </c>
      <c r="D2471">
        <f>14.18</f>
        <v>14.18</v>
      </c>
      <c r="E2471">
        <f>19.12</f>
        <v>19.12</v>
      </c>
    </row>
    <row r="2472" spans="1:5" x14ac:dyDescent="0.2">
      <c r="A2472" s="1">
        <v>41694</v>
      </c>
      <c r="B2472">
        <f>14.23</f>
        <v>14.23</v>
      </c>
      <c r="C2472">
        <f>16.7175</f>
        <v>16.717500000000001</v>
      </c>
      <c r="D2472">
        <f>14.25</f>
        <v>14.25</v>
      </c>
      <c r="E2472">
        <f>18.61</f>
        <v>18.61</v>
      </c>
    </row>
    <row r="2473" spans="1:5" x14ac:dyDescent="0.2">
      <c r="A2473" s="1">
        <v>41691</v>
      </c>
      <c r="B2473">
        <f>14.68</f>
        <v>14.68</v>
      </c>
      <c r="C2473">
        <f>17.3772</f>
        <v>17.377199999999998</v>
      </c>
      <c r="D2473">
        <f>16.04</f>
        <v>16.04</v>
      </c>
      <c r="E2473">
        <f>18.6</f>
        <v>18.600000000000001</v>
      </c>
    </row>
    <row r="2474" spans="1:5" x14ac:dyDescent="0.2">
      <c r="A2474" s="1">
        <v>41690</v>
      </c>
      <c r="B2474">
        <f>14.79</f>
        <v>14.79</v>
      </c>
      <c r="C2474">
        <f>17.7721</f>
        <v>17.772099999999998</v>
      </c>
      <c r="D2474">
        <f>15.84</f>
        <v>15.84</v>
      </c>
      <c r="E2474">
        <f>19.09</f>
        <v>19.09</v>
      </c>
    </row>
    <row r="2475" spans="1:5" x14ac:dyDescent="0.2">
      <c r="A2475" s="1">
        <v>41689</v>
      </c>
      <c r="B2475">
        <f>15.5</f>
        <v>15.5</v>
      </c>
      <c r="C2475">
        <f>17.448</f>
        <v>17.448</v>
      </c>
      <c r="D2475">
        <f>15.74</f>
        <v>15.74</v>
      </c>
      <c r="E2475">
        <f>18.58</f>
        <v>18.579999999999998</v>
      </c>
    </row>
    <row r="2476" spans="1:5" x14ac:dyDescent="0.2">
      <c r="A2476" s="1">
        <v>41688</v>
      </c>
      <c r="B2476">
        <f>13.87</f>
        <v>13.87</v>
      </c>
      <c r="C2476">
        <f>17.0973</f>
        <v>17.097300000000001</v>
      </c>
      <c r="D2476">
        <f>15.36</f>
        <v>15.36</v>
      </c>
      <c r="E2476">
        <f>18.6</f>
        <v>18.600000000000001</v>
      </c>
    </row>
    <row r="2477" spans="1:5" x14ac:dyDescent="0.2">
      <c r="A2477" s="1">
        <v>41687</v>
      </c>
      <c r="B2477" t="e">
        <f>NA()</f>
        <v>#N/A</v>
      </c>
      <c r="C2477">
        <f>17.2038</f>
        <v>17.203800000000001</v>
      </c>
      <c r="D2477">
        <f>15.15</f>
        <v>15.15</v>
      </c>
      <c r="E2477">
        <f>18.59</f>
        <v>18.59</v>
      </c>
    </row>
    <row r="2478" spans="1:5" x14ac:dyDescent="0.2">
      <c r="A2478" s="1">
        <v>41684</v>
      </c>
      <c r="B2478">
        <f>13.57</f>
        <v>13.57</v>
      </c>
      <c r="C2478">
        <f>16.3821</f>
        <v>16.382100000000001</v>
      </c>
      <c r="D2478">
        <f>14.9</f>
        <v>14.9</v>
      </c>
      <c r="E2478">
        <f>18.83</f>
        <v>18.829999999999998</v>
      </c>
    </row>
    <row r="2479" spans="1:5" x14ac:dyDescent="0.2">
      <c r="A2479" s="1">
        <v>41683</v>
      </c>
      <c r="B2479">
        <f>14.14</f>
        <v>14.14</v>
      </c>
      <c r="C2479">
        <f>17.4978</f>
        <v>17.497800000000002</v>
      </c>
      <c r="D2479">
        <f>15.77</f>
        <v>15.77</v>
      </c>
      <c r="E2479">
        <f>19.06</f>
        <v>19.059999999999999</v>
      </c>
    </row>
    <row r="2480" spans="1:5" x14ac:dyDescent="0.2">
      <c r="A2480" s="1">
        <v>41682</v>
      </c>
      <c r="B2480">
        <f>14.3</f>
        <v>14.3</v>
      </c>
      <c r="C2480">
        <f>17.9259</f>
        <v>17.925899999999999</v>
      </c>
      <c r="D2480">
        <f>15.41</f>
        <v>15.41</v>
      </c>
      <c r="E2480">
        <f>20.11</f>
        <v>20.11</v>
      </c>
    </row>
    <row r="2481" spans="1:5" x14ac:dyDescent="0.2">
      <c r="A2481" s="1">
        <v>41681</v>
      </c>
      <c r="B2481">
        <f>14.51</f>
        <v>14.51</v>
      </c>
      <c r="C2481">
        <f>17.6719</f>
        <v>17.671900000000001</v>
      </c>
      <c r="D2481">
        <f>15.64</f>
        <v>15.64</v>
      </c>
      <c r="E2481">
        <f>20.62</f>
        <v>20.62</v>
      </c>
    </row>
    <row r="2482" spans="1:5" x14ac:dyDescent="0.2">
      <c r="A2482" s="1">
        <v>41680</v>
      </c>
      <c r="B2482">
        <f>15.26</f>
        <v>15.26</v>
      </c>
      <c r="C2482">
        <f>19.3075</f>
        <v>19.307500000000001</v>
      </c>
      <c r="D2482">
        <f>16.52</f>
        <v>16.52</v>
      </c>
      <c r="E2482">
        <f>20.61</f>
        <v>20.61</v>
      </c>
    </row>
    <row r="2483" spans="1:5" x14ac:dyDescent="0.2">
      <c r="A2483" s="1">
        <v>41677</v>
      </c>
      <c r="B2483">
        <f>15.29</f>
        <v>15.29</v>
      </c>
      <c r="C2483">
        <f>19.2347</f>
        <v>19.2347</v>
      </c>
      <c r="D2483">
        <f>17.04</f>
        <v>17.04</v>
      </c>
      <c r="E2483">
        <f>20.85</f>
        <v>20.85</v>
      </c>
    </row>
    <row r="2484" spans="1:5" x14ac:dyDescent="0.2">
      <c r="A2484" s="1">
        <v>41676</v>
      </c>
      <c r="B2484">
        <f>17.23</f>
        <v>17.23</v>
      </c>
      <c r="C2484">
        <f>20.801</f>
        <v>20.800999999999998</v>
      </c>
      <c r="D2484">
        <f>16.98</f>
        <v>16.98</v>
      </c>
      <c r="E2484">
        <f>21.44</f>
        <v>21.44</v>
      </c>
    </row>
    <row r="2485" spans="1:5" x14ac:dyDescent="0.2">
      <c r="A2485" s="1">
        <v>41675</v>
      </c>
      <c r="B2485">
        <f>19.95</f>
        <v>19.95</v>
      </c>
      <c r="C2485">
        <f>22.6486</f>
        <v>22.648599999999998</v>
      </c>
      <c r="D2485">
        <f>18.75</f>
        <v>18.75</v>
      </c>
      <c r="E2485">
        <f>22.5</f>
        <v>22.5</v>
      </c>
    </row>
    <row r="2486" spans="1:5" x14ac:dyDescent="0.2">
      <c r="A2486" s="1">
        <v>41674</v>
      </c>
      <c r="B2486">
        <f>19.11</f>
        <v>19.11</v>
      </c>
      <c r="C2486">
        <f>23.0114</f>
        <v>23.011399999999998</v>
      </c>
      <c r="D2486">
        <f>18.72</f>
        <v>18.72</v>
      </c>
      <c r="E2486">
        <f>22.34</f>
        <v>22.34</v>
      </c>
    </row>
    <row r="2487" spans="1:5" x14ac:dyDescent="0.2">
      <c r="A2487" s="1">
        <v>41673</v>
      </c>
      <c r="B2487">
        <f>21.44</f>
        <v>21.44</v>
      </c>
      <c r="C2487">
        <f>24.0207</f>
        <v>24.020700000000001</v>
      </c>
      <c r="D2487">
        <f>19.88</f>
        <v>19.88</v>
      </c>
      <c r="E2487">
        <f>21.48</f>
        <v>21.48</v>
      </c>
    </row>
    <row r="2488" spans="1:5" x14ac:dyDescent="0.2">
      <c r="A2488" s="1">
        <v>41670</v>
      </c>
      <c r="B2488">
        <f>18.41</f>
        <v>18.41</v>
      </c>
      <c r="C2488">
        <f>21.8188</f>
        <v>21.8188</v>
      </c>
      <c r="D2488">
        <f>18.44</f>
        <v>18.440000000000001</v>
      </c>
      <c r="E2488">
        <f>21.16</f>
        <v>21.16</v>
      </c>
    </row>
    <row r="2489" spans="1:5" x14ac:dyDescent="0.2">
      <c r="A2489" s="1">
        <v>41669</v>
      </c>
      <c r="B2489">
        <f>17.29</f>
        <v>17.29</v>
      </c>
      <c r="C2489">
        <f>21.1181</f>
        <v>21.118099999999998</v>
      </c>
      <c r="D2489">
        <f>17.35</f>
        <v>17.350000000000001</v>
      </c>
      <c r="E2489">
        <f>20.96</f>
        <v>20.96</v>
      </c>
    </row>
    <row r="2490" spans="1:5" x14ac:dyDescent="0.2">
      <c r="A2490" s="1">
        <v>41668</v>
      </c>
      <c r="B2490">
        <f>17.35</f>
        <v>17.350000000000001</v>
      </c>
      <c r="C2490">
        <f>21.8127</f>
        <v>21.8127</v>
      </c>
      <c r="D2490">
        <f>17.87</f>
        <v>17.87</v>
      </c>
      <c r="E2490">
        <f>20.45</f>
        <v>20.45</v>
      </c>
    </row>
    <row r="2491" spans="1:5" x14ac:dyDescent="0.2">
      <c r="A2491" s="1">
        <v>41667</v>
      </c>
      <c r="B2491">
        <f>15.8</f>
        <v>15.8</v>
      </c>
      <c r="C2491">
        <f>19.9723</f>
        <v>19.972300000000001</v>
      </c>
      <c r="D2491">
        <f>16.19</f>
        <v>16.190000000000001</v>
      </c>
      <c r="E2491">
        <f>20</f>
        <v>20</v>
      </c>
    </row>
    <row r="2492" spans="1:5" x14ac:dyDescent="0.2">
      <c r="A2492" s="1">
        <v>41666</v>
      </c>
      <c r="B2492">
        <f>17.42</f>
        <v>17.420000000000002</v>
      </c>
      <c r="C2492">
        <f>20.6842</f>
        <v>20.684200000000001</v>
      </c>
      <c r="D2492">
        <f>17.13</f>
        <v>17.13</v>
      </c>
      <c r="E2492">
        <f>19.99</f>
        <v>19.989999999999998</v>
      </c>
    </row>
    <row r="2493" spans="1:5" x14ac:dyDescent="0.2">
      <c r="A2493" s="1">
        <v>41663</v>
      </c>
      <c r="B2493">
        <f>18.14</f>
        <v>18.14</v>
      </c>
      <c r="C2493">
        <f>20.9333</f>
        <v>20.933299999999999</v>
      </c>
      <c r="D2493">
        <f>15.99</f>
        <v>15.99</v>
      </c>
      <c r="E2493">
        <f>18.59</f>
        <v>18.59</v>
      </c>
    </row>
    <row r="2494" spans="1:5" x14ac:dyDescent="0.2">
      <c r="A2494" s="1">
        <v>41662</v>
      </c>
      <c r="B2494">
        <f>13.77</f>
        <v>13.77</v>
      </c>
      <c r="C2494">
        <f>17.5122</f>
        <v>17.5122</v>
      </c>
      <c r="D2494">
        <f>12.99</f>
        <v>12.99</v>
      </c>
      <c r="E2494">
        <f>17.53</f>
        <v>17.53</v>
      </c>
    </row>
    <row r="2495" spans="1:5" x14ac:dyDescent="0.2">
      <c r="A2495" s="1">
        <v>41661</v>
      </c>
      <c r="B2495">
        <f>12.84</f>
        <v>12.84</v>
      </c>
      <c r="C2495">
        <f>16.4469</f>
        <v>16.446899999999999</v>
      </c>
      <c r="D2495">
        <f>12.26</f>
        <v>12.26</v>
      </c>
      <c r="E2495">
        <f>17.69</f>
        <v>17.690000000000001</v>
      </c>
    </row>
    <row r="2496" spans="1:5" x14ac:dyDescent="0.2">
      <c r="A2496" s="1">
        <v>41660</v>
      </c>
      <c r="B2496">
        <f>12.87</f>
        <v>12.87</v>
      </c>
      <c r="C2496">
        <f>16.1749</f>
        <v>16.174900000000001</v>
      </c>
      <c r="D2496">
        <f>12.14</f>
        <v>12.14</v>
      </c>
      <c r="E2496">
        <f>17.61</f>
        <v>17.61</v>
      </c>
    </row>
    <row r="2497" spans="1:5" x14ac:dyDescent="0.2">
      <c r="A2497" s="1">
        <v>41659</v>
      </c>
      <c r="B2497" t="e">
        <f>NA()</f>
        <v>#N/A</v>
      </c>
      <c r="C2497">
        <f>16.0913</f>
        <v>16.0913</v>
      </c>
      <c r="D2497">
        <f>11.64</f>
        <v>11.64</v>
      </c>
      <c r="E2497">
        <f>17.79</f>
        <v>17.79</v>
      </c>
    </row>
    <row r="2498" spans="1:5" x14ac:dyDescent="0.2">
      <c r="A2498" s="1">
        <v>41656</v>
      </c>
      <c r="B2498">
        <f>12.44</f>
        <v>12.44</v>
      </c>
      <c r="C2498">
        <f>15.7352</f>
        <v>15.735200000000001</v>
      </c>
      <c r="D2498">
        <f>11.42</f>
        <v>11.42</v>
      </c>
      <c r="E2498">
        <f>18.04</f>
        <v>18.04</v>
      </c>
    </row>
    <row r="2499" spans="1:5" x14ac:dyDescent="0.2">
      <c r="A2499" s="1">
        <v>41655</v>
      </c>
      <c r="B2499">
        <f>12.53</f>
        <v>12.53</v>
      </c>
      <c r="C2499">
        <f>17.0561</f>
        <v>17.056100000000001</v>
      </c>
      <c r="D2499">
        <f>11.56</f>
        <v>11.56</v>
      </c>
      <c r="E2499">
        <f>18.19</f>
        <v>18.190000000000001</v>
      </c>
    </row>
    <row r="2500" spans="1:5" x14ac:dyDescent="0.2">
      <c r="A2500" s="1">
        <v>41654</v>
      </c>
      <c r="B2500">
        <f>12.28</f>
        <v>12.28</v>
      </c>
      <c r="C2500">
        <f>16.5089</f>
        <v>16.508900000000001</v>
      </c>
      <c r="D2500">
        <f>12.02</f>
        <v>12.02</v>
      </c>
      <c r="E2500">
        <f>18.21</f>
        <v>18.21</v>
      </c>
    </row>
    <row r="2501" spans="1:5" x14ac:dyDescent="0.2">
      <c r="A2501" s="1">
        <v>41653</v>
      </c>
      <c r="B2501">
        <f>12.28</f>
        <v>12.28</v>
      </c>
      <c r="C2501">
        <f>16.8066</f>
        <v>16.8066</v>
      </c>
      <c r="D2501">
        <f>12.07</f>
        <v>12.07</v>
      </c>
      <c r="E2501">
        <f>18.47</f>
        <v>18.47</v>
      </c>
    </row>
    <row r="2502" spans="1:5" x14ac:dyDescent="0.2">
      <c r="A2502" s="1">
        <v>41652</v>
      </c>
      <c r="B2502">
        <f>13.28</f>
        <v>13.28</v>
      </c>
      <c r="C2502">
        <f>17.0978</f>
        <v>17.097799999999999</v>
      </c>
      <c r="D2502">
        <f>11.44</f>
        <v>11.44</v>
      </c>
      <c r="E2502">
        <f>18.44</f>
        <v>18.440000000000001</v>
      </c>
    </row>
    <row r="2503" spans="1:5" x14ac:dyDescent="0.2">
      <c r="A2503" s="1">
        <v>41649</v>
      </c>
      <c r="B2503">
        <f>12.14</f>
        <v>12.14</v>
      </c>
      <c r="C2503">
        <f>16.5627</f>
        <v>16.5627</v>
      </c>
      <c r="D2503">
        <f>10.62</f>
        <v>10.62</v>
      </c>
      <c r="E2503">
        <f>19.09</f>
        <v>19.09</v>
      </c>
    </row>
    <row r="2504" spans="1:5" x14ac:dyDescent="0.2">
      <c r="A2504" s="1">
        <v>41648</v>
      </c>
      <c r="B2504">
        <f>12.89</f>
        <v>12.89</v>
      </c>
      <c r="C2504">
        <f>17.3584</f>
        <v>17.3584</v>
      </c>
      <c r="D2504">
        <f>10.73</f>
        <v>10.73</v>
      </c>
      <c r="E2504">
        <f>19.05</f>
        <v>19.05</v>
      </c>
    </row>
    <row r="2505" spans="1:5" x14ac:dyDescent="0.2">
      <c r="A2505" s="1">
        <v>41647</v>
      </c>
      <c r="B2505">
        <f>12.87</f>
        <v>12.87</v>
      </c>
      <c r="C2505">
        <f>17.3671</f>
        <v>17.367100000000001</v>
      </c>
      <c r="D2505">
        <f>12.8</f>
        <v>12.8</v>
      </c>
      <c r="E2505">
        <f>18.78</f>
        <v>18.78</v>
      </c>
    </row>
    <row r="2506" spans="1:5" x14ac:dyDescent="0.2">
      <c r="A2506" s="1">
        <v>41646</v>
      </c>
      <c r="B2506">
        <f>12.92</f>
        <v>12.92</v>
      </c>
      <c r="C2506">
        <f>17.1932</f>
        <v>17.193200000000001</v>
      </c>
      <c r="D2506">
        <f>12.78</f>
        <v>12.78</v>
      </c>
      <c r="E2506">
        <f>18.36</f>
        <v>18.36</v>
      </c>
    </row>
    <row r="2507" spans="1:5" x14ac:dyDescent="0.2">
      <c r="A2507" s="1">
        <v>41645</v>
      </c>
      <c r="B2507">
        <f>13.55</f>
        <v>13.55</v>
      </c>
      <c r="C2507">
        <f>18.1672</f>
        <v>18.167200000000001</v>
      </c>
      <c r="D2507">
        <f>13.39</f>
        <v>13.39</v>
      </c>
      <c r="E2507">
        <f>18.24</f>
        <v>18.239999999999998</v>
      </c>
    </row>
    <row r="2508" spans="1:5" x14ac:dyDescent="0.2">
      <c r="A2508" s="1">
        <v>41642</v>
      </c>
      <c r="B2508">
        <f>13.76</f>
        <v>13.76</v>
      </c>
      <c r="C2508">
        <f>18.0018</f>
        <v>18.001799999999999</v>
      </c>
      <c r="D2508">
        <f>13.32</f>
        <v>13.32</v>
      </c>
      <c r="E2508">
        <f>18.24</f>
        <v>18.239999999999998</v>
      </c>
    </row>
    <row r="2509" spans="1:5" x14ac:dyDescent="0.2">
      <c r="A2509" s="1">
        <v>41641</v>
      </c>
      <c r="B2509">
        <f>14.23</f>
        <v>14.23</v>
      </c>
      <c r="C2509">
        <f>18.9286</f>
        <v>18.928599999999999</v>
      </c>
      <c r="D2509">
        <f>13.52</f>
        <v>13.52</v>
      </c>
      <c r="E2509">
        <f>16.92</f>
        <v>16.920000000000002</v>
      </c>
    </row>
    <row r="2510" spans="1:5" x14ac:dyDescent="0.2">
      <c r="A2510" s="1">
        <v>41639</v>
      </c>
      <c r="B2510">
        <f>13.72</f>
        <v>13.72</v>
      </c>
      <c r="C2510" t="e">
        <f>NA()</f>
        <v>#N/A</v>
      </c>
      <c r="D2510">
        <f>12.79</f>
        <v>12.79</v>
      </c>
      <c r="E2510">
        <f>16.92</f>
        <v>16.920000000000002</v>
      </c>
    </row>
    <row r="2511" spans="1:5" x14ac:dyDescent="0.2">
      <c r="A2511" s="1">
        <v>41638</v>
      </c>
      <c r="B2511">
        <f>13.56</f>
        <v>13.56</v>
      </c>
      <c r="C2511">
        <f>17.2549</f>
        <v>17.254899999999999</v>
      </c>
      <c r="D2511">
        <f>12.74</f>
        <v>12.74</v>
      </c>
      <c r="E2511">
        <f>16.87</f>
        <v>16.87</v>
      </c>
    </row>
    <row r="2512" spans="1:5" x14ac:dyDescent="0.2">
      <c r="A2512" s="1">
        <v>41635</v>
      </c>
      <c r="B2512">
        <f>12.46</f>
        <v>12.46</v>
      </c>
      <c r="C2512">
        <f>16.4643</f>
        <v>16.464300000000001</v>
      </c>
      <c r="D2512">
        <f>11.85</f>
        <v>11.85</v>
      </c>
      <c r="E2512">
        <f>17.09</f>
        <v>17.09</v>
      </c>
    </row>
    <row r="2513" spans="1:5" x14ac:dyDescent="0.2">
      <c r="A2513" s="1">
        <v>41634</v>
      </c>
      <c r="B2513">
        <f>12.33</f>
        <v>12.33</v>
      </c>
      <c r="C2513" t="e">
        <f>NA()</f>
        <v>#N/A</v>
      </c>
      <c r="D2513" t="e">
        <f>NA()</f>
        <v>#N/A</v>
      </c>
      <c r="E2513" t="e">
        <f>NA()</f>
        <v>#N/A</v>
      </c>
    </row>
    <row r="2514" spans="1:5" x14ac:dyDescent="0.2">
      <c r="A2514" s="1">
        <v>41632</v>
      </c>
      <c r="B2514">
        <f>12.48</f>
        <v>12.48</v>
      </c>
      <c r="C2514" t="e">
        <f>NA()</f>
        <v>#N/A</v>
      </c>
      <c r="D2514">
        <f>11.63</f>
        <v>11.63</v>
      </c>
      <c r="E2514">
        <f>17.57</f>
        <v>17.57</v>
      </c>
    </row>
    <row r="2515" spans="1:5" x14ac:dyDescent="0.2">
      <c r="A2515" s="1">
        <v>41631</v>
      </c>
      <c r="B2515">
        <f>13.04</f>
        <v>13.04</v>
      </c>
      <c r="C2515">
        <f>15.8067</f>
        <v>15.806699999999999</v>
      </c>
      <c r="D2515">
        <f>11.84</f>
        <v>11.84</v>
      </c>
      <c r="E2515">
        <f>17.64</f>
        <v>17.64</v>
      </c>
    </row>
    <row r="2516" spans="1:5" x14ac:dyDescent="0.2">
      <c r="A2516" s="1">
        <v>41628</v>
      </c>
      <c r="B2516">
        <f>13.79</f>
        <v>13.79</v>
      </c>
      <c r="C2516">
        <f>16.0088</f>
        <v>16.008800000000001</v>
      </c>
      <c r="D2516">
        <f>12.62</f>
        <v>12.62</v>
      </c>
      <c r="E2516">
        <f>17.64</f>
        <v>17.64</v>
      </c>
    </row>
    <row r="2517" spans="1:5" x14ac:dyDescent="0.2">
      <c r="A2517" s="1">
        <v>41627</v>
      </c>
      <c r="B2517">
        <f>14.15</f>
        <v>14.15</v>
      </c>
      <c r="C2517">
        <f>15.4029</f>
        <v>15.402900000000001</v>
      </c>
      <c r="D2517">
        <f>11.36</f>
        <v>11.36</v>
      </c>
      <c r="E2517">
        <f>17.99</f>
        <v>17.989999999999998</v>
      </c>
    </row>
    <row r="2518" spans="1:5" x14ac:dyDescent="0.2">
      <c r="A2518" s="1">
        <v>41626</v>
      </c>
      <c r="B2518">
        <f>13.8</f>
        <v>13.8</v>
      </c>
      <c r="C2518">
        <f>17.2028</f>
        <v>17.2028</v>
      </c>
      <c r="D2518">
        <f>13.5</f>
        <v>13.5</v>
      </c>
      <c r="E2518">
        <f>18.25</f>
        <v>18.25</v>
      </c>
    </row>
    <row r="2519" spans="1:5" x14ac:dyDescent="0.2">
      <c r="A2519" s="1">
        <v>41625</v>
      </c>
      <c r="B2519">
        <f>16.21</f>
        <v>16.21</v>
      </c>
      <c r="C2519">
        <f>18.179</f>
        <v>18.178999999999998</v>
      </c>
      <c r="D2519">
        <f>13.87</f>
        <v>13.87</v>
      </c>
      <c r="E2519">
        <f>18.25</f>
        <v>18.25</v>
      </c>
    </row>
    <row r="2520" spans="1:5" x14ac:dyDescent="0.2">
      <c r="A2520" s="1">
        <v>41624</v>
      </c>
      <c r="B2520">
        <f>16.03</f>
        <v>16.03</v>
      </c>
      <c r="C2520">
        <f>18.4886</f>
        <v>18.488600000000002</v>
      </c>
      <c r="D2520">
        <f>13.23</f>
        <v>13.23</v>
      </c>
      <c r="E2520" t="e">
        <f>NA()</f>
        <v>#N/A</v>
      </c>
    </row>
    <row r="2521" spans="1:5" x14ac:dyDescent="0.2">
      <c r="A2521" s="1">
        <v>41621</v>
      </c>
      <c r="B2521">
        <f>15.76</f>
        <v>15.76</v>
      </c>
      <c r="C2521">
        <f>18.2036</f>
        <v>18.203600000000002</v>
      </c>
      <c r="D2521">
        <f>13.15</f>
        <v>13.15</v>
      </c>
      <c r="E2521">
        <f>18.76</f>
        <v>18.760000000000002</v>
      </c>
    </row>
    <row r="2522" spans="1:5" x14ac:dyDescent="0.2">
      <c r="A2522" s="1">
        <v>41620</v>
      </c>
      <c r="B2522">
        <f>15.54</f>
        <v>15.54</v>
      </c>
      <c r="C2522">
        <f>18.0599</f>
        <v>18.059899999999999</v>
      </c>
      <c r="D2522">
        <f>13.3</f>
        <v>13.3</v>
      </c>
      <c r="E2522">
        <f>18.77</f>
        <v>18.77</v>
      </c>
    </row>
    <row r="2523" spans="1:5" x14ac:dyDescent="0.2">
      <c r="A2523" s="1">
        <v>41619</v>
      </c>
      <c r="B2523">
        <f>15.42</f>
        <v>15.42</v>
      </c>
      <c r="C2523">
        <f>17.3558</f>
        <v>17.355799999999999</v>
      </c>
      <c r="D2523">
        <f>12.42</f>
        <v>12.42</v>
      </c>
      <c r="E2523">
        <f>17.99</f>
        <v>17.989999999999998</v>
      </c>
    </row>
    <row r="2524" spans="1:5" x14ac:dyDescent="0.2">
      <c r="A2524" s="1">
        <v>41618</v>
      </c>
      <c r="B2524">
        <f>13.91</f>
        <v>13.91</v>
      </c>
      <c r="C2524">
        <f>16.7351</f>
        <v>16.735099999999999</v>
      </c>
      <c r="D2524">
        <f>12.36</f>
        <v>12.36</v>
      </c>
      <c r="E2524">
        <f>17.47</f>
        <v>17.47</v>
      </c>
    </row>
    <row r="2525" spans="1:5" x14ac:dyDescent="0.2">
      <c r="A2525" s="1">
        <v>41617</v>
      </c>
      <c r="B2525">
        <f>13.49</f>
        <v>13.49</v>
      </c>
      <c r="C2525">
        <f>16.2138</f>
        <v>16.213799999999999</v>
      </c>
      <c r="D2525">
        <f>12.47</f>
        <v>12.47</v>
      </c>
      <c r="E2525">
        <f>17.46</f>
        <v>17.46</v>
      </c>
    </row>
    <row r="2526" spans="1:5" x14ac:dyDescent="0.2">
      <c r="A2526" s="1">
        <v>41614</v>
      </c>
      <c r="B2526">
        <f>13.79</f>
        <v>13.79</v>
      </c>
      <c r="C2526">
        <f>16.4994</f>
        <v>16.499400000000001</v>
      </c>
      <c r="D2526">
        <f>12.89</f>
        <v>12.89</v>
      </c>
      <c r="E2526">
        <f>16.96</f>
        <v>16.96</v>
      </c>
    </row>
    <row r="2527" spans="1:5" x14ac:dyDescent="0.2">
      <c r="A2527" s="1">
        <v>41613</v>
      </c>
      <c r="B2527">
        <f>15.08</f>
        <v>15.08</v>
      </c>
      <c r="C2527">
        <f>18.378</f>
        <v>18.378</v>
      </c>
      <c r="D2527">
        <f>13.61</f>
        <v>13.61</v>
      </c>
      <c r="E2527">
        <f>17.22</f>
        <v>17.22</v>
      </c>
    </row>
    <row r="2528" spans="1:5" x14ac:dyDescent="0.2">
      <c r="A2528" s="1">
        <v>41612</v>
      </c>
      <c r="B2528">
        <f>14.7</f>
        <v>14.7</v>
      </c>
      <c r="C2528">
        <f>17.8791</f>
        <v>17.879100000000001</v>
      </c>
      <c r="D2528">
        <f>13.47</f>
        <v>13.47</v>
      </c>
      <c r="E2528">
        <f>17.48</f>
        <v>17.48</v>
      </c>
    </row>
    <row r="2529" spans="1:5" x14ac:dyDescent="0.2">
      <c r="A2529" s="1">
        <v>41611</v>
      </c>
      <c r="B2529">
        <f>14.55</f>
        <v>14.55</v>
      </c>
      <c r="C2529">
        <f>17.098</f>
        <v>17.097999999999999</v>
      </c>
      <c r="D2529">
        <f>13.47</f>
        <v>13.47</v>
      </c>
      <c r="E2529">
        <f>17.45</f>
        <v>17.45</v>
      </c>
    </row>
    <row r="2530" spans="1:5" x14ac:dyDescent="0.2">
      <c r="A2530" s="1">
        <v>41610</v>
      </c>
      <c r="B2530">
        <f>14.23</f>
        <v>14.23</v>
      </c>
      <c r="C2530">
        <f>15.4364</f>
        <v>15.436400000000001</v>
      </c>
      <c r="D2530">
        <f>12.61</f>
        <v>12.61</v>
      </c>
      <c r="E2530">
        <f>16.9</f>
        <v>16.899999999999999</v>
      </c>
    </row>
    <row r="2531" spans="1:5" x14ac:dyDescent="0.2">
      <c r="A2531" s="1">
        <v>41607</v>
      </c>
      <c r="B2531">
        <f>13.7</f>
        <v>13.7</v>
      </c>
      <c r="C2531">
        <f>14.6502</f>
        <v>14.6502</v>
      </c>
      <c r="D2531">
        <f>12.19</f>
        <v>12.19</v>
      </c>
      <c r="E2531">
        <f>16.65</f>
        <v>16.649999999999999</v>
      </c>
    </row>
    <row r="2532" spans="1:5" x14ac:dyDescent="0.2">
      <c r="A2532" s="1">
        <v>41606</v>
      </c>
      <c r="B2532" t="e">
        <f>NA()</f>
        <v>#N/A</v>
      </c>
      <c r="C2532">
        <f>13.8195</f>
        <v>13.8195</v>
      </c>
      <c r="D2532">
        <f>11.97</f>
        <v>11.97</v>
      </c>
      <c r="E2532">
        <f>16.64</f>
        <v>16.64</v>
      </c>
    </row>
    <row r="2533" spans="1:5" x14ac:dyDescent="0.2">
      <c r="A2533" s="1">
        <v>41605</v>
      </c>
      <c r="B2533">
        <f>12.98</f>
        <v>12.98</v>
      </c>
      <c r="C2533">
        <f>14.117</f>
        <v>14.117000000000001</v>
      </c>
      <c r="D2533">
        <f>11.95</f>
        <v>11.95</v>
      </c>
      <c r="E2533">
        <f>16.91</f>
        <v>16.91</v>
      </c>
    </row>
    <row r="2534" spans="1:5" x14ac:dyDescent="0.2">
      <c r="A2534" s="1">
        <v>41604</v>
      </c>
      <c r="B2534">
        <f>12.81</f>
        <v>12.81</v>
      </c>
      <c r="C2534">
        <f>14.5147</f>
        <v>14.514699999999999</v>
      </c>
      <c r="D2534">
        <f>11.98</f>
        <v>11.98</v>
      </c>
      <c r="E2534">
        <f>17.43</f>
        <v>17.43</v>
      </c>
    </row>
    <row r="2535" spans="1:5" x14ac:dyDescent="0.2">
      <c r="A2535" s="1">
        <v>41603</v>
      </c>
      <c r="B2535">
        <f>12.79</f>
        <v>12.79</v>
      </c>
      <c r="C2535">
        <f>14.5254</f>
        <v>14.525399999999999</v>
      </c>
      <c r="D2535">
        <f>11.73</f>
        <v>11.73</v>
      </c>
      <c r="E2535">
        <f>16.87</f>
        <v>16.87</v>
      </c>
    </row>
    <row r="2536" spans="1:5" x14ac:dyDescent="0.2">
      <c r="A2536" s="1">
        <v>41600</v>
      </c>
      <c r="B2536">
        <f>12.26</f>
        <v>12.26</v>
      </c>
      <c r="C2536">
        <f>14.2629</f>
        <v>14.2629</v>
      </c>
      <c r="D2536">
        <f>12</f>
        <v>12</v>
      </c>
      <c r="E2536">
        <f>16.87</f>
        <v>16.87</v>
      </c>
    </row>
    <row r="2537" spans="1:5" x14ac:dyDescent="0.2">
      <c r="A2537" s="1">
        <v>41599</v>
      </c>
      <c r="B2537">
        <f>12.66</f>
        <v>12.66</v>
      </c>
      <c r="C2537">
        <f>15.082</f>
        <v>15.082000000000001</v>
      </c>
      <c r="D2537">
        <f>12.53</f>
        <v>12.53</v>
      </c>
      <c r="E2537">
        <f>16.6</f>
        <v>16.600000000000001</v>
      </c>
    </row>
    <row r="2538" spans="1:5" x14ac:dyDescent="0.2">
      <c r="A2538" s="1">
        <v>41598</v>
      </c>
      <c r="B2538">
        <f>13.4</f>
        <v>13.4</v>
      </c>
      <c r="C2538">
        <f>15.5212</f>
        <v>15.5212</v>
      </c>
      <c r="D2538">
        <f>12.67</f>
        <v>12.67</v>
      </c>
      <c r="E2538">
        <f>16.07</f>
        <v>16.07</v>
      </c>
    </row>
    <row r="2539" spans="1:5" x14ac:dyDescent="0.2">
      <c r="A2539" s="1">
        <v>41597</v>
      </c>
      <c r="B2539">
        <f>13.39</f>
        <v>13.39</v>
      </c>
      <c r="C2539">
        <f>15.6565</f>
        <v>15.656499999999999</v>
      </c>
      <c r="D2539">
        <f>13.46</f>
        <v>13.46</v>
      </c>
      <c r="E2539">
        <f>16.07</f>
        <v>16.07</v>
      </c>
    </row>
    <row r="2540" spans="1:5" x14ac:dyDescent="0.2">
      <c r="A2540" s="1">
        <v>41596</v>
      </c>
      <c r="B2540">
        <f>13.1</f>
        <v>13.1</v>
      </c>
      <c r="C2540">
        <f>15.3971</f>
        <v>15.3971</v>
      </c>
      <c r="D2540">
        <f>12.99</f>
        <v>12.99</v>
      </c>
      <c r="E2540">
        <f>15.51</f>
        <v>15.51</v>
      </c>
    </row>
    <row r="2541" spans="1:5" x14ac:dyDescent="0.2">
      <c r="A2541" s="1">
        <v>41593</v>
      </c>
      <c r="B2541">
        <f>12.19</f>
        <v>12.19</v>
      </c>
      <c r="C2541">
        <f>15.1624</f>
        <v>15.1624</v>
      </c>
      <c r="D2541">
        <f>12.46</f>
        <v>12.46</v>
      </c>
      <c r="E2541">
        <f>15.51</f>
        <v>15.51</v>
      </c>
    </row>
    <row r="2542" spans="1:5" x14ac:dyDescent="0.2">
      <c r="A2542" s="1">
        <v>41592</v>
      </c>
      <c r="B2542">
        <f>12.37</f>
        <v>12.37</v>
      </c>
      <c r="C2542">
        <f>15.9077</f>
        <v>15.9077</v>
      </c>
      <c r="D2542">
        <f>12.75</f>
        <v>12.75</v>
      </c>
      <c r="E2542">
        <f>15.79</f>
        <v>15.79</v>
      </c>
    </row>
    <row r="2543" spans="1:5" x14ac:dyDescent="0.2">
      <c r="A2543" s="1">
        <v>41591</v>
      </c>
      <c r="B2543">
        <f>12.52</f>
        <v>12.52</v>
      </c>
      <c r="C2543">
        <f>17.1273</f>
        <v>17.127300000000002</v>
      </c>
      <c r="D2543">
        <f>13.65</f>
        <v>13.65</v>
      </c>
      <c r="E2543">
        <f>16.08</f>
        <v>16.079999999999998</v>
      </c>
    </row>
    <row r="2544" spans="1:5" x14ac:dyDescent="0.2">
      <c r="A2544" s="1">
        <v>41590</v>
      </c>
      <c r="B2544">
        <f>12.82</f>
        <v>12.82</v>
      </c>
      <c r="C2544">
        <f>17.2688</f>
        <v>17.268799999999999</v>
      </c>
      <c r="D2544">
        <f>13.91</f>
        <v>13.91</v>
      </c>
      <c r="E2544">
        <f>15.22</f>
        <v>15.22</v>
      </c>
    </row>
    <row r="2545" spans="1:5" x14ac:dyDescent="0.2">
      <c r="A2545" s="1">
        <v>41589</v>
      </c>
      <c r="B2545">
        <f>12.53</f>
        <v>12.53</v>
      </c>
      <c r="C2545">
        <f>17.2356</f>
        <v>17.235600000000002</v>
      </c>
      <c r="D2545">
        <f>14.21</f>
        <v>14.21</v>
      </c>
      <c r="E2545">
        <f>15.19</f>
        <v>15.19</v>
      </c>
    </row>
    <row r="2546" spans="1:5" x14ac:dyDescent="0.2">
      <c r="A2546" s="1">
        <v>41586</v>
      </c>
      <c r="B2546">
        <f>12.9</f>
        <v>12.9</v>
      </c>
      <c r="C2546">
        <f>17.2896</f>
        <v>17.2896</v>
      </c>
      <c r="D2546">
        <f>14.19</f>
        <v>14.19</v>
      </c>
      <c r="E2546">
        <f>15.18</f>
        <v>15.18</v>
      </c>
    </row>
    <row r="2547" spans="1:5" x14ac:dyDescent="0.2">
      <c r="A2547" s="1">
        <v>41585</v>
      </c>
      <c r="B2547">
        <f>13.91</f>
        <v>13.91</v>
      </c>
      <c r="C2547">
        <f>16.69</f>
        <v>16.690000000000001</v>
      </c>
      <c r="D2547">
        <f>14.18</f>
        <v>14.18</v>
      </c>
      <c r="E2547">
        <f>14.83</f>
        <v>14.83</v>
      </c>
    </row>
    <row r="2548" spans="1:5" x14ac:dyDescent="0.2">
      <c r="A2548" s="1">
        <v>41584</v>
      </c>
      <c r="B2548">
        <f>12.67</f>
        <v>12.67</v>
      </c>
      <c r="C2548">
        <f>16.828</f>
        <v>16.827999999999999</v>
      </c>
      <c r="D2548">
        <f>13.78</f>
        <v>13.78</v>
      </c>
      <c r="E2548">
        <f>14.81</f>
        <v>14.81</v>
      </c>
    </row>
    <row r="2549" spans="1:5" x14ac:dyDescent="0.2">
      <c r="A2549" s="1">
        <v>41583</v>
      </c>
      <c r="B2549">
        <f>13.27</f>
        <v>13.27</v>
      </c>
      <c r="C2549">
        <f>16.7541</f>
        <v>16.754100000000001</v>
      </c>
      <c r="D2549">
        <f>13.73</f>
        <v>13.73</v>
      </c>
      <c r="E2549">
        <f>15.1</f>
        <v>15.1</v>
      </c>
    </row>
    <row r="2550" spans="1:5" x14ac:dyDescent="0.2">
      <c r="A2550" s="1">
        <v>41582</v>
      </c>
      <c r="B2550">
        <f>12.93</f>
        <v>12.93</v>
      </c>
      <c r="C2550">
        <f>16.2488</f>
        <v>16.248799999999999</v>
      </c>
      <c r="D2550">
        <f>13.4</f>
        <v>13.4</v>
      </c>
      <c r="E2550">
        <f>15</f>
        <v>15</v>
      </c>
    </row>
    <row r="2551" spans="1:5" x14ac:dyDescent="0.2">
      <c r="A2551" s="1">
        <v>41579</v>
      </c>
      <c r="B2551">
        <f>13.28</f>
        <v>13.28</v>
      </c>
      <c r="C2551">
        <f>16.205</f>
        <v>16.204999999999998</v>
      </c>
      <c r="D2551">
        <f>13.07</f>
        <v>13.07</v>
      </c>
      <c r="E2551">
        <f>14.99</f>
        <v>14.99</v>
      </c>
    </row>
    <row r="2552" spans="1:5" x14ac:dyDescent="0.2">
      <c r="A2552" s="1">
        <v>41578</v>
      </c>
      <c r="B2552">
        <f>13.75</f>
        <v>13.75</v>
      </c>
      <c r="C2552">
        <f>15.888</f>
        <v>15.888</v>
      </c>
      <c r="D2552">
        <f>13.1</f>
        <v>13.1</v>
      </c>
      <c r="E2552">
        <f>15.03</f>
        <v>15.03</v>
      </c>
    </row>
    <row r="2553" spans="1:5" x14ac:dyDescent="0.2">
      <c r="A2553" s="1">
        <v>41577</v>
      </c>
      <c r="B2553">
        <f>13.65</f>
        <v>13.65</v>
      </c>
      <c r="C2553">
        <f>16.1548</f>
        <v>16.154800000000002</v>
      </c>
      <c r="D2553">
        <f>13.36</f>
        <v>13.36</v>
      </c>
      <c r="E2553">
        <f>15.01</f>
        <v>15.01</v>
      </c>
    </row>
    <row r="2554" spans="1:5" x14ac:dyDescent="0.2">
      <c r="A2554" s="1">
        <v>41576</v>
      </c>
      <c r="B2554">
        <f>13.41</f>
        <v>13.41</v>
      </c>
      <c r="C2554">
        <f>15.1884</f>
        <v>15.1884</v>
      </c>
      <c r="D2554">
        <f>12.62</f>
        <v>12.62</v>
      </c>
      <c r="E2554">
        <f>15.06</f>
        <v>15.06</v>
      </c>
    </row>
    <row r="2555" spans="1:5" x14ac:dyDescent="0.2">
      <c r="A2555" s="1">
        <v>41575</v>
      </c>
      <c r="B2555">
        <f>13.31</f>
        <v>13.31</v>
      </c>
      <c r="C2555">
        <f>15.8884</f>
        <v>15.888400000000001</v>
      </c>
      <c r="D2555">
        <f>13.19</f>
        <v>13.19</v>
      </c>
      <c r="E2555">
        <f>15.08</f>
        <v>15.08</v>
      </c>
    </row>
    <row r="2556" spans="1:5" x14ac:dyDescent="0.2">
      <c r="A2556" s="1">
        <v>41572</v>
      </c>
      <c r="B2556">
        <f>13.09</f>
        <v>13.09</v>
      </c>
      <c r="C2556">
        <f>15.0179</f>
        <v>15.017899999999999</v>
      </c>
      <c r="D2556">
        <f>12.58</f>
        <v>12.58</v>
      </c>
      <c r="E2556">
        <f>15.08</f>
        <v>15.08</v>
      </c>
    </row>
    <row r="2557" spans="1:5" x14ac:dyDescent="0.2">
      <c r="A2557" s="1">
        <v>41571</v>
      </c>
      <c r="B2557">
        <f>13.2</f>
        <v>13.2</v>
      </c>
      <c r="C2557">
        <f>15.5581</f>
        <v>15.5581</v>
      </c>
      <c r="D2557">
        <f>12.5</f>
        <v>12.5</v>
      </c>
      <c r="E2557">
        <f>15.15</f>
        <v>15.15</v>
      </c>
    </row>
    <row r="2558" spans="1:5" x14ac:dyDescent="0.2">
      <c r="A2558" s="1">
        <v>41570</v>
      </c>
      <c r="B2558">
        <f>13.42</f>
        <v>13.42</v>
      </c>
      <c r="C2558">
        <f>16.6163</f>
        <v>16.616299999999999</v>
      </c>
      <c r="D2558">
        <f>12.8</f>
        <v>12.8</v>
      </c>
      <c r="E2558">
        <f>15.4</f>
        <v>15.4</v>
      </c>
    </row>
    <row r="2559" spans="1:5" x14ac:dyDescent="0.2">
      <c r="A2559" s="1">
        <v>41569</v>
      </c>
      <c r="B2559">
        <f>13.33</f>
        <v>13.33</v>
      </c>
      <c r="C2559">
        <f>15.6057</f>
        <v>15.605700000000001</v>
      </c>
      <c r="D2559">
        <f>12.07</f>
        <v>12.07</v>
      </c>
      <c r="E2559">
        <f>15.04</f>
        <v>15.04</v>
      </c>
    </row>
    <row r="2560" spans="1:5" x14ac:dyDescent="0.2">
      <c r="A2560" s="1">
        <v>41568</v>
      </c>
      <c r="B2560">
        <f>13.16</f>
        <v>13.16</v>
      </c>
      <c r="C2560">
        <f>15.998</f>
        <v>15.997999999999999</v>
      </c>
      <c r="D2560">
        <f>12.2</f>
        <v>12.2</v>
      </c>
      <c r="E2560">
        <f>15.48</f>
        <v>15.48</v>
      </c>
    </row>
    <row r="2561" spans="1:5" x14ac:dyDescent="0.2">
      <c r="A2561" s="1">
        <v>41565</v>
      </c>
      <c r="B2561">
        <f>13.04</f>
        <v>13.04</v>
      </c>
      <c r="C2561">
        <f>15.4232</f>
        <v>15.4232</v>
      </c>
      <c r="D2561">
        <f>12.11</f>
        <v>12.11</v>
      </c>
      <c r="E2561">
        <f>15.76</f>
        <v>15.76</v>
      </c>
    </row>
    <row r="2562" spans="1:5" x14ac:dyDescent="0.2">
      <c r="A2562" s="1">
        <v>41564</v>
      </c>
      <c r="B2562">
        <f>13.48</f>
        <v>13.48</v>
      </c>
      <c r="C2562">
        <f>16.8333</f>
        <v>16.833300000000001</v>
      </c>
      <c r="D2562">
        <f>13.26</f>
        <v>13.26</v>
      </c>
      <c r="E2562">
        <f>15.76</f>
        <v>15.76</v>
      </c>
    </row>
    <row r="2563" spans="1:5" x14ac:dyDescent="0.2">
      <c r="A2563" s="1">
        <v>41563</v>
      </c>
      <c r="B2563">
        <f>14.71</f>
        <v>14.71</v>
      </c>
      <c r="C2563">
        <f>18.5951</f>
        <v>18.595099999999999</v>
      </c>
      <c r="D2563">
        <f>14.83</f>
        <v>14.83</v>
      </c>
      <c r="E2563">
        <f>16.22</f>
        <v>16.22</v>
      </c>
    </row>
    <row r="2564" spans="1:5" x14ac:dyDescent="0.2">
      <c r="A2564" s="1">
        <v>41562</v>
      </c>
      <c r="B2564">
        <f>18.66</f>
        <v>18.66</v>
      </c>
      <c r="C2564">
        <f>18.6214</f>
        <v>18.621400000000001</v>
      </c>
      <c r="D2564">
        <f>14.49</f>
        <v>14.49</v>
      </c>
      <c r="E2564">
        <f>16.37</f>
        <v>16.37</v>
      </c>
    </row>
    <row r="2565" spans="1:5" x14ac:dyDescent="0.2">
      <c r="A2565" s="1">
        <v>41561</v>
      </c>
      <c r="B2565">
        <f>16.07</f>
        <v>16.07</v>
      </c>
      <c r="C2565">
        <f>20.1581</f>
        <v>20.158100000000001</v>
      </c>
      <c r="D2565">
        <f>15.53</f>
        <v>15.53</v>
      </c>
      <c r="E2565">
        <f>16.85</f>
        <v>16.850000000000001</v>
      </c>
    </row>
    <row r="2566" spans="1:5" x14ac:dyDescent="0.2">
      <c r="A2566" s="1">
        <v>41558</v>
      </c>
      <c r="B2566">
        <f>15.72</f>
        <v>15.72</v>
      </c>
      <c r="C2566">
        <f>18.2601</f>
        <v>18.260100000000001</v>
      </c>
      <c r="D2566">
        <f>14.21</f>
        <v>14.21</v>
      </c>
      <c r="E2566">
        <f>16.58</f>
        <v>16.579999999999998</v>
      </c>
    </row>
    <row r="2567" spans="1:5" x14ac:dyDescent="0.2">
      <c r="A2567" s="1">
        <v>41557</v>
      </c>
      <c r="B2567">
        <f>16.48</f>
        <v>16.48</v>
      </c>
      <c r="C2567">
        <f>19.8426</f>
        <v>19.842600000000001</v>
      </c>
      <c r="D2567">
        <f>15.56</f>
        <v>15.56</v>
      </c>
      <c r="E2567">
        <f>17.36</f>
        <v>17.36</v>
      </c>
    </row>
    <row r="2568" spans="1:5" x14ac:dyDescent="0.2">
      <c r="A2568" s="1">
        <v>41556</v>
      </c>
      <c r="B2568">
        <f>19.6</f>
        <v>19.600000000000001</v>
      </c>
      <c r="C2568">
        <f>23.3614</f>
        <v>23.3614</v>
      </c>
      <c r="D2568">
        <f>17.98</f>
        <v>17.98</v>
      </c>
      <c r="E2568">
        <f>18.02</f>
        <v>18.02</v>
      </c>
    </row>
    <row r="2569" spans="1:5" x14ac:dyDescent="0.2">
      <c r="A2569" s="1">
        <v>41555</v>
      </c>
      <c r="B2569">
        <f>20.34</f>
        <v>20.34</v>
      </c>
      <c r="C2569">
        <f>20.8905</f>
        <v>20.890499999999999</v>
      </c>
      <c r="D2569">
        <f>16.71</f>
        <v>16.71</v>
      </c>
      <c r="E2569">
        <f>17.62</f>
        <v>17.62</v>
      </c>
    </row>
    <row r="2570" spans="1:5" x14ac:dyDescent="0.2">
      <c r="A2570" s="1">
        <v>41554</v>
      </c>
      <c r="B2570">
        <f>19.41</f>
        <v>19.41</v>
      </c>
      <c r="C2570">
        <f>20.1564</f>
        <v>20.156400000000001</v>
      </c>
      <c r="D2570">
        <f>15.48</f>
        <v>15.48</v>
      </c>
      <c r="E2570">
        <f>16.65</f>
        <v>16.649999999999999</v>
      </c>
    </row>
    <row r="2571" spans="1:5" x14ac:dyDescent="0.2">
      <c r="A2571" s="1">
        <v>41551</v>
      </c>
      <c r="B2571">
        <f>16.74</f>
        <v>16.739999999999998</v>
      </c>
      <c r="C2571">
        <f>19.5446</f>
        <v>19.544599999999999</v>
      </c>
      <c r="D2571">
        <f>14.65</f>
        <v>14.65</v>
      </c>
      <c r="E2571">
        <f>16.4</f>
        <v>16.399999999999999</v>
      </c>
    </row>
    <row r="2572" spans="1:5" x14ac:dyDescent="0.2">
      <c r="A2572" s="1">
        <v>41550</v>
      </c>
      <c r="B2572">
        <f>17.67</f>
        <v>17.670000000000002</v>
      </c>
      <c r="C2572">
        <f>20.0589</f>
        <v>20.058900000000001</v>
      </c>
      <c r="D2572">
        <f>14.9</f>
        <v>14.9</v>
      </c>
      <c r="E2572">
        <f>16.39</f>
        <v>16.39</v>
      </c>
    </row>
    <row r="2573" spans="1:5" x14ac:dyDescent="0.2">
      <c r="A2573" s="1">
        <v>41549</v>
      </c>
      <c r="B2573">
        <f>16.6</f>
        <v>16.600000000000001</v>
      </c>
      <c r="C2573">
        <f>19.2611</f>
        <v>19.261099999999999</v>
      </c>
      <c r="D2573">
        <f>14.83</f>
        <v>14.83</v>
      </c>
      <c r="E2573">
        <f>16.38</f>
        <v>16.38</v>
      </c>
    </row>
    <row r="2574" spans="1:5" x14ac:dyDescent="0.2">
      <c r="A2574" s="1">
        <v>41548</v>
      </c>
      <c r="B2574">
        <f>15.54</f>
        <v>15.54</v>
      </c>
      <c r="C2574">
        <f>18.3242</f>
        <v>18.324200000000001</v>
      </c>
      <c r="D2574">
        <f>14.41</f>
        <v>14.41</v>
      </c>
      <c r="E2574">
        <f>16.12</f>
        <v>16.12</v>
      </c>
    </row>
    <row r="2575" spans="1:5" x14ac:dyDescent="0.2">
      <c r="A2575" s="1">
        <v>41547</v>
      </c>
      <c r="B2575">
        <f>16.6</f>
        <v>16.600000000000001</v>
      </c>
      <c r="C2575">
        <f>19.4503</f>
        <v>19.450299999999999</v>
      </c>
      <c r="D2575">
        <f>15.49</f>
        <v>15.49</v>
      </c>
      <c r="E2575">
        <f>16.08</f>
        <v>16.079999999999998</v>
      </c>
    </row>
    <row r="2576" spans="1:5" x14ac:dyDescent="0.2">
      <c r="A2576" s="1">
        <v>41544</v>
      </c>
      <c r="B2576">
        <f>15.46</f>
        <v>15.46</v>
      </c>
      <c r="C2576">
        <f>16.9196</f>
        <v>16.919599999999999</v>
      </c>
      <c r="D2576">
        <f>13.62</f>
        <v>13.62</v>
      </c>
      <c r="E2576">
        <f>15.82</f>
        <v>15.82</v>
      </c>
    </row>
    <row r="2577" spans="1:5" x14ac:dyDescent="0.2">
      <c r="A2577" s="1">
        <v>41543</v>
      </c>
      <c r="B2577">
        <f>14.06</f>
        <v>14.06</v>
      </c>
      <c r="C2577">
        <f>16.4689</f>
        <v>16.468900000000001</v>
      </c>
      <c r="D2577">
        <f>12.66</f>
        <v>12.66</v>
      </c>
      <c r="E2577">
        <f>15.8</f>
        <v>15.8</v>
      </c>
    </row>
    <row r="2578" spans="1:5" x14ac:dyDescent="0.2">
      <c r="A2578" s="1">
        <v>41542</v>
      </c>
      <c r="B2578">
        <f>14.01</f>
        <v>14.01</v>
      </c>
      <c r="C2578">
        <f>16.4038</f>
        <v>16.4038</v>
      </c>
      <c r="D2578">
        <f>12.6</f>
        <v>12.6</v>
      </c>
      <c r="E2578">
        <f>16.04</f>
        <v>16.04</v>
      </c>
    </row>
    <row r="2579" spans="1:5" x14ac:dyDescent="0.2">
      <c r="A2579" s="1">
        <v>41541</v>
      </c>
      <c r="B2579">
        <f>14.08</f>
        <v>14.08</v>
      </c>
      <c r="C2579">
        <f>16.6237</f>
        <v>16.623699999999999</v>
      </c>
      <c r="D2579">
        <f>12.48</f>
        <v>12.48</v>
      </c>
      <c r="E2579" t="e">
        <f>NA()</f>
        <v>#N/A</v>
      </c>
    </row>
    <row r="2580" spans="1:5" x14ac:dyDescent="0.2">
      <c r="A2580" s="1">
        <v>41540</v>
      </c>
      <c r="B2580">
        <f>14.31</f>
        <v>14.31</v>
      </c>
      <c r="C2580">
        <f>17.4539</f>
        <v>17.453900000000001</v>
      </c>
      <c r="D2580">
        <f>12.56</f>
        <v>12.56</v>
      </c>
      <c r="E2580">
        <f>16.01</f>
        <v>16.010000000000002</v>
      </c>
    </row>
    <row r="2581" spans="1:5" x14ac:dyDescent="0.2">
      <c r="A2581" s="1">
        <v>41537</v>
      </c>
      <c r="B2581">
        <f>13.12</f>
        <v>13.12</v>
      </c>
      <c r="C2581">
        <f>16.7626</f>
        <v>16.762599999999999</v>
      </c>
      <c r="D2581">
        <f>12.3</f>
        <v>12.3</v>
      </c>
      <c r="E2581">
        <f>15.71</f>
        <v>15.71</v>
      </c>
    </row>
    <row r="2582" spans="1:5" x14ac:dyDescent="0.2">
      <c r="A2582" s="1">
        <v>41536</v>
      </c>
      <c r="B2582">
        <f>13.16</f>
        <v>13.16</v>
      </c>
      <c r="C2582">
        <f>16.8696</f>
        <v>16.869599999999998</v>
      </c>
      <c r="D2582">
        <f>12.86</f>
        <v>12.86</v>
      </c>
      <c r="E2582">
        <f>15.76</f>
        <v>15.76</v>
      </c>
    </row>
    <row r="2583" spans="1:5" x14ac:dyDescent="0.2">
      <c r="A2583" s="1">
        <v>41535</v>
      </c>
      <c r="B2583">
        <f>13.59</f>
        <v>13.59</v>
      </c>
      <c r="C2583">
        <f>18.1656</f>
        <v>18.165600000000001</v>
      </c>
      <c r="D2583">
        <f>14.07</f>
        <v>14.07</v>
      </c>
      <c r="E2583">
        <f>16.53</f>
        <v>16.53</v>
      </c>
    </row>
    <row r="2584" spans="1:5" x14ac:dyDescent="0.2">
      <c r="A2584" s="1">
        <v>41534</v>
      </c>
      <c r="B2584">
        <f>14.53</f>
        <v>14.53</v>
      </c>
      <c r="C2584">
        <f>18.987</f>
        <v>18.986999999999998</v>
      </c>
      <c r="D2584">
        <f>14.01</f>
        <v>14.01</v>
      </c>
      <c r="E2584">
        <f>16.27</f>
        <v>16.27</v>
      </c>
    </row>
    <row r="2585" spans="1:5" x14ac:dyDescent="0.2">
      <c r="A2585" s="1">
        <v>41533</v>
      </c>
      <c r="B2585">
        <f>14.38</f>
        <v>14.38</v>
      </c>
      <c r="C2585">
        <f>18.7198</f>
        <v>18.719799999999999</v>
      </c>
      <c r="D2585">
        <f>14</f>
        <v>14</v>
      </c>
      <c r="E2585">
        <f>16.28</f>
        <v>16.28</v>
      </c>
    </row>
    <row r="2586" spans="1:5" x14ac:dyDescent="0.2">
      <c r="A2586" s="1">
        <v>41530</v>
      </c>
      <c r="B2586">
        <f>14.16</f>
        <v>14.16</v>
      </c>
      <c r="C2586">
        <f>18.3842</f>
        <v>18.3842</v>
      </c>
      <c r="D2586">
        <f>14.04</f>
        <v>14.04</v>
      </c>
      <c r="E2586">
        <f>16.28</f>
        <v>16.28</v>
      </c>
    </row>
    <row r="2587" spans="1:5" x14ac:dyDescent="0.2">
      <c r="A2587" s="1">
        <v>41529</v>
      </c>
      <c r="B2587">
        <f>14.29</f>
        <v>14.29</v>
      </c>
      <c r="C2587">
        <f>18.4084</f>
        <v>18.4084</v>
      </c>
      <c r="D2587">
        <f>14.2</f>
        <v>14.2</v>
      </c>
      <c r="E2587">
        <f>15.99</f>
        <v>15.99</v>
      </c>
    </row>
    <row r="2588" spans="1:5" x14ac:dyDescent="0.2">
      <c r="A2588" s="1">
        <v>41528</v>
      </c>
      <c r="B2588">
        <f>13.82</f>
        <v>13.82</v>
      </c>
      <c r="C2588">
        <f>18.4298</f>
        <v>18.4298</v>
      </c>
      <c r="D2588">
        <f>14.62</f>
        <v>14.62</v>
      </c>
      <c r="E2588">
        <f>16.52</f>
        <v>16.52</v>
      </c>
    </row>
    <row r="2589" spans="1:5" x14ac:dyDescent="0.2">
      <c r="A2589" s="1">
        <v>41527</v>
      </c>
      <c r="B2589">
        <f>14.53</f>
        <v>14.53</v>
      </c>
      <c r="C2589">
        <f>19.3143</f>
        <v>19.314299999999999</v>
      </c>
      <c r="D2589">
        <f>15.16</f>
        <v>15.16</v>
      </c>
      <c r="E2589">
        <f>16.25</f>
        <v>16.25</v>
      </c>
    </row>
    <row r="2590" spans="1:5" x14ac:dyDescent="0.2">
      <c r="A2590" s="1">
        <v>41526</v>
      </c>
      <c r="B2590">
        <f>15.63</f>
        <v>15.63</v>
      </c>
      <c r="C2590">
        <f>20.4702</f>
        <v>20.470199999999998</v>
      </c>
      <c r="D2590">
        <f>16.42</f>
        <v>16.420000000000002</v>
      </c>
      <c r="E2590">
        <f>17.3</f>
        <v>17.3</v>
      </c>
    </row>
    <row r="2591" spans="1:5" x14ac:dyDescent="0.2">
      <c r="A2591" s="1">
        <v>41523</v>
      </c>
      <c r="B2591">
        <f>15.85</f>
        <v>15.85</v>
      </c>
      <c r="C2591">
        <f>20.2292</f>
        <v>20.229199999999999</v>
      </c>
      <c r="D2591">
        <f>16.25</f>
        <v>16.25</v>
      </c>
      <c r="E2591">
        <f>17.05</f>
        <v>17.05</v>
      </c>
    </row>
    <row r="2592" spans="1:5" x14ac:dyDescent="0.2">
      <c r="A2592" s="1">
        <v>41522</v>
      </c>
      <c r="B2592">
        <f>15.77</f>
        <v>15.77</v>
      </c>
      <c r="C2592">
        <f>21.5095</f>
        <v>21.509499999999999</v>
      </c>
      <c r="D2592">
        <f>17.38</f>
        <v>17.38</v>
      </c>
      <c r="E2592">
        <f>17.03</f>
        <v>17.03</v>
      </c>
    </row>
    <row r="2593" spans="1:5" x14ac:dyDescent="0.2">
      <c r="A2593" s="1">
        <v>41521</v>
      </c>
      <c r="B2593">
        <f>15.88</f>
        <v>15.88</v>
      </c>
      <c r="C2593">
        <f>22.0945</f>
        <v>22.0945</v>
      </c>
      <c r="D2593">
        <f>17.72</f>
        <v>17.72</v>
      </c>
      <c r="E2593">
        <f>17.04</f>
        <v>17.04</v>
      </c>
    </row>
    <row r="2594" spans="1:5" x14ac:dyDescent="0.2">
      <c r="A2594" s="1">
        <v>41520</v>
      </c>
      <c r="B2594">
        <f>16.61</f>
        <v>16.61</v>
      </c>
      <c r="C2594">
        <f>23.0533</f>
        <v>23.0533</v>
      </c>
      <c r="D2594">
        <f>18.11</f>
        <v>18.11</v>
      </c>
      <c r="E2594">
        <f>16.78</f>
        <v>16.78</v>
      </c>
    </row>
    <row r="2595" spans="1:5" x14ac:dyDescent="0.2">
      <c r="A2595" s="1">
        <v>41519</v>
      </c>
      <c r="B2595" t="e">
        <f>NA()</f>
        <v>#N/A</v>
      </c>
      <c r="C2595">
        <f>21.9028</f>
        <v>21.902799999999999</v>
      </c>
      <c r="D2595">
        <f>17.29</f>
        <v>17.29</v>
      </c>
      <c r="E2595">
        <f>19.8</f>
        <v>19.8</v>
      </c>
    </row>
    <row r="2596" spans="1:5" x14ac:dyDescent="0.2">
      <c r="A2596" s="1">
        <v>41516</v>
      </c>
      <c r="B2596">
        <f>17.01</f>
        <v>17.010000000000002</v>
      </c>
      <c r="C2596">
        <f>23.4785</f>
        <v>23.4785</v>
      </c>
      <c r="D2596">
        <f>18.63</f>
        <v>18.63</v>
      </c>
      <c r="E2596">
        <f>19.31</f>
        <v>19.309999999999999</v>
      </c>
    </row>
    <row r="2597" spans="1:5" x14ac:dyDescent="0.2">
      <c r="A2597" s="1">
        <v>41515</v>
      </c>
      <c r="B2597">
        <f>16.81</f>
        <v>16.809999999999999</v>
      </c>
      <c r="C2597">
        <f>21.1498</f>
        <v>21.149799999999999</v>
      </c>
      <c r="D2597">
        <f>16.85</f>
        <v>16.850000000000001</v>
      </c>
      <c r="E2597">
        <f>19.25</f>
        <v>19.25</v>
      </c>
    </row>
    <row r="2598" spans="1:5" x14ac:dyDescent="0.2">
      <c r="A2598" s="1">
        <v>41514</v>
      </c>
      <c r="B2598">
        <f>16.49</f>
        <v>16.489999999999998</v>
      </c>
      <c r="C2598">
        <f>22.3124</f>
        <v>22.3124</v>
      </c>
      <c r="D2598">
        <f>17.76</f>
        <v>17.760000000000002</v>
      </c>
      <c r="E2598">
        <f>19.01</f>
        <v>19.010000000000002</v>
      </c>
    </row>
    <row r="2599" spans="1:5" x14ac:dyDescent="0.2">
      <c r="A2599" s="1">
        <v>41513</v>
      </c>
      <c r="B2599">
        <f>16.77</f>
        <v>16.77</v>
      </c>
      <c r="C2599">
        <f>22.1683</f>
        <v>22.168299999999999</v>
      </c>
      <c r="D2599">
        <f>17.84</f>
        <v>17.84</v>
      </c>
      <c r="E2599">
        <f>17.72</f>
        <v>17.72</v>
      </c>
    </row>
    <row r="2600" spans="1:5" x14ac:dyDescent="0.2">
      <c r="A2600" s="1">
        <v>41512</v>
      </c>
      <c r="B2600">
        <f>14.99</f>
        <v>14.99</v>
      </c>
      <c r="C2600">
        <f>17.9047</f>
        <v>17.904699999999998</v>
      </c>
      <c r="D2600" t="e">
        <f>NA()</f>
        <v>#N/A</v>
      </c>
      <c r="E2600">
        <f>17.21</f>
        <v>17.21</v>
      </c>
    </row>
    <row r="2601" spans="1:5" x14ac:dyDescent="0.2">
      <c r="A2601" s="1">
        <v>41509</v>
      </c>
      <c r="B2601">
        <f>13.98</f>
        <v>13.98</v>
      </c>
      <c r="C2601">
        <f>17.8238</f>
        <v>17.823799999999999</v>
      </c>
      <c r="D2601">
        <f>15.31</f>
        <v>15.31</v>
      </c>
      <c r="E2601">
        <f>16.97</f>
        <v>16.97</v>
      </c>
    </row>
    <row r="2602" spans="1:5" x14ac:dyDescent="0.2">
      <c r="A2602" s="1">
        <v>41508</v>
      </c>
      <c r="B2602">
        <f>14.76</f>
        <v>14.76</v>
      </c>
      <c r="C2602">
        <f>18.7137</f>
        <v>18.713699999999999</v>
      </c>
      <c r="D2602">
        <f>16.1</f>
        <v>16.100000000000001</v>
      </c>
      <c r="E2602">
        <f>17.22</f>
        <v>17.22</v>
      </c>
    </row>
    <row r="2603" spans="1:5" x14ac:dyDescent="0.2">
      <c r="A2603" s="1">
        <v>41507</v>
      </c>
      <c r="B2603">
        <f>15.94</f>
        <v>15.94</v>
      </c>
      <c r="C2603">
        <f>20.5374</f>
        <v>20.537400000000002</v>
      </c>
      <c r="D2603">
        <f>17.46</f>
        <v>17.46</v>
      </c>
      <c r="E2603">
        <f>17.22</f>
        <v>17.22</v>
      </c>
    </row>
    <row r="2604" spans="1:5" x14ac:dyDescent="0.2">
      <c r="A2604" s="1">
        <v>41506</v>
      </c>
      <c r="B2604">
        <f>14.91</f>
        <v>14.91</v>
      </c>
      <c r="C2604">
        <f>19.1958</f>
        <v>19.195799999999998</v>
      </c>
      <c r="D2604">
        <f>16.2</f>
        <v>16.2</v>
      </c>
      <c r="E2604">
        <f>16.74</f>
        <v>16.739999999999998</v>
      </c>
    </row>
    <row r="2605" spans="1:5" x14ac:dyDescent="0.2">
      <c r="A2605" s="1">
        <v>41505</v>
      </c>
      <c r="B2605">
        <f>15.1</f>
        <v>15.1</v>
      </c>
      <c r="C2605">
        <f>17.4926</f>
        <v>17.492599999999999</v>
      </c>
      <c r="D2605">
        <f>15.49</f>
        <v>15.49</v>
      </c>
      <c r="E2605">
        <f>17.06</f>
        <v>17.059999999999999</v>
      </c>
    </row>
    <row r="2606" spans="1:5" x14ac:dyDescent="0.2">
      <c r="A2606" s="1">
        <v>41502</v>
      </c>
      <c r="B2606">
        <f>14.37</f>
        <v>14.37</v>
      </c>
      <c r="C2606">
        <f>16.4082</f>
        <v>16.408200000000001</v>
      </c>
      <c r="D2606">
        <f>14.45</f>
        <v>14.45</v>
      </c>
      <c r="E2606">
        <f>17.07</f>
        <v>17.07</v>
      </c>
    </row>
    <row r="2607" spans="1:5" x14ac:dyDescent="0.2">
      <c r="A2607" s="1">
        <v>41501</v>
      </c>
      <c r="B2607">
        <f>14.73</f>
        <v>14.73</v>
      </c>
      <c r="C2607">
        <f>17.2894</f>
        <v>17.289400000000001</v>
      </c>
      <c r="D2607">
        <f>15.07</f>
        <v>15.07</v>
      </c>
      <c r="E2607">
        <f>16.76</f>
        <v>16.760000000000002</v>
      </c>
    </row>
    <row r="2608" spans="1:5" x14ac:dyDescent="0.2">
      <c r="A2608" s="1">
        <v>41500</v>
      </c>
      <c r="B2608">
        <f>13.04</f>
        <v>13.04</v>
      </c>
      <c r="C2608">
        <f>16.6396</f>
        <v>16.639600000000002</v>
      </c>
      <c r="D2608">
        <f>13.56</f>
        <v>13.56</v>
      </c>
      <c r="E2608">
        <f>16.76</f>
        <v>16.760000000000002</v>
      </c>
    </row>
    <row r="2609" spans="1:5" x14ac:dyDescent="0.2">
      <c r="A2609" s="1">
        <v>41499</v>
      </c>
      <c r="B2609">
        <f>12.31</f>
        <v>12.31</v>
      </c>
      <c r="C2609">
        <f>17.0781</f>
        <v>17.078099999999999</v>
      </c>
      <c r="D2609">
        <f>13.83</f>
        <v>13.83</v>
      </c>
      <c r="E2609">
        <f>16.8</f>
        <v>16.8</v>
      </c>
    </row>
    <row r="2610" spans="1:5" x14ac:dyDescent="0.2">
      <c r="A2610" s="1">
        <v>41498</v>
      </c>
      <c r="B2610">
        <f>12.81</f>
        <v>12.81</v>
      </c>
      <c r="C2610">
        <f>17.3567</f>
        <v>17.3567</v>
      </c>
      <c r="D2610">
        <f>13.35</f>
        <v>13.35</v>
      </c>
      <c r="E2610">
        <f>16.8</f>
        <v>16.8</v>
      </c>
    </row>
    <row r="2611" spans="1:5" x14ac:dyDescent="0.2">
      <c r="A2611" s="1">
        <v>41495</v>
      </c>
      <c r="B2611">
        <f>13.41</f>
        <v>13.41</v>
      </c>
      <c r="C2611">
        <f>17.1706</f>
        <v>17.1706</v>
      </c>
      <c r="D2611">
        <f>12.81</f>
        <v>12.81</v>
      </c>
      <c r="E2611" t="e">
        <f>NA()</f>
        <v>#N/A</v>
      </c>
    </row>
    <row r="2612" spans="1:5" x14ac:dyDescent="0.2">
      <c r="A2612" s="1">
        <v>41494</v>
      </c>
      <c r="B2612">
        <f>12.73</f>
        <v>12.73</v>
      </c>
      <c r="C2612">
        <f>17.3468</f>
        <v>17.346800000000002</v>
      </c>
      <c r="D2612">
        <f>13.18</f>
        <v>13.18</v>
      </c>
      <c r="E2612">
        <f>17.35</f>
        <v>17.350000000000001</v>
      </c>
    </row>
    <row r="2613" spans="1:5" x14ac:dyDescent="0.2">
      <c r="A2613" s="1">
        <v>41493</v>
      </c>
      <c r="B2613">
        <f>12.98</f>
        <v>12.98</v>
      </c>
      <c r="C2613">
        <f>18.2711</f>
        <v>18.271100000000001</v>
      </c>
      <c r="D2613">
        <f>14.71</f>
        <v>14.71</v>
      </c>
      <c r="E2613">
        <f>17.55</f>
        <v>17.55</v>
      </c>
    </row>
    <row r="2614" spans="1:5" x14ac:dyDescent="0.2">
      <c r="A2614" s="1">
        <v>41492</v>
      </c>
      <c r="B2614">
        <f>12.72</f>
        <v>12.72</v>
      </c>
      <c r="C2614">
        <f>17.9242</f>
        <v>17.924199999999999</v>
      </c>
      <c r="D2614">
        <f>15.35</f>
        <v>15.35</v>
      </c>
      <c r="E2614">
        <f>17.55</f>
        <v>17.55</v>
      </c>
    </row>
    <row r="2615" spans="1:5" x14ac:dyDescent="0.2">
      <c r="A2615" s="1">
        <v>41491</v>
      </c>
      <c r="B2615">
        <f>11.84</f>
        <v>11.84</v>
      </c>
      <c r="C2615">
        <f>17.3314</f>
        <v>17.331399999999999</v>
      </c>
      <c r="D2615">
        <f>15.01</f>
        <v>15.01</v>
      </c>
      <c r="E2615">
        <f>17.54</f>
        <v>17.54</v>
      </c>
    </row>
    <row r="2616" spans="1:5" x14ac:dyDescent="0.2">
      <c r="A2616" s="1">
        <v>41488</v>
      </c>
      <c r="B2616">
        <f>11.98</f>
        <v>11.98</v>
      </c>
      <c r="C2616">
        <f>16.8183</f>
        <v>16.818300000000001</v>
      </c>
      <c r="D2616">
        <f>15.12</f>
        <v>15.12</v>
      </c>
      <c r="E2616">
        <f>17.88</f>
        <v>17.88</v>
      </c>
    </row>
    <row r="2617" spans="1:5" x14ac:dyDescent="0.2">
      <c r="A2617" s="1">
        <v>41487</v>
      </c>
      <c r="B2617">
        <f>12.94</f>
        <v>12.94</v>
      </c>
      <c r="C2617">
        <f>17.4564</f>
        <v>17.456399999999999</v>
      </c>
      <c r="D2617">
        <f>15.77</f>
        <v>15.77</v>
      </c>
      <c r="E2617">
        <f>18.99</f>
        <v>18.989999999999998</v>
      </c>
    </row>
    <row r="2618" spans="1:5" x14ac:dyDescent="0.2">
      <c r="A2618" s="1">
        <v>41486</v>
      </c>
      <c r="B2618">
        <f>13.45</f>
        <v>13.45</v>
      </c>
      <c r="C2618">
        <f>19.0644</f>
        <v>19.064399999999999</v>
      </c>
      <c r="D2618">
        <f>16.72</f>
        <v>16.72</v>
      </c>
      <c r="E2618">
        <f>18.99</f>
        <v>18.989999999999998</v>
      </c>
    </row>
    <row r="2619" spans="1:5" x14ac:dyDescent="0.2">
      <c r="A2619" s="1">
        <v>41485</v>
      </c>
      <c r="B2619">
        <f>13.39</f>
        <v>13.39</v>
      </c>
      <c r="C2619">
        <f>18.8439</f>
        <v>18.843900000000001</v>
      </c>
      <c r="D2619">
        <f>15.99</f>
        <v>15.99</v>
      </c>
      <c r="E2619">
        <f>18.99</f>
        <v>18.989999999999998</v>
      </c>
    </row>
    <row r="2620" spans="1:5" x14ac:dyDescent="0.2">
      <c r="A2620" s="1">
        <v>41484</v>
      </c>
      <c r="B2620">
        <f>13.39</f>
        <v>13.39</v>
      </c>
      <c r="C2620">
        <f>18.7032</f>
        <v>18.703199999999999</v>
      </c>
      <c r="D2620">
        <f>15.84</f>
        <v>15.84</v>
      </c>
      <c r="E2620">
        <f>19.34</f>
        <v>19.34</v>
      </c>
    </row>
    <row r="2621" spans="1:5" x14ac:dyDescent="0.2">
      <c r="A2621" s="1">
        <v>41481</v>
      </c>
      <c r="B2621">
        <f>12.72</f>
        <v>12.72</v>
      </c>
      <c r="C2621">
        <f>18.1141</f>
        <v>18.114100000000001</v>
      </c>
      <c r="D2621">
        <f>15.53</f>
        <v>15.53</v>
      </c>
      <c r="E2621">
        <f>19.54</f>
        <v>19.54</v>
      </c>
    </row>
    <row r="2622" spans="1:5" x14ac:dyDescent="0.2">
      <c r="A2622" s="1">
        <v>41480</v>
      </c>
      <c r="B2622">
        <f>12.97</f>
        <v>12.97</v>
      </c>
      <c r="C2622">
        <f>17.4835</f>
        <v>17.483499999999999</v>
      </c>
      <c r="D2622">
        <f>15.79</f>
        <v>15.79</v>
      </c>
      <c r="E2622">
        <f>19.11</f>
        <v>19.11</v>
      </c>
    </row>
    <row r="2623" spans="1:5" x14ac:dyDescent="0.2">
      <c r="A2623" s="1">
        <v>41479</v>
      </c>
      <c r="B2623">
        <f>13.18</f>
        <v>13.18</v>
      </c>
      <c r="C2623">
        <f>17.085</f>
        <v>17.085000000000001</v>
      </c>
      <c r="D2623">
        <f>15.54</f>
        <v>15.54</v>
      </c>
      <c r="E2623">
        <f>19.12</f>
        <v>19.12</v>
      </c>
    </row>
    <row r="2624" spans="1:5" x14ac:dyDescent="0.2">
      <c r="A2624" s="1">
        <v>41478</v>
      </c>
      <c r="B2624">
        <f>12.66</f>
        <v>12.66</v>
      </c>
      <c r="C2624">
        <f>17.3366</f>
        <v>17.336600000000001</v>
      </c>
      <c r="D2624">
        <f>15.08</f>
        <v>15.08</v>
      </c>
      <c r="E2624">
        <f>19.91</f>
        <v>19.91</v>
      </c>
    </row>
    <row r="2625" spans="1:5" x14ac:dyDescent="0.2">
      <c r="A2625" s="1">
        <v>41477</v>
      </c>
      <c r="B2625">
        <f>12.29</f>
        <v>12.29</v>
      </c>
      <c r="C2625">
        <f>17.4706</f>
        <v>17.470600000000001</v>
      </c>
      <c r="D2625">
        <f>14.67</f>
        <v>14.67</v>
      </c>
      <c r="E2625">
        <f>19.92</f>
        <v>19.920000000000002</v>
      </c>
    </row>
    <row r="2626" spans="1:5" x14ac:dyDescent="0.2">
      <c r="A2626" s="1">
        <v>41474</v>
      </c>
      <c r="B2626">
        <f>12.54</f>
        <v>12.54</v>
      </c>
      <c r="C2626">
        <f>17.2343</f>
        <v>17.234300000000001</v>
      </c>
      <c r="D2626">
        <f>15.19</f>
        <v>15.19</v>
      </c>
      <c r="E2626">
        <f>20.07</f>
        <v>20.07</v>
      </c>
    </row>
    <row r="2627" spans="1:5" x14ac:dyDescent="0.2">
      <c r="A2627" s="1">
        <v>41473</v>
      </c>
      <c r="B2627">
        <f>13.77</f>
        <v>13.77</v>
      </c>
      <c r="C2627">
        <f>17.6938</f>
        <v>17.6938</v>
      </c>
      <c r="D2627">
        <f>16.01</f>
        <v>16.010000000000002</v>
      </c>
      <c r="E2627">
        <f>20.07</f>
        <v>20.07</v>
      </c>
    </row>
    <row r="2628" spans="1:5" x14ac:dyDescent="0.2">
      <c r="A2628" s="1">
        <v>41472</v>
      </c>
      <c r="B2628">
        <f>13.78</f>
        <v>13.78</v>
      </c>
      <c r="C2628">
        <f>18.4869</f>
        <v>18.486899999999999</v>
      </c>
      <c r="D2628">
        <f>16.65</f>
        <v>16.649999999999999</v>
      </c>
      <c r="E2628">
        <f>21.41</f>
        <v>21.41</v>
      </c>
    </row>
    <row r="2629" spans="1:5" x14ac:dyDescent="0.2">
      <c r="A2629" s="1">
        <v>41471</v>
      </c>
      <c r="B2629">
        <f>14.42</f>
        <v>14.42</v>
      </c>
      <c r="C2629">
        <f>19.2437</f>
        <v>19.2437</v>
      </c>
      <c r="D2629">
        <f>16.31</f>
        <v>16.309999999999999</v>
      </c>
      <c r="E2629">
        <f>21.41</f>
        <v>21.41</v>
      </c>
    </row>
    <row r="2630" spans="1:5" x14ac:dyDescent="0.2">
      <c r="A2630" s="1">
        <v>41470</v>
      </c>
      <c r="B2630">
        <f>13.79</f>
        <v>13.79</v>
      </c>
      <c r="C2630">
        <f>18.9011</f>
        <v>18.9011</v>
      </c>
      <c r="D2630">
        <f>16.19</f>
        <v>16.190000000000001</v>
      </c>
      <c r="E2630">
        <f>21.42</f>
        <v>21.42</v>
      </c>
    </row>
    <row r="2631" spans="1:5" x14ac:dyDescent="0.2">
      <c r="A2631" s="1">
        <v>41467</v>
      </c>
      <c r="B2631">
        <f>13.84</f>
        <v>13.84</v>
      </c>
      <c r="C2631">
        <f>19.072</f>
        <v>19.071999999999999</v>
      </c>
      <c r="D2631">
        <f>16.01</f>
        <v>16.010000000000002</v>
      </c>
      <c r="E2631">
        <f>21.46</f>
        <v>21.46</v>
      </c>
    </row>
    <row r="2632" spans="1:5" x14ac:dyDescent="0.2">
      <c r="A2632" s="1">
        <v>41466</v>
      </c>
      <c r="B2632">
        <f>14.01</f>
        <v>14.01</v>
      </c>
      <c r="C2632">
        <f>18.9757</f>
        <v>18.9757</v>
      </c>
      <c r="D2632">
        <f>16.74</f>
        <v>16.739999999999998</v>
      </c>
      <c r="E2632">
        <f>21.98</f>
        <v>21.98</v>
      </c>
    </row>
    <row r="2633" spans="1:5" x14ac:dyDescent="0.2">
      <c r="A2633" s="1">
        <v>41465</v>
      </c>
      <c r="B2633">
        <f>14.21</f>
        <v>14.21</v>
      </c>
      <c r="C2633">
        <f>20.3708</f>
        <v>20.370799999999999</v>
      </c>
      <c r="D2633">
        <f>17.64</f>
        <v>17.64</v>
      </c>
      <c r="E2633">
        <f>22</f>
        <v>22</v>
      </c>
    </row>
    <row r="2634" spans="1:5" x14ac:dyDescent="0.2">
      <c r="A2634" s="1">
        <v>41464</v>
      </c>
      <c r="B2634">
        <f>14.35</f>
        <v>14.35</v>
      </c>
      <c r="C2634">
        <f>20.6393</f>
        <v>20.639299999999999</v>
      </c>
      <c r="D2634">
        <f>18.54</f>
        <v>18.54</v>
      </c>
      <c r="E2634">
        <f>22.02</f>
        <v>22.02</v>
      </c>
    </row>
    <row r="2635" spans="1:5" x14ac:dyDescent="0.2">
      <c r="A2635" s="1">
        <v>41463</v>
      </c>
      <c r="B2635">
        <f>14.78</f>
        <v>14.78</v>
      </c>
      <c r="C2635">
        <f>21.5829</f>
        <v>21.582899999999999</v>
      </c>
      <c r="D2635">
        <f>18.71</f>
        <v>18.71</v>
      </c>
      <c r="E2635">
        <f>22.04</f>
        <v>22.04</v>
      </c>
    </row>
    <row r="2636" spans="1:5" x14ac:dyDescent="0.2">
      <c r="A2636" s="1">
        <v>41460</v>
      </c>
      <c r="B2636">
        <f>14.89</f>
        <v>14.89</v>
      </c>
      <c r="C2636">
        <f>22.5944</f>
        <v>22.5944</v>
      </c>
      <c r="D2636">
        <f>19.51</f>
        <v>19.510000000000002</v>
      </c>
      <c r="E2636">
        <f>22.07</f>
        <v>22.07</v>
      </c>
    </row>
    <row r="2637" spans="1:5" x14ac:dyDescent="0.2">
      <c r="A2637" s="1">
        <v>41459</v>
      </c>
      <c r="B2637" t="e">
        <f>NA()</f>
        <v>#N/A</v>
      </c>
      <c r="C2637">
        <f>21.3419</f>
        <v>21.341899999999999</v>
      </c>
      <c r="D2637">
        <f>18.84</f>
        <v>18.84</v>
      </c>
      <c r="E2637">
        <f>22.77</f>
        <v>22.77</v>
      </c>
    </row>
    <row r="2638" spans="1:5" x14ac:dyDescent="0.2">
      <c r="A2638" s="1">
        <v>41458</v>
      </c>
      <c r="B2638">
        <f>16.2</f>
        <v>16.2</v>
      </c>
      <c r="C2638">
        <f>22.6511</f>
        <v>22.6511</v>
      </c>
      <c r="D2638">
        <f>18.77</f>
        <v>18.77</v>
      </c>
      <c r="E2638">
        <f>22.82</f>
        <v>22.82</v>
      </c>
    </row>
    <row r="2639" spans="1:5" x14ac:dyDescent="0.2">
      <c r="A2639" s="1">
        <v>41457</v>
      </c>
      <c r="B2639">
        <f>16.44</f>
        <v>16.440000000000001</v>
      </c>
      <c r="C2639">
        <f>21.5897</f>
        <v>21.589700000000001</v>
      </c>
      <c r="D2639">
        <f>17.81</f>
        <v>17.809999999999999</v>
      </c>
      <c r="E2639">
        <f>21.93</f>
        <v>21.93</v>
      </c>
    </row>
    <row r="2640" spans="1:5" x14ac:dyDescent="0.2">
      <c r="A2640" s="1">
        <v>41456</v>
      </c>
      <c r="B2640">
        <f>16.37</f>
        <v>16.37</v>
      </c>
      <c r="C2640">
        <f>21.8282</f>
        <v>21.828199999999999</v>
      </c>
      <c r="D2640">
        <f>18.37</f>
        <v>18.37</v>
      </c>
      <c r="E2640">
        <f>21.97</f>
        <v>21.97</v>
      </c>
    </row>
    <row r="2641" spans="1:5" x14ac:dyDescent="0.2">
      <c r="A2641" s="1">
        <v>41453</v>
      </c>
      <c r="B2641">
        <f>16.86</f>
        <v>16.86</v>
      </c>
      <c r="C2641">
        <f>21.8175</f>
        <v>21.817499999999999</v>
      </c>
      <c r="D2641">
        <f>18.36</f>
        <v>18.36</v>
      </c>
      <c r="E2641">
        <f>22.31</f>
        <v>22.31</v>
      </c>
    </row>
    <row r="2642" spans="1:5" x14ac:dyDescent="0.2">
      <c r="A2642" s="1">
        <v>41452</v>
      </c>
      <c r="B2642">
        <f>16.86</f>
        <v>16.86</v>
      </c>
      <c r="C2642">
        <f>21.6929</f>
        <v>21.692900000000002</v>
      </c>
      <c r="D2642">
        <f>17.62</f>
        <v>17.62</v>
      </c>
      <c r="E2642">
        <f>22.39</f>
        <v>22.39</v>
      </c>
    </row>
    <row r="2643" spans="1:5" x14ac:dyDescent="0.2">
      <c r="A2643" s="1">
        <v>41451</v>
      </c>
      <c r="B2643">
        <f>17.21</f>
        <v>17.21</v>
      </c>
      <c r="C2643">
        <f>22.5505</f>
        <v>22.5505</v>
      </c>
      <c r="D2643">
        <f>18.88</f>
        <v>18.88</v>
      </c>
      <c r="E2643">
        <f>22.68</f>
        <v>22.68</v>
      </c>
    </row>
    <row r="2644" spans="1:5" x14ac:dyDescent="0.2">
      <c r="A2644" s="1">
        <v>41450</v>
      </c>
      <c r="B2644">
        <f>18.47</f>
        <v>18.47</v>
      </c>
      <c r="C2644">
        <f>24.1377</f>
        <v>24.137699999999999</v>
      </c>
      <c r="D2644">
        <f>20.38</f>
        <v>20.38</v>
      </c>
      <c r="E2644">
        <f>22.68</f>
        <v>22.68</v>
      </c>
    </row>
    <row r="2645" spans="1:5" x14ac:dyDescent="0.2">
      <c r="A2645" s="1">
        <v>41449</v>
      </c>
      <c r="B2645">
        <f>20.11</f>
        <v>20.11</v>
      </c>
      <c r="C2645">
        <f>25.3001</f>
        <v>25.3001</v>
      </c>
      <c r="D2645">
        <f>22.06</f>
        <v>22.06</v>
      </c>
      <c r="E2645">
        <f>22.28</f>
        <v>22.28</v>
      </c>
    </row>
    <row r="2646" spans="1:5" x14ac:dyDescent="0.2">
      <c r="A2646" s="1">
        <v>41446</v>
      </c>
      <c r="B2646">
        <f>18.9</f>
        <v>18.899999999999999</v>
      </c>
      <c r="C2646">
        <f>24.0473</f>
        <v>24.0473</v>
      </c>
      <c r="D2646">
        <f>20.8</f>
        <v>20.8</v>
      </c>
      <c r="E2646">
        <f>22.28</f>
        <v>22.28</v>
      </c>
    </row>
    <row r="2647" spans="1:5" x14ac:dyDescent="0.2">
      <c r="A2647" s="1">
        <v>41445</v>
      </c>
      <c r="B2647">
        <f>20.49</f>
        <v>20.49</v>
      </c>
      <c r="C2647">
        <f>23.6094</f>
        <v>23.609400000000001</v>
      </c>
      <c r="D2647">
        <f>20.36</f>
        <v>20.36</v>
      </c>
      <c r="E2647">
        <f>21.43</f>
        <v>21.43</v>
      </c>
    </row>
    <row r="2648" spans="1:5" x14ac:dyDescent="0.2">
      <c r="A2648" s="1">
        <v>41444</v>
      </c>
      <c r="B2648">
        <f>16.64</f>
        <v>16.64</v>
      </c>
      <c r="C2648">
        <f>20.4065</f>
        <v>20.406500000000001</v>
      </c>
      <c r="D2648">
        <f>17.32</f>
        <v>17.32</v>
      </c>
      <c r="E2648">
        <f>20.4</f>
        <v>20.399999999999999</v>
      </c>
    </row>
    <row r="2649" spans="1:5" x14ac:dyDescent="0.2">
      <c r="A2649" s="1">
        <v>41443</v>
      </c>
      <c r="B2649">
        <f>16.61</f>
        <v>16.61</v>
      </c>
      <c r="C2649">
        <f>20.8403</f>
        <v>20.840299999999999</v>
      </c>
      <c r="D2649">
        <f>17.33</f>
        <v>17.329999999999998</v>
      </c>
      <c r="E2649">
        <f>20.14</f>
        <v>20.14</v>
      </c>
    </row>
    <row r="2650" spans="1:5" x14ac:dyDescent="0.2">
      <c r="A2650" s="1">
        <v>41442</v>
      </c>
      <c r="B2650">
        <f>16.8</f>
        <v>16.8</v>
      </c>
      <c r="C2650">
        <f>21.1025</f>
        <v>21.102499999999999</v>
      </c>
      <c r="D2650">
        <f>17.64</f>
        <v>17.64</v>
      </c>
      <c r="E2650" t="e">
        <f>NA()</f>
        <v>#N/A</v>
      </c>
    </row>
    <row r="2651" spans="1:5" x14ac:dyDescent="0.2">
      <c r="A2651" s="1">
        <v>41439</v>
      </c>
      <c r="B2651">
        <f>17.15</f>
        <v>17.149999999999999</v>
      </c>
      <c r="C2651">
        <f>21.2645</f>
        <v>21.264500000000002</v>
      </c>
      <c r="D2651">
        <f>17.86</f>
        <v>17.86</v>
      </c>
      <c r="E2651">
        <f>20.18</f>
        <v>20.18</v>
      </c>
    </row>
    <row r="2652" spans="1:5" x14ac:dyDescent="0.2">
      <c r="A2652" s="1">
        <v>41438</v>
      </c>
      <c r="B2652">
        <f>16.41</f>
        <v>16.41</v>
      </c>
      <c r="C2652">
        <f>22.1068</f>
        <v>22.1068</v>
      </c>
      <c r="D2652">
        <f>18.4</f>
        <v>18.399999999999999</v>
      </c>
      <c r="E2652">
        <f>20.18</f>
        <v>20.18</v>
      </c>
    </row>
    <row r="2653" spans="1:5" x14ac:dyDescent="0.2">
      <c r="A2653" s="1">
        <v>41437</v>
      </c>
      <c r="B2653">
        <f>18.59</f>
        <v>18.59</v>
      </c>
      <c r="C2653">
        <f>21.7413</f>
        <v>21.741299999999999</v>
      </c>
      <c r="D2653">
        <f>18.52</f>
        <v>18.52</v>
      </c>
      <c r="E2653">
        <f>20.18</f>
        <v>20.18</v>
      </c>
    </row>
    <row r="2654" spans="1:5" x14ac:dyDescent="0.2">
      <c r="A2654" s="1">
        <v>41436</v>
      </c>
      <c r="B2654">
        <f>17.07</f>
        <v>17.07</v>
      </c>
      <c r="C2654">
        <f>21.0051</f>
        <v>21.005099999999999</v>
      </c>
      <c r="D2654">
        <f>17.65</f>
        <v>17.649999999999999</v>
      </c>
      <c r="E2654">
        <f>19.91</f>
        <v>19.91</v>
      </c>
    </row>
    <row r="2655" spans="1:5" x14ac:dyDescent="0.2">
      <c r="A2655" s="1">
        <v>41435</v>
      </c>
      <c r="B2655">
        <f>15.44</f>
        <v>15.44</v>
      </c>
      <c r="C2655">
        <f>19.5903</f>
        <v>19.590299999999999</v>
      </c>
      <c r="D2655">
        <f>16.66</f>
        <v>16.66</v>
      </c>
      <c r="E2655">
        <f>18.88</f>
        <v>18.88</v>
      </c>
    </row>
    <row r="2656" spans="1:5" x14ac:dyDescent="0.2">
      <c r="A2656" s="1">
        <v>41432</v>
      </c>
      <c r="B2656">
        <f>15.14</f>
        <v>15.14</v>
      </c>
      <c r="C2656">
        <f>19.9529</f>
        <v>19.9529</v>
      </c>
      <c r="D2656">
        <f>17.35</f>
        <v>17.350000000000001</v>
      </c>
      <c r="E2656">
        <f>17.08</f>
        <v>17.079999999999998</v>
      </c>
    </row>
    <row r="2657" spans="1:5" x14ac:dyDescent="0.2">
      <c r="A2657" s="1">
        <v>41431</v>
      </c>
      <c r="B2657">
        <f>16.63</f>
        <v>16.63</v>
      </c>
      <c r="C2657">
        <f>22.1956</f>
        <v>22.195599999999999</v>
      </c>
      <c r="D2657">
        <f>19.01</f>
        <v>19.010000000000002</v>
      </c>
      <c r="E2657">
        <f>17.08</f>
        <v>17.079999999999998</v>
      </c>
    </row>
    <row r="2658" spans="1:5" x14ac:dyDescent="0.2">
      <c r="A2658" s="1">
        <v>41430</v>
      </c>
      <c r="B2658">
        <f>17.5</f>
        <v>17.5</v>
      </c>
      <c r="C2658">
        <f>22.2683</f>
        <v>22.2683</v>
      </c>
      <c r="D2658">
        <f>18.78</f>
        <v>18.78</v>
      </c>
      <c r="E2658">
        <f>17.1</f>
        <v>17.100000000000001</v>
      </c>
    </row>
    <row r="2659" spans="1:5" x14ac:dyDescent="0.2">
      <c r="A2659" s="1">
        <v>41429</v>
      </c>
      <c r="B2659">
        <f>16.27</f>
        <v>16.27</v>
      </c>
      <c r="C2659">
        <f>21.0043</f>
        <v>21.004300000000001</v>
      </c>
      <c r="D2659">
        <f>16.88</f>
        <v>16.88</v>
      </c>
      <c r="E2659">
        <f>19.15</f>
        <v>19.149999999999999</v>
      </c>
    </row>
    <row r="2660" spans="1:5" x14ac:dyDescent="0.2">
      <c r="A2660" s="1">
        <v>41428</v>
      </c>
      <c r="B2660">
        <f>16.28</f>
        <v>16.28</v>
      </c>
      <c r="C2660">
        <f>21.3772</f>
        <v>21.377199999999998</v>
      </c>
      <c r="D2660">
        <f>17.5</f>
        <v>17.5</v>
      </c>
      <c r="E2660">
        <f>18.9</f>
        <v>18.899999999999999</v>
      </c>
    </row>
    <row r="2661" spans="1:5" x14ac:dyDescent="0.2">
      <c r="A2661" s="1">
        <v>41425</v>
      </c>
      <c r="B2661">
        <f>16.3</f>
        <v>16.3</v>
      </c>
      <c r="C2661">
        <f>19.6048</f>
        <v>19.604800000000001</v>
      </c>
      <c r="D2661">
        <f>16.16</f>
        <v>16.16</v>
      </c>
      <c r="E2661">
        <f>17.1</f>
        <v>17.100000000000001</v>
      </c>
    </row>
    <row r="2662" spans="1:5" x14ac:dyDescent="0.2">
      <c r="A2662" s="1">
        <v>41424</v>
      </c>
      <c r="B2662">
        <f>14.53</f>
        <v>14.53</v>
      </c>
      <c r="C2662">
        <f>18.8641</f>
        <v>18.864100000000001</v>
      </c>
      <c r="D2662">
        <f>15.89</f>
        <v>15.89</v>
      </c>
      <c r="E2662">
        <f>17.36</f>
        <v>17.36</v>
      </c>
    </row>
    <row r="2663" spans="1:5" x14ac:dyDescent="0.2">
      <c r="A2663" s="1">
        <v>41423</v>
      </c>
      <c r="B2663">
        <f>14.83</f>
        <v>14.83</v>
      </c>
      <c r="C2663">
        <f>19.6808</f>
        <v>19.680800000000001</v>
      </c>
      <c r="D2663">
        <f>16.69</f>
        <v>16.690000000000001</v>
      </c>
      <c r="E2663">
        <f>17.39</f>
        <v>17.39</v>
      </c>
    </row>
    <row r="2664" spans="1:5" x14ac:dyDescent="0.2">
      <c r="A2664" s="1">
        <v>41422</v>
      </c>
      <c r="B2664">
        <f>14.48</f>
        <v>14.48</v>
      </c>
      <c r="C2664">
        <f>17.7473</f>
        <v>17.747299999999999</v>
      </c>
      <c r="D2664">
        <f>14.63</f>
        <v>14.63</v>
      </c>
      <c r="E2664">
        <f>16.87</f>
        <v>16.87</v>
      </c>
    </row>
    <row r="2665" spans="1:5" x14ac:dyDescent="0.2">
      <c r="A2665" s="1">
        <v>41421</v>
      </c>
      <c r="B2665" t="e">
        <f>NA()</f>
        <v>#N/A</v>
      </c>
      <c r="C2665">
        <f>18.152</f>
        <v>18.152000000000001</v>
      </c>
      <c r="D2665" t="e">
        <f>NA()</f>
        <v>#N/A</v>
      </c>
      <c r="E2665">
        <f>17.14</f>
        <v>17.14</v>
      </c>
    </row>
    <row r="2666" spans="1:5" x14ac:dyDescent="0.2">
      <c r="A2666" s="1">
        <v>41418</v>
      </c>
      <c r="B2666">
        <f>13.99</f>
        <v>13.99</v>
      </c>
      <c r="C2666">
        <f>18.4925</f>
        <v>18.4925</v>
      </c>
      <c r="D2666">
        <f>14.57</f>
        <v>14.57</v>
      </c>
      <c r="E2666">
        <f>17.67</f>
        <v>17.670000000000002</v>
      </c>
    </row>
    <row r="2667" spans="1:5" x14ac:dyDescent="0.2">
      <c r="A2667" s="1">
        <v>41417</v>
      </c>
      <c r="B2667">
        <f>14.07</f>
        <v>14.07</v>
      </c>
      <c r="C2667">
        <f>18.3633</f>
        <v>18.363299999999999</v>
      </c>
      <c r="D2667">
        <f>15.64</f>
        <v>15.64</v>
      </c>
      <c r="E2667">
        <f>18.48</f>
        <v>18.48</v>
      </c>
    </row>
    <row r="2668" spans="1:5" x14ac:dyDescent="0.2">
      <c r="A2668" s="1">
        <v>41416</v>
      </c>
      <c r="B2668">
        <f>13.82</f>
        <v>13.82</v>
      </c>
      <c r="C2668">
        <f>16.2933</f>
        <v>16.293299999999999</v>
      </c>
      <c r="D2668">
        <f>12.59</f>
        <v>12.59</v>
      </c>
      <c r="E2668">
        <f>15.86</f>
        <v>15.86</v>
      </c>
    </row>
    <row r="2669" spans="1:5" x14ac:dyDescent="0.2">
      <c r="A2669" s="1">
        <v>41415</v>
      </c>
      <c r="B2669">
        <f>13.37</f>
        <v>13.37</v>
      </c>
      <c r="C2669">
        <f>16.9073</f>
        <v>16.907299999999999</v>
      </c>
      <c r="D2669">
        <f>12.76</f>
        <v>12.76</v>
      </c>
      <c r="E2669">
        <f>14.93</f>
        <v>14.93</v>
      </c>
    </row>
    <row r="2670" spans="1:5" x14ac:dyDescent="0.2">
      <c r="A2670" s="1">
        <v>41414</v>
      </c>
      <c r="B2670">
        <f>13.02</f>
        <v>13.02</v>
      </c>
      <c r="C2670">
        <f>16.672</f>
        <v>16.672000000000001</v>
      </c>
      <c r="D2670">
        <f>12.71</f>
        <v>12.71</v>
      </c>
      <c r="E2670">
        <f>14.93</f>
        <v>14.93</v>
      </c>
    </row>
    <row r="2671" spans="1:5" x14ac:dyDescent="0.2">
      <c r="A2671" s="1">
        <v>41411</v>
      </c>
      <c r="B2671">
        <f>12.45</f>
        <v>12.45</v>
      </c>
      <c r="C2671">
        <f>16.313</f>
        <v>16.312999999999999</v>
      </c>
      <c r="D2671">
        <f>12.56</f>
        <v>12.56</v>
      </c>
      <c r="E2671">
        <f>14.93</f>
        <v>14.93</v>
      </c>
    </row>
    <row r="2672" spans="1:5" x14ac:dyDescent="0.2">
      <c r="A2672" s="1">
        <v>41410</v>
      </c>
      <c r="B2672">
        <f>13.07</f>
        <v>13.07</v>
      </c>
      <c r="C2672">
        <f>16.2609</f>
        <v>16.260899999999999</v>
      </c>
      <c r="D2672">
        <f>13.11</f>
        <v>13.11</v>
      </c>
      <c r="E2672">
        <f>14.93</f>
        <v>14.93</v>
      </c>
    </row>
    <row r="2673" spans="1:5" x14ac:dyDescent="0.2">
      <c r="A2673" s="1">
        <v>41409</v>
      </c>
      <c r="B2673">
        <f>12.81</f>
        <v>12.81</v>
      </c>
      <c r="C2673">
        <f>16.639</f>
        <v>16.638999999999999</v>
      </c>
      <c r="D2673">
        <f>12.56</f>
        <v>12.56</v>
      </c>
      <c r="E2673">
        <f>15.39</f>
        <v>15.39</v>
      </c>
    </row>
    <row r="2674" spans="1:5" x14ac:dyDescent="0.2">
      <c r="A2674" s="1">
        <v>41408</v>
      </c>
      <c r="B2674">
        <f>12.77</f>
        <v>12.77</v>
      </c>
      <c r="C2674">
        <f>17.1365</f>
        <v>17.136500000000002</v>
      </c>
      <c r="D2674">
        <f>12.26</f>
        <v>12.26</v>
      </c>
      <c r="E2674" t="e">
        <f>NA()</f>
        <v>#N/A</v>
      </c>
    </row>
    <row r="2675" spans="1:5" x14ac:dyDescent="0.2">
      <c r="A2675" s="1">
        <v>41407</v>
      </c>
      <c r="B2675">
        <f>12.55</f>
        <v>12.55</v>
      </c>
      <c r="C2675">
        <f>17.6724</f>
        <v>17.6724</v>
      </c>
      <c r="D2675">
        <f>12.26</f>
        <v>12.26</v>
      </c>
      <c r="E2675" t="e">
        <f>NA()</f>
        <v>#N/A</v>
      </c>
    </row>
    <row r="2676" spans="1:5" x14ac:dyDescent="0.2">
      <c r="A2676" s="1">
        <v>41404</v>
      </c>
      <c r="B2676">
        <f>12.59</f>
        <v>12.59</v>
      </c>
      <c r="C2676">
        <f>17.4277</f>
        <v>17.427700000000002</v>
      </c>
      <c r="D2676">
        <f>12.88</f>
        <v>12.88</v>
      </c>
      <c r="E2676" t="e">
        <f>NA()</f>
        <v>#N/A</v>
      </c>
    </row>
    <row r="2677" spans="1:5" x14ac:dyDescent="0.2">
      <c r="A2677" s="1">
        <v>41403</v>
      </c>
      <c r="B2677">
        <f>13.13</f>
        <v>13.13</v>
      </c>
      <c r="C2677">
        <f>17.2186</f>
        <v>17.218599999999999</v>
      </c>
      <c r="D2677">
        <f>10.83</f>
        <v>10.83</v>
      </c>
      <c r="E2677" t="e">
        <f>NA()</f>
        <v>#N/A</v>
      </c>
    </row>
    <row r="2678" spans="1:5" x14ac:dyDescent="0.2">
      <c r="A2678" s="1">
        <v>41402</v>
      </c>
      <c r="B2678">
        <f>12.66</f>
        <v>12.66</v>
      </c>
      <c r="C2678">
        <f>17.3575</f>
        <v>17.357500000000002</v>
      </c>
      <c r="D2678">
        <f>11.34</f>
        <v>11.34</v>
      </c>
      <c r="E2678">
        <f>16</f>
        <v>16</v>
      </c>
    </row>
    <row r="2679" spans="1:5" x14ac:dyDescent="0.2">
      <c r="A2679" s="1">
        <v>41401</v>
      </c>
      <c r="B2679">
        <f>12.83</f>
        <v>12.83</v>
      </c>
      <c r="C2679">
        <f>17.4472</f>
        <v>17.447199999999999</v>
      </c>
      <c r="D2679">
        <f>11.84</f>
        <v>11.84</v>
      </c>
      <c r="E2679" t="e">
        <f>NA()</f>
        <v>#N/A</v>
      </c>
    </row>
    <row r="2680" spans="1:5" x14ac:dyDescent="0.2">
      <c r="A2680" s="1">
        <v>41400</v>
      </c>
      <c r="B2680">
        <f>12.66</f>
        <v>12.66</v>
      </c>
      <c r="C2680">
        <f>18.0551</f>
        <v>18.055099999999999</v>
      </c>
      <c r="D2680" t="e">
        <f>NA()</f>
        <v>#N/A</v>
      </c>
      <c r="E2680" t="e">
        <f>NA()</f>
        <v>#N/A</v>
      </c>
    </row>
    <row r="2681" spans="1:5" x14ac:dyDescent="0.2">
      <c r="A2681" s="1">
        <v>41397</v>
      </c>
      <c r="B2681">
        <f>12.85</f>
        <v>12.85</v>
      </c>
      <c r="C2681">
        <f>17.6329</f>
        <v>17.632899999999999</v>
      </c>
      <c r="D2681">
        <f>11.84</f>
        <v>11.84</v>
      </c>
      <c r="E2681">
        <f>16.67</f>
        <v>16.670000000000002</v>
      </c>
    </row>
    <row r="2682" spans="1:5" x14ac:dyDescent="0.2">
      <c r="A2682" s="1">
        <v>41396</v>
      </c>
      <c r="B2682">
        <f>13.59</f>
        <v>13.59</v>
      </c>
      <c r="C2682">
        <f>18.7486</f>
        <v>18.7486</v>
      </c>
      <c r="D2682">
        <f>12.54</f>
        <v>12.54</v>
      </c>
      <c r="E2682">
        <f>16.67</f>
        <v>16.670000000000002</v>
      </c>
    </row>
    <row r="2683" spans="1:5" x14ac:dyDescent="0.2">
      <c r="A2683" s="1">
        <v>41395</v>
      </c>
      <c r="B2683">
        <f>14.49</f>
        <v>14.49</v>
      </c>
      <c r="C2683" t="e">
        <f>NA()</f>
        <v>#N/A</v>
      </c>
      <c r="D2683">
        <f>13.11</f>
        <v>13.11</v>
      </c>
      <c r="E2683" t="e">
        <f>NA()</f>
        <v>#N/A</v>
      </c>
    </row>
    <row r="2684" spans="1:5" x14ac:dyDescent="0.2">
      <c r="A2684" s="1">
        <v>41394</v>
      </c>
      <c r="B2684">
        <f>13.52</f>
        <v>13.52</v>
      </c>
      <c r="C2684">
        <f>20.261</f>
        <v>20.260999999999999</v>
      </c>
      <c r="D2684">
        <f>13.27</f>
        <v>13.27</v>
      </c>
      <c r="E2684">
        <f>16.67</f>
        <v>16.670000000000002</v>
      </c>
    </row>
    <row r="2685" spans="1:5" x14ac:dyDescent="0.2">
      <c r="A2685" s="1">
        <v>41393</v>
      </c>
      <c r="B2685">
        <f>13.71</f>
        <v>13.71</v>
      </c>
      <c r="C2685">
        <f>19.9773</f>
        <v>19.9773</v>
      </c>
      <c r="D2685">
        <f>12.96</f>
        <v>12.96</v>
      </c>
      <c r="E2685">
        <f>16.67</f>
        <v>16.670000000000002</v>
      </c>
    </row>
    <row r="2686" spans="1:5" x14ac:dyDescent="0.2">
      <c r="A2686" s="1">
        <v>41390</v>
      </c>
      <c r="B2686">
        <f>13.61</f>
        <v>13.61</v>
      </c>
      <c r="C2686">
        <f>19.7111</f>
        <v>19.711099999999998</v>
      </c>
      <c r="D2686">
        <f>13.18</f>
        <v>13.18</v>
      </c>
      <c r="E2686">
        <f>16.24</f>
        <v>16.239999999999998</v>
      </c>
    </row>
    <row r="2687" spans="1:5" x14ac:dyDescent="0.2">
      <c r="A2687" s="1">
        <v>41389</v>
      </c>
      <c r="B2687">
        <f>13.62</f>
        <v>13.62</v>
      </c>
      <c r="C2687">
        <f>19.4097</f>
        <v>19.409700000000001</v>
      </c>
      <c r="D2687">
        <f>13.24</f>
        <v>13.24</v>
      </c>
      <c r="E2687">
        <f>16.24</f>
        <v>16.239999999999998</v>
      </c>
    </row>
    <row r="2688" spans="1:5" x14ac:dyDescent="0.2">
      <c r="A2688" s="1">
        <v>41388</v>
      </c>
      <c r="B2688">
        <f>13.61</f>
        <v>13.61</v>
      </c>
      <c r="C2688">
        <f>18.9814</f>
        <v>18.981400000000001</v>
      </c>
      <c r="D2688">
        <f>12.89</f>
        <v>12.89</v>
      </c>
      <c r="E2688">
        <f>16.48</f>
        <v>16.48</v>
      </c>
    </row>
    <row r="2689" spans="1:5" x14ac:dyDescent="0.2">
      <c r="A2689" s="1">
        <v>41387</v>
      </c>
      <c r="B2689">
        <f>13.48</f>
        <v>13.48</v>
      </c>
      <c r="C2689">
        <f>19.2103</f>
        <v>19.2103</v>
      </c>
      <c r="D2689">
        <f>13.03</f>
        <v>13.03</v>
      </c>
      <c r="E2689">
        <f>16.74</f>
        <v>16.739999999999998</v>
      </c>
    </row>
    <row r="2690" spans="1:5" x14ac:dyDescent="0.2">
      <c r="A2690" s="1">
        <v>41386</v>
      </c>
      <c r="B2690">
        <f>14.39</f>
        <v>14.39</v>
      </c>
      <c r="C2690">
        <f>20.638</f>
        <v>20.638000000000002</v>
      </c>
      <c r="D2690">
        <f>14.05</f>
        <v>14.05</v>
      </c>
      <c r="E2690">
        <f>17.27</f>
        <v>17.27</v>
      </c>
    </row>
    <row r="2691" spans="1:5" x14ac:dyDescent="0.2">
      <c r="A2691" s="1">
        <v>41383</v>
      </c>
      <c r="B2691">
        <f>14.97</f>
        <v>14.97</v>
      </c>
      <c r="C2691">
        <f>20.4999</f>
        <v>20.4999</v>
      </c>
      <c r="D2691">
        <f>13.64</f>
        <v>13.64</v>
      </c>
      <c r="E2691">
        <f>17.02</f>
        <v>17.02</v>
      </c>
    </row>
    <row r="2692" spans="1:5" x14ac:dyDescent="0.2">
      <c r="A2692" s="1">
        <v>41382</v>
      </c>
      <c r="B2692">
        <f>17.56</f>
        <v>17.559999999999999</v>
      </c>
      <c r="C2692">
        <f>21.949</f>
        <v>21.949000000000002</v>
      </c>
      <c r="D2692">
        <f>15.42</f>
        <v>15.42</v>
      </c>
      <c r="E2692">
        <f>17.54</f>
        <v>17.54</v>
      </c>
    </row>
    <row r="2693" spans="1:5" x14ac:dyDescent="0.2">
      <c r="A2693" s="1">
        <v>41381</v>
      </c>
      <c r="B2693">
        <f>16.51</f>
        <v>16.510000000000002</v>
      </c>
      <c r="C2693">
        <f>22.7545</f>
        <v>22.7545</v>
      </c>
      <c r="D2693">
        <f>16.1</f>
        <v>16.100000000000001</v>
      </c>
      <c r="E2693">
        <f>17.38</f>
        <v>17.38</v>
      </c>
    </row>
    <row r="2694" spans="1:5" x14ac:dyDescent="0.2">
      <c r="A2694" s="1">
        <v>41380</v>
      </c>
      <c r="B2694">
        <f>13.96</f>
        <v>13.96</v>
      </c>
      <c r="C2694">
        <f>20.5067</f>
        <v>20.506699999999999</v>
      </c>
      <c r="D2694">
        <f>14.47</f>
        <v>14.47</v>
      </c>
      <c r="E2694">
        <f>16.73</f>
        <v>16.73</v>
      </c>
    </row>
    <row r="2695" spans="1:5" x14ac:dyDescent="0.2">
      <c r="A2695" s="1">
        <v>41379</v>
      </c>
      <c r="B2695">
        <f>17.27</f>
        <v>17.27</v>
      </c>
      <c r="C2695">
        <f>20.1989</f>
        <v>20.198899999999998</v>
      </c>
      <c r="D2695">
        <f>13.6</f>
        <v>13.6</v>
      </c>
      <c r="E2695">
        <f>17.25</f>
        <v>17.25</v>
      </c>
    </row>
    <row r="2696" spans="1:5" x14ac:dyDescent="0.2">
      <c r="A2696" s="1">
        <v>41376</v>
      </c>
      <c r="B2696">
        <f>12.06</f>
        <v>12.06</v>
      </c>
      <c r="C2696">
        <f>20.2145</f>
        <v>20.214500000000001</v>
      </c>
      <c r="D2696">
        <f>13.12</f>
        <v>13.12</v>
      </c>
      <c r="E2696">
        <f>16.75</f>
        <v>16.75</v>
      </c>
    </row>
    <row r="2697" spans="1:5" x14ac:dyDescent="0.2">
      <c r="A2697" s="1">
        <v>41375</v>
      </c>
      <c r="B2697">
        <f>12.24</f>
        <v>12.24</v>
      </c>
      <c r="C2697">
        <f>18.848</f>
        <v>18.847999999999999</v>
      </c>
      <c r="D2697">
        <f>12.53</f>
        <v>12.53</v>
      </c>
      <c r="E2697">
        <f>16.22</f>
        <v>16.22</v>
      </c>
    </row>
    <row r="2698" spans="1:5" x14ac:dyDescent="0.2">
      <c r="A2698" s="1">
        <v>41374</v>
      </c>
      <c r="B2698">
        <f>12.36</f>
        <v>12.36</v>
      </c>
      <c r="C2698">
        <f>19.1768</f>
        <v>19.1768</v>
      </c>
      <c r="D2698">
        <f>12.91</f>
        <v>12.91</v>
      </c>
      <c r="E2698">
        <f>16.2</f>
        <v>16.2</v>
      </c>
    </row>
    <row r="2699" spans="1:5" x14ac:dyDescent="0.2">
      <c r="A2699" s="1">
        <v>41373</v>
      </c>
      <c r="B2699">
        <f>12.84</f>
        <v>12.84</v>
      </c>
      <c r="C2699">
        <f>20.4229</f>
        <v>20.422899999999998</v>
      </c>
      <c r="D2699">
        <f>14.13</f>
        <v>14.13</v>
      </c>
      <c r="E2699">
        <f>16.72</f>
        <v>16.72</v>
      </c>
    </row>
    <row r="2700" spans="1:5" x14ac:dyDescent="0.2">
      <c r="A2700" s="1">
        <v>41372</v>
      </c>
      <c r="B2700">
        <f>13.19</f>
        <v>13.19</v>
      </c>
      <c r="C2700">
        <f>21.4857</f>
        <v>21.485700000000001</v>
      </c>
      <c r="D2700">
        <f>14.71</f>
        <v>14.71</v>
      </c>
      <c r="E2700">
        <f>16.72</f>
        <v>16.72</v>
      </c>
    </row>
    <row r="2701" spans="1:5" x14ac:dyDescent="0.2">
      <c r="A2701" s="1">
        <v>41369</v>
      </c>
      <c r="B2701">
        <f>13.92</f>
        <v>13.92</v>
      </c>
      <c r="C2701">
        <f>22.2855</f>
        <v>22.285499999999999</v>
      </c>
      <c r="D2701">
        <f>15.46</f>
        <v>15.46</v>
      </c>
      <c r="E2701">
        <f>16.24</f>
        <v>16.239999999999998</v>
      </c>
    </row>
    <row r="2702" spans="1:5" x14ac:dyDescent="0.2">
      <c r="A2702" s="1">
        <v>41368</v>
      </c>
      <c r="B2702">
        <f>13.89</f>
        <v>13.89</v>
      </c>
      <c r="C2702">
        <f>21.0977</f>
        <v>21.0977</v>
      </c>
      <c r="D2702">
        <f>13.86</f>
        <v>13.86</v>
      </c>
      <c r="E2702">
        <f>15.7</f>
        <v>15.7</v>
      </c>
    </row>
    <row r="2703" spans="1:5" x14ac:dyDescent="0.2">
      <c r="A2703" s="1">
        <v>41367</v>
      </c>
      <c r="B2703">
        <f>14.21</f>
        <v>14.21</v>
      </c>
      <c r="C2703">
        <f>20.7645</f>
        <v>20.764500000000002</v>
      </c>
      <c r="D2703">
        <f>12.85</f>
        <v>12.85</v>
      </c>
      <c r="E2703">
        <f>15.54</f>
        <v>15.54</v>
      </c>
    </row>
    <row r="2704" spans="1:5" x14ac:dyDescent="0.2">
      <c r="A2704" s="1">
        <v>41366</v>
      </c>
      <c r="B2704">
        <f>12.78</f>
        <v>12.78</v>
      </c>
      <c r="C2704">
        <f>19.6165</f>
        <v>19.616499999999998</v>
      </c>
      <c r="D2704">
        <f>12.16</f>
        <v>12.16</v>
      </c>
      <c r="E2704" t="e">
        <f>NA()</f>
        <v>#N/A</v>
      </c>
    </row>
    <row r="2705" spans="1:5" x14ac:dyDescent="0.2">
      <c r="A2705" s="1">
        <v>41365</v>
      </c>
      <c r="B2705">
        <f>13.58</f>
        <v>13.58</v>
      </c>
      <c r="C2705" t="e">
        <f>NA()</f>
        <v>#N/A</v>
      </c>
      <c r="D2705" t="e">
        <f>NA()</f>
        <v>#N/A</v>
      </c>
      <c r="E2705" t="e">
        <f>NA()</f>
        <v>#N/A</v>
      </c>
    </row>
    <row r="2706" spans="1:5" x14ac:dyDescent="0.2">
      <c r="A2706" s="1">
        <v>41361</v>
      </c>
      <c r="B2706">
        <f>12.7</f>
        <v>12.7</v>
      </c>
      <c r="C2706">
        <f>20.8944</f>
        <v>20.894400000000001</v>
      </c>
      <c r="D2706">
        <f>12.53</f>
        <v>12.53</v>
      </c>
      <c r="E2706">
        <f>15.86</f>
        <v>15.86</v>
      </c>
    </row>
    <row r="2707" spans="1:5" x14ac:dyDescent="0.2">
      <c r="A2707" s="1">
        <v>41360</v>
      </c>
      <c r="B2707">
        <f>13.15</f>
        <v>13.15</v>
      </c>
      <c r="C2707">
        <f>21.8599</f>
        <v>21.8599</v>
      </c>
      <c r="D2707">
        <f>12.92</f>
        <v>12.92</v>
      </c>
      <c r="E2707">
        <f>16.47</f>
        <v>16.47</v>
      </c>
    </row>
    <row r="2708" spans="1:5" x14ac:dyDescent="0.2">
      <c r="A2708" s="1">
        <v>41359</v>
      </c>
      <c r="B2708">
        <f>12.77</f>
        <v>12.77</v>
      </c>
      <c r="C2708">
        <f>20.8755</f>
        <v>20.875499999999999</v>
      </c>
      <c r="D2708">
        <f>12.91</f>
        <v>12.91</v>
      </c>
      <c r="E2708">
        <f>16.12</f>
        <v>16.12</v>
      </c>
    </row>
    <row r="2709" spans="1:5" x14ac:dyDescent="0.2">
      <c r="A2709" s="1">
        <v>41358</v>
      </c>
      <c r="B2709">
        <f>13.74</f>
        <v>13.74</v>
      </c>
      <c r="C2709">
        <f>21.2387</f>
        <v>21.238700000000001</v>
      </c>
      <c r="D2709">
        <f>13.53</f>
        <v>13.53</v>
      </c>
      <c r="E2709">
        <f>16.35</f>
        <v>16.350000000000001</v>
      </c>
    </row>
    <row r="2710" spans="1:5" x14ac:dyDescent="0.2">
      <c r="A2710" s="1">
        <v>41355</v>
      </c>
      <c r="B2710">
        <f>13.57</f>
        <v>13.57</v>
      </c>
      <c r="C2710">
        <f>21.2876</f>
        <v>21.287600000000001</v>
      </c>
      <c r="D2710">
        <f>14.13</f>
        <v>14.13</v>
      </c>
      <c r="E2710" t="e">
        <f>NA()</f>
        <v>#N/A</v>
      </c>
    </row>
    <row r="2711" spans="1:5" x14ac:dyDescent="0.2">
      <c r="A2711" s="1">
        <v>41354</v>
      </c>
      <c r="B2711">
        <f>13.99</f>
        <v>13.99</v>
      </c>
      <c r="C2711">
        <f>19.7897</f>
        <v>19.7897</v>
      </c>
      <c r="D2711">
        <f>13.43</f>
        <v>13.43</v>
      </c>
      <c r="E2711" t="e">
        <f>NA()</f>
        <v>#N/A</v>
      </c>
    </row>
    <row r="2712" spans="1:5" x14ac:dyDescent="0.2">
      <c r="A2712" s="1">
        <v>41353</v>
      </c>
      <c r="B2712">
        <f>12.67</f>
        <v>12.67</v>
      </c>
      <c r="C2712">
        <f>18.8741</f>
        <v>18.874099999999999</v>
      </c>
      <c r="D2712">
        <f>13.2</f>
        <v>13.2</v>
      </c>
      <c r="E2712">
        <f>15.57</f>
        <v>15.57</v>
      </c>
    </row>
    <row r="2713" spans="1:5" x14ac:dyDescent="0.2">
      <c r="A2713" s="1">
        <v>41352</v>
      </c>
      <c r="B2713">
        <f>14.39</f>
        <v>14.39</v>
      </c>
      <c r="C2713">
        <f>21.5306</f>
        <v>21.5306</v>
      </c>
      <c r="D2713">
        <f>14.43</f>
        <v>14.43</v>
      </c>
      <c r="E2713">
        <f>15.57</f>
        <v>15.57</v>
      </c>
    </row>
    <row r="2714" spans="1:5" x14ac:dyDescent="0.2">
      <c r="A2714" s="1">
        <v>41351</v>
      </c>
      <c r="B2714">
        <f>13.36</f>
        <v>13.36</v>
      </c>
      <c r="C2714">
        <f>18.0979</f>
        <v>18.097899999999999</v>
      </c>
      <c r="D2714">
        <f>13.56</f>
        <v>13.56</v>
      </c>
      <c r="E2714">
        <f>15.57</f>
        <v>15.57</v>
      </c>
    </row>
    <row r="2715" spans="1:5" x14ac:dyDescent="0.2">
      <c r="A2715" s="1">
        <v>41348</v>
      </c>
      <c r="B2715">
        <f>11.3</f>
        <v>11.3</v>
      </c>
      <c r="C2715">
        <f>15.7276</f>
        <v>15.727600000000001</v>
      </c>
      <c r="D2715">
        <f>12.13</f>
        <v>12.13</v>
      </c>
      <c r="E2715">
        <f>15.31</f>
        <v>15.31</v>
      </c>
    </row>
    <row r="2716" spans="1:5" x14ac:dyDescent="0.2">
      <c r="A2716" s="1">
        <v>41347</v>
      </c>
      <c r="B2716">
        <f>11.3</f>
        <v>11.3</v>
      </c>
      <c r="C2716">
        <f>15.0835</f>
        <v>15.083500000000001</v>
      </c>
      <c r="D2716">
        <f>12.12</f>
        <v>12.12</v>
      </c>
      <c r="E2716">
        <f>15.04</f>
        <v>15.04</v>
      </c>
    </row>
    <row r="2717" spans="1:5" x14ac:dyDescent="0.2">
      <c r="A2717" s="1">
        <v>41346</v>
      </c>
      <c r="B2717">
        <f>11.83</f>
        <v>11.83</v>
      </c>
      <c r="C2717">
        <f>16.9279</f>
        <v>16.927900000000001</v>
      </c>
      <c r="D2717">
        <f>12.48</f>
        <v>12.48</v>
      </c>
      <c r="E2717">
        <f>15.04</f>
        <v>15.04</v>
      </c>
    </row>
    <row r="2718" spans="1:5" x14ac:dyDescent="0.2">
      <c r="A2718" s="1">
        <v>41345</v>
      </c>
      <c r="B2718">
        <f>12.27</f>
        <v>12.27</v>
      </c>
      <c r="C2718">
        <f>17.3243</f>
        <v>17.324300000000001</v>
      </c>
      <c r="D2718">
        <f>12.67</f>
        <v>12.67</v>
      </c>
      <c r="E2718">
        <f>15.04</f>
        <v>15.04</v>
      </c>
    </row>
    <row r="2719" spans="1:5" x14ac:dyDescent="0.2">
      <c r="A2719" s="1">
        <v>41344</v>
      </c>
      <c r="B2719">
        <f>11.56</f>
        <v>11.56</v>
      </c>
      <c r="C2719">
        <f>17.6154</f>
        <v>17.615400000000001</v>
      </c>
      <c r="D2719">
        <f>12.86</f>
        <v>12.86</v>
      </c>
      <c r="E2719">
        <f>15.02</f>
        <v>15.02</v>
      </c>
    </row>
    <row r="2720" spans="1:5" x14ac:dyDescent="0.2">
      <c r="A2720" s="1">
        <v>41341</v>
      </c>
      <c r="B2720">
        <f>12.59</f>
        <v>12.59</v>
      </c>
      <c r="C2720">
        <f>17.3844</f>
        <v>17.384399999999999</v>
      </c>
      <c r="D2720">
        <f>12</f>
        <v>12</v>
      </c>
      <c r="E2720">
        <f>15.3</f>
        <v>15.3</v>
      </c>
    </row>
    <row r="2721" spans="1:5" x14ac:dyDescent="0.2">
      <c r="A2721" s="1">
        <v>41340</v>
      </c>
      <c r="B2721">
        <f>13.06</f>
        <v>13.06</v>
      </c>
      <c r="C2721">
        <f>18.7353</f>
        <v>18.735299999999999</v>
      </c>
      <c r="D2721">
        <f>12.2</f>
        <v>12.2</v>
      </c>
      <c r="E2721">
        <f>15.29</f>
        <v>15.29</v>
      </c>
    </row>
    <row r="2722" spans="1:5" x14ac:dyDescent="0.2">
      <c r="A2722" s="1">
        <v>41339</v>
      </c>
      <c r="B2722">
        <f>13.53</f>
        <v>13.53</v>
      </c>
      <c r="C2722">
        <f>20.1143</f>
        <v>20.1143</v>
      </c>
      <c r="D2722">
        <f>13.4</f>
        <v>13.4</v>
      </c>
      <c r="E2722">
        <f>15.82</f>
        <v>15.82</v>
      </c>
    </row>
    <row r="2723" spans="1:5" x14ac:dyDescent="0.2">
      <c r="A2723" s="1">
        <v>41338</v>
      </c>
      <c r="B2723">
        <f>13.48</f>
        <v>13.48</v>
      </c>
      <c r="C2723">
        <f>19.5539</f>
        <v>19.553899999999999</v>
      </c>
      <c r="D2723">
        <f>13.53</f>
        <v>13.53</v>
      </c>
      <c r="E2723" t="e">
        <f>NA()</f>
        <v>#N/A</v>
      </c>
    </row>
    <row r="2724" spans="1:5" x14ac:dyDescent="0.2">
      <c r="A2724" s="1">
        <v>41337</v>
      </c>
      <c r="B2724">
        <f>14.01</f>
        <v>14.01</v>
      </c>
      <c r="C2724">
        <f>21.4361</f>
        <v>21.4361</v>
      </c>
      <c r="D2724">
        <f>14.44</f>
        <v>14.44</v>
      </c>
      <c r="E2724">
        <f>16.44</f>
        <v>16.440000000000001</v>
      </c>
    </row>
    <row r="2725" spans="1:5" x14ac:dyDescent="0.2">
      <c r="A2725" s="1">
        <v>41334</v>
      </c>
      <c r="B2725">
        <f>15.36</f>
        <v>15.36</v>
      </c>
      <c r="C2725">
        <f>21.7728</f>
        <v>21.7728</v>
      </c>
      <c r="D2725">
        <f>14.13</f>
        <v>14.13</v>
      </c>
      <c r="E2725">
        <f>16.45</f>
        <v>16.45</v>
      </c>
    </row>
    <row r="2726" spans="1:5" x14ac:dyDescent="0.2">
      <c r="A2726" s="1">
        <v>41333</v>
      </c>
      <c r="B2726">
        <f>15.51</f>
        <v>15.51</v>
      </c>
      <c r="C2726">
        <f>21.0046</f>
        <v>21.0046</v>
      </c>
      <c r="D2726">
        <f>13.78</f>
        <v>13.78</v>
      </c>
      <c r="E2726">
        <f>16.72</f>
        <v>16.72</v>
      </c>
    </row>
    <row r="2727" spans="1:5" x14ac:dyDescent="0.2">
      <c r="A2727" s="1">
        <v>41332</v>
      </c>
      <c r="B2727">
        <f>14.73</f>
        <v>14.73</v>
      </c>
      <c r="C2727">
        <f>22.0043</f>
        <v>22.004300000000001</v>
      </c>
      <c r="D2727">
        <f>13.78</f>
        <v>13.78</v>
      </c>
      <c r="E2727">
        <f>17.24</f>
        <v>17.239999999999998</v>
      </c>
    </row>
    <row r="2728" spans="1:5" x14ac:dyDescent="0.2">
      <c r="A2728" s="1">
        <v>41331</v>
      </c>
      <c r="B2728">
        <f>16.87</f>
        <v>16.87</v>
      </c>
      <c r="C2728">
        <f>25.8975</f>
        <v>25.897500000000001</v>
      </c>
      <c r="D2728">
        <f>16.55</f>
        <v>16.55</v>
      </c>
      <c r="E2728">
        <f>16.46</f>
        <v>16.46</v>
      </c>
    </row>
    <row r="2729" spans="1:5" x14ac:dyDescent="0.2">
      <c r="A2729" s="1">
        <v>41330</v>
      </c>
      <c r="B2729">
        <f>18.99</f>
        <v>18.989999999999998</v>
      </c>
      <c r="C2729">
        <f>21.3086</f>
        <v>21.308599999999998</v>
      </c>
      <c r="D2729">
        <f>14.82</f>
        <v>14.82</v>
      </c>
      <c r="E2729">
        <f>16.18</f>
        <v>16.18</v>
      </c>
    </row>
    <row r="2730" spans="1:5" x14ac:dyDescent="0.2">
      <c r="A2730" s="1">
        <v>41327</v>
      </c>
      <c r="B2730">
        <f>14.17</f>
        <v>14.17</v>
      </c>
      <c r="C2730">
        <f>20.8556</f>
        <v>20.855599999999999</v>
      </c>
      <c r="D2730">
        <f>15.65</f>
        <v>15.65</v>
      </c>
      <c r="E2730">
        <f>16.49</f>
        <v>16.489999999999998</v>
      </c>
    </row>
    <row r="2731" spans="1:5" x14ac:dyDescent="0.2">
      <c r="A2731" s="1">
        <v>41326</v>
      </c>
      <c r="B2731">
        <f>15.22</f>
        <v>15.22</v>
      </c>
      <c r="C2731">
        <f>21.5133</f>
        <v>21.513300000000001</v>
      </c>
      <c r="D2731">
        <f>15.43</f>
        <v>15.43</v>
      </c>
      <c r="E2731">
        <f>16.45</f>
        <v>16.45</v>
      </c>
    </row>
    <row r="2732" spans="1:5" x14ac:dyDescent="0.2">
      <c r="A2732" s="1">
        <v>41325</v>
      </c>
      <c r="B2732">
        <f>14.68</f>
        <v>14.68</v>
      </c>
      <c r="C2732">
        <f>19.6147</f>
        <v>19.614699999999999</v>
      </c>
      <c r="D2732">
        <f>13.59</f>
        <v>13.59</v>
      </c>
      <c r="E2732">
        <f>15.37</f>
        <v>15.37</v>
      </c>
    </row>
    <row r="2733" spans="1:5" x14ac:dyDescent="0.2">
      <c r="A2733" s="1">
        <v>41324</v>
      </c>
      <c r="B2733">
        <f>12.31</f>
        <v>12.31</v>
      </c>
      <c r="C2733">
        <f>18.4631</f>
        <v>18.463100000000001</v>
      </c>
      <c r="D2733">
        <f>12.94</f>
        <v>12.94</v>
      </c>
      <c r="E2733">
        <f>15.08</f>
        <v>15.08</v>
      </c>
    </row>
    <row r="2734" spans="1:5" x14ac:dyDescent="0.2">
      <c r="A2734" s="1">
        <v>41323</v>
      </c>
      <c r="B2734" t="e">
        <f>NA()</f>
        <v>#N/A</v>
      </c>
      <c r="C2734">
        <f>19.3248</f>
        <v>19.3248</v>
      </c>
      <c r="D2734">
        <f>13.41</f>
        <v>13.41</v>
      </c>
      <c r="E2734" t="e">
        <f>NA()</f>
        <v>#N/A</v>
      </c>
    </row>
    <row r="2735" spans="1:5" x14ac:dyDescent="0.2">
      <c r="A2735" s="1">
        <v>41320</v>
      </c>
      <c r="B2735">
        <f>12.46</f>
        <v>12.46</v>
      </c>
      <c r="C2735">
        <f>18.8463</f>
        <v>18.846299999999999</v>
      </c>
      <c r="D2735">
        <f>13.51</f>
        <v>13.51</v>
      </c>
      <c r="E2735">
        <f>14.8</f>
        <v>14.8</v>
      </c>
    </row>
    <row r="2736" spans="1:5" x14ac:dyDescent="0.2">
      <c r="A2736" s="1">
        <v>41319</v>
      </c>
      <c r="B2736">
        <f>12.66</f>
        <v>12.66</v>
      </c>
      <c r="C2736">
        <f>18.6532</f>
        <v>18.653199999999998</v>
      </c>
      <c r="D2736">
        <f>13.79</f>
        <v>13.79</v>
      </c>
      <c r="E2736">
        <f>14.79</f>
        <v>14.79</v>
      </c>
    </row>
    <row r="2737" spans="1:5" x14ac:dyDescent="0.2">
      <c r="A2737" s="1">
        <v>41318</v>
      </c>
      <c r="B2737">
        <f>12.98</f>
        <v>12.98</v>
      </c>
      <c r="C2737">
        <f>18.2817</f>
        <v>18.281700000000001</v>
      </c>
      <c r="D2737">
        <f>13.57</f>
        <v>13.57</v>
      </c>
      <c r="E2737">
        <f>14.51</f>
        <v>14.51</v>
      </c>
    </row>
    <row r="2738" spans="1:5" x14ac:dyDescent="0.2">
      <c r="A2738" s="1">
        <v>41317</v>
      </c>
      <c r="B2738">
        <f>12.64</f>
        <v>12.64</v>
      </c>
      <c r="C2738">
        <f>18.3682</f>
        <v>18.368200000000002</v>
      </c>
      <c r="D2738">
        <f>13.02</f>
        <v>13.02</v>
      </c>
      <c r="E2738">
        <f>14.76</f>
        <v>14.76</v>
      </c>
    </row>
    <row r="2739" spans="1:5" x14ac:dyDescent="0.2">
      <c r="A2739" s="1">
        <v>41316</v>
      </c>
      <c r="B2739">
        <f>12.94</f>
        <v>12.94</v>
      </c>
      <c r="C2739">
        <f>18.9342</f>
        <v>18.934200000000001</v>
      </c>
      <c r="D2739">
        <f>13.76</f>
        <v>13.76</v>
      </c>
      <c r="E2739">
        <f>14.46</f>
        <v>14.46</v>
      </c>
    </row>
    <row r="2740" spans="1:5" x14ac:dyDescent="0.2">
      <c r="A2740" s="1">
        <v>41313</v>
      </c>
      <c r="B2740">
        <f>13.02</f>
        <v>13.02</v>
      </c>
      <c r="C2740">
        <f>18.5593</f>
        <v>18.5593</v>
      </c>
      <c r="D2740">
        <f>13.8</f>
        <v>13.8</v>
      </c>
      <c r="E2740">
        <f>14.45</f>
        <v>14.45</v>
      </c>
    </row>
    <row r="2741" spans="1:5" x14ac:dyDescent="0.2">
      <c r="A2741" s="1">
        <v>41312</v>
      </c>
      <c r="B2741">
        <f>13.5</f>
        <v>13.5</v>
      </c>
      <c r="C2741">
        <f>20.7955</f>
        <v>20.795500000000001</v>
      </c>
      <c r="D2741">
        <f>15.34</f>
        <v>15.34</v>
      </c>
      <c r="E2741">
        <f>14.66</f>
        <v>14.66</v>
      </c>
    </row>
    <row r="2742" spans="1:5" x14ac:dyDescent="0.2">
      <c r="A2742" s="1">
        <v>41311</v>
      </c>
      <c r="B2742">
        <f>13.41</f>
        <v>13.41</v>
      </c>
      <c r="C2742">
        <f>20.2113</f>
        <v>20.211300000000001</v>
      </c>
      <c r="D2742">
        <f>14.49</f>
        <v>14.49</v>
      </c>
      <c r="E2742">
        <f>14.69</f>
        <v>14.69</v>
      </c>
    </row>
    <row r="2743" spans="1:5" x14ac:dyDescent="0.2">
      <c r="A2743" s="1">
        <v>41310</v>
      </c>
      <c r="B2743">
        <f>13.72</f>
        <v>13.72</v>
      </c>
      <c r="C2743">
        <f>19.2593</f>
        <v>19.2593</v>
      </c>
      <c r="D2743">
        <f>14.8</f>
        <v>14.8</v>
      </c>
      <c r="E2743">
        <f>14.67</f>
        <v>14.67</v>
      </c>
    </row>
    <row r="2744" spans="1:5" x14ac:dyDescent="0.2">
      <c r="A2744" s="1">
        <v>41309</v>
      </c>
      <c r="B2744">
        <f>14.67</f>
        <v>14.67</v>
      </c>
      <c r="C2744">
        <f>20.1454</f>
        <v>20.145399999999999</v>
      </c>
      <c r="D2744">
        <f>15.15</f>
        <v>15.15</v>
      </c>
      <c r="E2744">
        <f>14.65</f>
        <v>14.65</v>
      </c>
    </row>
    <row r="2745" spans="1:5" x14ac:dyDescent="0.2">
      <c r="A2745" s="1">
        <v>41306</v>
      </c>
      <c r="B2745">
        <f>12.9</f>
        <v>12.9</v>
      </c>
      <c r="C2745">
        <f>15.9874</f>
        <v>15.987399999999999</v>
      </c>
      <c r="D2745">
        <f>12.51</f>
        <v>12.51</v>
      </c>
      <c r="E2745">
        <f>14.64</f>
        <v>14.64</v>
      </c>
    </row>
    <row r="2746" spans="1:5" x14ac:dyDescent="0.2">
      <c r="A2746" s="1">
        <v>41305</v>
      </c>
      <c r="B2746">
        <f>14.28</f>
        <v>14.28</v>
      </c>
      <c r="C2746">
        <f>16.6395</f>
        <v>16.639500000000002</v>
      </c>
      <c r="D2746">
        <f>13.55</f>
        <v>13.55</v>
      </c>
      <c r="E2746">
        <f>14.62</f>
        <v>14.62</v>
      </c>
    </row>
    <row r="2747" spans="1:5" x14ac:dyDescent="0.2">
      <c r="A2747" s="1">
        <v>41304</v>
      </c>
      <c r="B2747">
        <f>14.32</f>
        <v>14.32</v>
      </c>
      <c r="C2747">
        <f>15.9384</f>
        <v>15.9384</v>
      </c>
      <c r="D2747">
        <f>13.19</f>
        <v>13.19</v>
      </c>
      <c r="E2747">
        <f>14.81</f>
        <v>14.81</v>
      </c>
    </row>
    <row r="2748" spans="1:5" x14ac:dyDescent="0.2">
      <c r="A2748" s="1">
        <v>41303</v>
      </c>
      <c r="B2748">
        <f>13.31</f>
        <v>13.31</v>
      </c>
      <c r="C2748">
        <f>14.8562</f>
        <v>14.856199999999999</v>
      </c>
      <c r="D2748">
        <f>11.95</f>
        <v>11.95</v>
      </c>
      <c r="E2748">
        <f>14.73</f>
        <v>14.73</v>
      </c>
    </row>
    <row r="2749" spans="1:5" x14ac:dyDescent="0.2">
      <c r="A2749" s="1">
        <v>41302</v>
      </c>
      <c r="B2749">
        <f>13.57</f>
        <v>13.57</v>
      </c>
      <c r="C2749">
        <f>15.1979</f>
        <v>15.197900000000001</v>
      </c>
      <c r="D2749">
        <f>12.55</f>
        <v>12.55</v>
      </c>
      <c r="E2749">
        <f>14.73</f>
        <v>14.73</v>
      </c>
    </row>
    <row r="2750" spans="1:5" x14ac:dyDescent="0.2">
      <c r="A2750" s="1">
        <v>41299</v>
      </c>
      <c r="B2750">
        <f>12.89</f>
        <v>12.89</v>
      </c>
      <c r="C2750">
        <f>14.9093</f>
        <v>14.9093</v>
      </c>
      <c r="D2750">
        <f>11.74</f>
        <v>11.74</v>
      </c>
      <c r="E2750">
        <f>14.71</f>
        <v>14.71</v>
      </c>
    </row>
    <row r="2751" spans="1:5" x14ac:dyDescent="0.2">
      <c r="A2751" s="1">
        <v>41298</v>
      </c>
      <c r="B2751">
        <f>12.69</f>
        <v>12.69</v>
      </c>
      <c r="C2751">
        <f>15.3145</f>
        <v>15.314500000000001</v>
      </c>
      <c r="D2751">
        <f>11.42</f>
        <v>11.42</v>
      </c>
      <c r="E2751">
        <f>15.16</f>
        <v>15.16</v>
      </c>
    </row>
    <row r="2752" spans="1:5" x14ac:dyDescent="0.2">
      <c r="A2752" s="1">
        <v>41297</v>
      </c>
      <c r="B2752">
        <f>12.46</f>
        <v>12.46</v>
      </c>
      <c r="C2752">
        <f>16.2203</f>
        <v>16.220300000000002</v>
      </c>
      <c r="D2752">
        <f>11.72</f>
        <v>11.72</v>
      </c>
      <c r="E2752">
        <f>14.88</f>
        <v>14.88</v>
      </c>
    </row>
    <row r="2753" spans="1:5" x14ac:dyDescent="0.2">
      <c r="A2753" s="1">
        <v>41296</v>
      </c>
      <c r="B2753">
        <f>12.43</f>
        <v>12.43</v>
      </c>
      <c r="C2753">
        <f>16.063</f>
        <v>16.062999999999999</v>
      </c>
      <c r="D2753">
        <f>12.54</f>
        <v>12.54</v>
      </c>
      <c r="E2753">
        <f>15.09</f>
        <v>15.09</v>
      </c>
    </row>
    <row r="2754" spans="1:5" x14ac:dyDescent="0.2">
      <c r="A2754" s="1">
        <v>41295</v>
      </c>
      <c r="B2754" t="e">
        <f>NA()</f>
        <v>#N/A</v>
      </c>
      <c r="C2754">
        <f>15.4605</f>
        <v>15.4605</v>
      </c>
      <c r="D2754">
        <f>11.91</f>
        <v>11.91</v>
      </c>
      <c r="E2754">
        <f>14.86</f>
        <v>14.86</v>
      </c>
    </row>
    <row r="2755" spans="1:5" x14ac:dyDescent="0.2">
      <c r="A2755" s="1">
        <v>41292</v>
      </c>
      <c r="B2755">
        <f>12.46</f>
        <v>12.46</v>
      </c>
      <c r="C2755">
        <f>15.8831</f>
        <v>15.883100000000001</v>
      </c>
      <c r="D2755">
        <f>11.85</f>
        <v>11.85</v>
      </c>
      <c r="E2755">
        <f>14.58</f>
        <v>14.58</v>
      </c>
    </row>
    <row r="2756" spans="1:5" x14ac:dyDescent="0.2">
      <c r="A2756" s="1">
        <v>41291</v>
      </c>
      <c r="B2756">
        <f>13.57</f>
        <v>13.57</v>
      </c>
      <c r="C2756">
        <f>15.9134</f>
        <v>15.913399999999999</v>
      </c>
      <c r="D2756">
        <f>11.24</f>
        <v>11.24</v>
      </c>
      <c r="E2756">
        <f>14.83</f>
        <v>14.83</v>
      </c>
    </row>
    <row r="2757" spans="1:5" x14ac:dyDescent="0.2">
      <c r="A2757" s="1">
        <v>41290</v>
      </c>
      <c r="B2757">
        <f>13.42</f>
        <v>13.42</v>
      </c>
      <c r="C2757">
        <f>16.146</f>
        <v>16.146000000000001</v>
      </c>
      <c r="D2757">
        <f>11.15</f>
        <v>11.15</v>
      </c>
      <c r="E2757">
        <f>14.81</f>
        <v>14.81</v>
      </c>
    </row>
    <row r="2758" spans="1:5" x14ac:dyDescent="0.2">
      <c r="A2758" s="1">
        <v>41289</v>
      </c>
      <c r="B2758">
        <f>13.55</f>
        <v>13.55</v>
      </c>
      <c r="C2758">
        <f>15.9725</f>
        <v>15.9725</v>
      </c>
      <c r="D2758">
        <f>11.21</f>
        <v>11.21</v>
      </c>
      <c r="E2758">
        <f>14.74</f>
        <v>14.74</v>
      </c>
    </row>
    <row r="2759" spans="1:5" x14ac:dyDescent="0.2">
      <c r="A2759" s="1">
        <v>41288</v>
      </c>
      <c r="B2759">
        <f>13.52</f>
        <v>13.52</v>
      </c>
      <c r="C2759">
        <f>15.7019</f>
        <v>15.7019</v>
      </c>
      <c r="D2759">
        <f>11.6</f>
        <v>11.6</v>
      </c>
      <c r="E2759">
        <f>14.2</f>
        <v>14.2</v>
      </c>
    </row>
    <row r="2760" spans="1:5" x14ac:dyDescent="0.2">
      <c r="A2760" s="1">
        <v>41285</v>
      </c>
      <c r="B2760">
        <f>13.36</f>
        <v>13.36</v>
      </c>
      <c r="C2760">
        <f>15.5715</f>
        <v>15.5715</v>
      </c>
      <c r="D2760">
        <f>11.61</f>
        <v>11.61</v>
      </c>
      <c r="E2760">
        <f>14.19</f>
        <v>14.19</v>
      </c>
    </row>
    <row r="2761" spans="1:5" x14ac:dyDescent="0.2">
      <c r="A2761" s="1">
        <v>41284</v>
      </c>
      <c r="B2761">
        <f>13.49</f>
        <v>13.49</v>
      </c>
      <c r="C2761">
        <f>16.1155</f>
        <v>16.115500000000001</v>
      </c>
      <c r="D2761">
        <f>12.55</f>
        <v>12.55</v>
      </c>
      <c r="E2761">
        <f>14.17</f>
        <v>14.17</v>
      </c>
    </row>
    <row r="2762" spans="1:5" x14ac:dyDescent="0.2">
      <c r="A2762" s="1">
        <v>41283</v>
      </c>
      <c r="B2762">
        <f>13.81</f>
        <v>13.81</v>
      </c>
      <c r="C2762">
        <f>16.1474</f>
        <v>16.147400000000001</v>
      </c>
      <c r="D2762">
        <f>13.55</f>
        <v>13.55</v>
      </c>
      <c r="E2762">
        <f>14.14</f>
        <v>14.14</v>
      </c>
    </row>
    <row r="2763" spans="1:5" x14ac:dyDescent="0.2">
      <c r="A2763" s="1">
        <v>41282</v>
      </c>
      <c r="B2763">
        <f>13.62</f>
        <v>13.62</v>
      </c>
      <c r="C2763">
        <f>16.8999</f>
        <v>16.899899999999999</v>
      </c>
      <c r="D2763">
        <f>14.1</f>
        <v>14.1</v>
      </c>
      <c r="E2763">
        <f>13.61</f>
        <v>13.61</v>
      </c>
    </row>
    <row r="2764" spans="1:5" x14ac:dyDescent="0.2">
      <c r="A2764" s="1">
        <v>41281</v>
      </c>
      <c r="B2764">
        <f>13.79</f>
        <v>13.79</v>
      </c>
      <c r="C2764">
        <f>16.818</f>
        <v>16.818000000000001</v>
      </c>
      <c r="D2764">
        <f>13.9</f>
        <v>13.9</v>
      </c>
      <c r="E2764">
        <f>13.62</f>
        <v>13.62</v>
      </c>
    </row>
    <row r="2765" spans="1:5" x14ac:dyDescent="0.2">
      <c r="A2765" s="1">
        <v>41278</v>
      </c>
      <c r="B2765">
        <f>13.83</f>
        <v>13.83</v>
      </c>
      <c r="C2765">
        <f>16.0708</f>
        <v>16.070799999999998</v>
      </c>
      <c r="D2765">
        <f>13.46</f>
        <v>13.46</v>
      </c>
      <c r="E2765">
        <f>13.58</f>
        <v>13.58</v>
      </c>
    </row>
    <row r="2766" spans="1:5" x14ac:dyDescent="0.2">
      <c r="A2766" s="1">
        <v>41277</v>
      </c>
      <c r="B2766">
        <f>14.56</f>
        <v>14.56</v>
      </c>
      <c r="C2766">
        <f>17.54</f>
        <v>17.54</v>
      </c>
      <c r="D2766">
        <f>14.4</f>
        <v>14.4</v>
      </c>
      <c r="E2766">
        <f>13.55</f>
        <v>13.55</v>
      </c>
    </row>
    <row r="2767" spans="1:5" x14ac:dyDescent="0.2">
      <c r="A2767" s="1">
        <v>41276</v>
      </c>
      <c r="B2767">
        <f>14.68</f>
        <v>14.68</v>
      </c>
      <c r="C2767">
        <f>18.3628</f>
        <v>18.3628</v>
      </c>
      <c r="D2767">
        <f>14.97</f>
        <v>14.97</v>
      </c>
      <c r="E2767">
        <f>13.51</f>
        <v>13.51</v>
      </c>
    </row>
    <row r="2768" spans="1:5" x14ac:dyDescent="0.2">
      <c r="A2768" s="1">
        <v>41274</v>
      </c>
      <c r="B2768">
        <f>18.02</f>
        <v>18.02</v>
      </c>
      <c r="C2768" t="e">
        <f>NA()</f>
        <v>#N/A</v>
      </c>
      <c r="D2768">
        <f>18.32</f>
        <v>18.32</v>
      </c>
      <c r="E2768">
        <f>14.01</f>
        <v>14.01</v>
      </c>
    </row>
    <row r="2769" spans="1:5" x14ac:dyDescent="0.2">
      <c r="A2769" s="1">
        <v>41271</v>
      </c>
      <c r="B2769">
        <f>22.72</f>
        <v>22.72</v>
      </c>
      <c r="C2769">
        <f>21.3534</f>
        <v>21.353400000000001</v>
      </c>
      <c r="D2769">
        <f>16.69</f>
        <v>16.690000000000001</v>
      </c>
      <c r="E2769">
        <f>14.14</f>
        <v>14.14</v>
      </c>
    </row>
    <row r="2770" spans="1:5" x14ac:dyDescent="0.2">
      <c r="A2770" s="1">
        <v>41270</v>
      </c>
      <c r="B2770">
        <f>19.47</f>
        <v>19.47</v>
      </c>
      <c r="C2770">
        <f>18.2289</f>
        <v>18.228899999999999</v>
      </c>
      <c r="D2770">
        <f>15.21</f>
        <v>15.21</v>
      </c>
      <c r="E2770">
        <f>13.84</f>
        <v>13.84</v>
      </c>
    </row>
    <row r="2771" spans="1:5" x14ac:dyDescent="0.2">
      <c r="A2771" s="1">
        <v>41269</v>
      </c>
      <c r="B2771">
        <f>19.48</f>
        <v>19.48</v>
      </c>
      <c r="C2771" t="e">
        <f>NA()</f>
        <v>#N/A</v>
      </c>
      <c r="D2771" t="e">
        <f>NA()</f>
        <v>#N/A</v>
      </c>
      <c r="E2771" t="e">
        <f>NA()</f>
        <v>#N/A</v>
      </c>
    </row>
    <row r="2772" spans="1:5" x14ac:dyDescent="0.2">
      <c r="A2772" s="1">
        <v>41267</v>
      </c>
      <c r="B2772">
        <f>17.84</f>
        <v>17.84</v>
      </c>
      <c r="C2772" t="e">
        <f>NA()</f>
        <v>#N/A</v>
      </c>
      <c r="D2772">
        <f>15.02</f>
        <v>15.02</v>
      </c>
      <c r="E2772">
        <f>14.07</f>
        <v>14.07</v>
      </c>
    </row>
    <row r="2773" spans="1:5" x14ac:dyDescent="0.2">
      <c r="A2773" s="1">
        <v>41264</v>
      </c>
      <c r="B2773">
        <f>17.84</f>
        <v>17.84</v>
      </c>
      <c r="C2773">
        <f>17.8926</f>
        <v>17.892600000000002</v>
      </c>
      <c r="D2773">
        <f>15.09</f>
        <v>15.09</v>
      </c>
      <c r="E2773">
        <f>13.85</f>
        <v>13.85</v>
      </c>
    </row>
    <row r="2774" spans="1:5" x14ac:dyDescent="0.2">
      <c r="A2774" s="1">
        <v>41263</v>
      </c>
      <c r="B2774">
        <f>17.67</f>
        <v>17.670000000000002</v>
      </c>
      <c r="C2774">
        <f>15.7568</f>
        <v>15.7568</v>
      </c>
      <c r="D2774">
        <f>13.84</f>
        <v>13.84</v>
      </c>
      <c r="E2774" t="e">
        <f>NA()</f>
        <v>#N/A</v>
      </c>
    </row>
    <row r="2775" spans="1:5" x14ac:dyDescent="0.2">
      <c r="A2775" s="1">
        <v>41262</v>
      </c>
      <c r="B2775">
        <f>17.36</f>
        <v>17.36</v>
      </c>
      <c r="C2775">
        <f>15.6463</f>
        <v>15.6463</v>
      </c>
      <c r="D2775">
        <f>13.56</f>
        <v>13.56</v>
      </c>
      <c r="E2775">
        <f>13.83</f>
        <v>13.83</v>
      </c>
    </row>
    <row r="2776" spans="1:5" x14ac:dyDescent="0.2">
      <c r="A2776" s="1">
        <v>41261</v>
      </c>
      <c r="B2776">
        <f>15.57</f>
        <v>15.57</v>
      </c>
      <c r="C2776">
        <f>15.8638</f>
        <v>15.863799999999999</v>
      </c>
      <c r="D2776">
        <f>13.14</f>
        <v>13.14</v>
      </c>
      <c r="E2776">
        <f>14.79</f>
        <v>14.79</v>
      </c>
    </row>
    <row r="2777" spans="1:5" x14ac:dyDescent="0.2">
      <c r="A2777" s="1">
        <v>41260</v>
      </c>
      <c r="B2777">
        <f>16.34</f>
        <v>16.34</v>
      </c>
      <c r="C2777">
        <f>16.4617</f>
        <v>16.4617</v>
      </c>
      <c r="D2777">
        <f>13.48</f>
        <v>13.48</v>
      </c>
      <c r="E2777" t="e">
        <f>NA()</f>
        <v>#N/A</v>
      </c>
    </row>
    <row r="2778" spans="1:5" x14ac:dyDescent="0.2">
      <c r="A2778" s="1">
        <v>41257</v>
      </c>
      <c r="B2778">
        <f>17</f>
        <v>17</v>
      </c>
      <c r="C2778">
        <f>16.4818</f>
        <v>16.4818</v>
      </c>
      <c r="D2778">
        <f>12.74</f>
        <v>12.74</v>
      </c>
      <c r="E2778">
        <f>14.27</f>
        <v>14.27</v>
      </c>
    </row>
    <row r="2779" spans="1:5" x14ac:dyDescent="0.2">
      <c r="A2779" s="1">
        <v>41256</v>
      </c>
      <c r="B2779">
        <f>16.56</f>
        <v>16.559999999999999</v>
      </c>
      <c r="C2779">
        <f>16.9542</f>
        <v>16.9542</v>
      </c>
      <c r="D2779">
        <f>12.62</f>
        <v>12.62</v>
      </c>
      <c r="E2779">
        <f>14.26</f>
        <v>14.26</v>
      </c>
    </row>
    <row r="2780" spans="1:5" x14ac:dyDescent="0.2">
      <c r="A2780" s="1">
        <v>41255</v>
      </c>
      <c r="B2780">
        <f>15.95</f>
        <v>15.95</v>
      </c>
      <c r="C2780">
        <f>17.0471</f>
        <v>17.0471</v>
      </c>
      <c r="D2780">
        <f>12.58</f>
        <v>12.58</v>
      </c>
      <c r="E2780">
        <f>14.26</f>
        <v>14.26</v>
      </c>
    </row>
    <row r="2781" spans="1:5" x14ac:dyDescent="0.2">
      <c r="A2781" s="1">
        <v>41254</v>
      </c>
      <c r="B2781">
        <f>15.57</f>
        <v>15.57</v>
      </c>
      <c r="C2781">
        <f>17.0262</f>
        <v>17.026199999999999</v>
      </c>
      <c r="D2781">
        <f>12.69</f>
        <v>12.69</v>
      </c>
      <c r="E2781">
        <f>14.26</f>
        <v>14.26</v>
      </c>
    </row>
    <row r="2782" spans="1:5" x14ac:dyDescent="0.2">
      <c r="A2782" s="1">
        <v>41253</v>
      </c>
      <c r="B2782">
        <f>16.05</f>
        <v>16.05</v>
      </c>
      <c r="C2782">
        <f>17.4025</f>
        <v>17.4025</v>
      </c>
      <c r="D2782">
        <f>13.02</f>
        <v>13.02</v>
      </c>
      <c r="E2782">
        <f>14.5</f>
        <v>14.5</v>
      </c>
    </row>
    <row r="2783" spans="1:5" x14ac:dyDescent="0.2">
      <c r="A2783" s="1">
        <v>41250</v>
      </c>
      <c r="B2783">
        <f>15.9</f>
        <v>15.9</v>
      </c>
      <c r="C2783">
        <f>17.2026</f>
        <v>17.2026</v>
      </c>
      <c r="D2783">
        <f>12.43</f>
        <v>12.43</v>
      </c>
      <c r="E2783">
        <f>14.52</f>
        <v>14.52</v>
      </c>
    </row>
    <row r="2784" spans="1:5" x14ac:dyDescent="0.2">
      <c r="A2784" s="1">
        <v>41249</v>
      </c>
      <c r="B2784">
        <f>16.58</f>
        <v>16.579999999999998</v>
      </c>
      <c r="C2784">
        <f>16.9937</f>
        <v>16.9937</v>
      </c>
      <c r="D2784">
        <f>12.35</f>
        <v>12.35</v>
      </c>
      <c r="E2784">
        <f>14.52</f>
        <v>14.52</v>
      </c>
    </row>
    <row r="2785" spans="1:5" x14ac:dyDescent="0.2">
      <c r="A2785" s="1">
        <v>41248</v>
      </c>
      <c r="B2785">
        <f>16.46</f>
        <v>16.46</v>
      </c>
      <c r="C2785">
        <f>17.3906</f>
        <v>17.390599999999999</v>
      </c>
      <c r="D2785">
        <f>12.6</f>
        <v>12.6</v>
      </c>
      <c r="E2785">
        <f>15.04</f>
        <v>15.04</v>
      </c>
    </row>
    <row r="2786" spans="1:5" x14ac:dyDescent="0.2">
      <c r="A2786" s="1">
        <v>41247</v>
      </c>
      <c r="B2786">
        <f>17.12</f>
        <v>17.12</v>
      </c>
      <c r="C2786">
        <f>17.2837</f>
        <v>17.2837</v>
      </c>
      <c r="D2786">
        <f>12.49</f>
        <v>12.49</v>
      </c>
      <c r="E2786">
        <f>14.98</f>
        <v>14.98</v>
      </c>
    </row>
    <row r="2787" spans="1:5" x14ac:dyDescent="0.2">
      <c r="A2787" s="1">
        <v>41246</v>
      </c>
      <c r="B2787">
        <f>16.64</f>
        <v>16.64</v>
      </c>
      <c r="C2787">
        <f>17.3112</f>
        <v>17.311199999999999</v>
      </c>
      <c r="D2787">
        <f>12.65</f>
        <v>12.65</v>
      </c>
      <c r="E2787">
        <f>14.96</f>
        <v>14.96</v>
      </c>
    </row>
    <row r="2788" spans="1:5" x14ac:dyDescent="0.2">
      <c r="A2788" s="1">
        <v>41243</v>
      </c>
      <c r="B2788">
        <f>15.87</f>
        <v>15.87</v>
      </c>
      <c r="C2788">
        <f>16.5548</f>
        <v>16.5548</v>
      </c>
      <c r="D2788">
        <f>12.32</f>
        <v>12.32</v>
      </c>
      <c r="E2788">
        <f>14.97</f>
        <v>14.97</v>
      </c>
    </row>
    <row r="2789" spans="1:5" x14ac:dyDescent="0.2">
      <c r="A2789" s="1">
        <v>41242</v>
      </c>
      <c r="B2789">
        <f>15.06</f>
        <v>15.06</v>
      </c>
      <c r="C2789">
        <f>16.4854</f>
        <v>16.485399999999998</v>
      </c>
      <c r="D2789">
        <f>12.38</f>
        <v>12.38</v>
      </c>
      <c r="E2789">
        <f>15.23</f>
        <v>15.23</v>
      </c>
    </row>
    <row r="2790" spans="1:5" x14ac:dyDescent="0.2">
      <c r="A2790" s="1">
        <v>41241</v>
      </c>
      <c r="B2790">
        <f>15.51</f>
        <v>15.51</v>
      </c>
      <c r="C2790">
        <f>17.2555</f>
        <v>17.255500000000001</v>
      </c>
      <c r="D2790">
        <f>13.64</f>
        <v>13.64</v>
      </c>
      <c r="E2790">
        <f>15.5</f>
        <v>15.5</v>
      </c>
    </row>
    <row r="2791" spans="1:5" x14ac:dyDescent="0.2">
      <c r="A2791" s="1">
        <v>41240</v>
      </c>
      <c r="B2791">
        <f>15.92</f>
        <v>15.92</v>
      </c>
      <c r="C2791">
        <f>17.699</f>
        <v>17.699000000000002</v>
      </c>
      <c r="D2791">
        <f>13.99</f>
        <v>13.99</v>
      </c>
      <c r="E2791">
        <f>15.23</f>
        <v>15.23</v>
      </c>
    </row>
    <row r="2792" spans="1:5" x14ac:dyDescent="0.2">
      <c r="A2792" s="1">
        <v>41239</v>
      </c>
      <c r="B2792">
        <f>15.5</f>
        <v>15.5</v>
      </c>
      <c r="C2792">
        <f>18.4984</f>
        <v>18.4984</v>
      </c>
      <c r="D2792">
        <f>15.08</f>
        <v>15.08</v>
      </c>
      <c r="E2792">
        <f>15.22</f>
        <v>15.22</v>
      </c>
    </row>
    <row r="2793" spans="1:5" x14ac:dyDescent="0.2">
      <c r="A2793" s="1">
        <v>41236</v>
      </c>
      <c r="B2793">
        <f>15.14</f>
        <v>15.14</v>
      </c>
      <c r="C2793">
        <f>17.7473</f>
        <v>17.747299999999999</v>
      </c>
      <c r="D2793">
        <f>13.8</f>
        <v>13.8</v>
      </c>
      <c r="E2793">
        <f>15.22</f>
        <v>15.22</v>
      </c>
    </row>
    <row r="2794" spans="1:5" x14ac:dyDescent="0.2">
      <c r="A2794" s="1">
        <v>41235</v>
      </c>
      <c r="B2794" t="e">
        <f>NA()</f>
        <v>#N/A</v>
      </c>
      <c r="C2794">
        <f>17.4423</f>
        <v>17.442299999999999</v>
      </c>
      <c r="D2794">
        <f>13.79</f>
        <v>13.79</v>
      </c>
      <c r="E2794">
        <f>15.22</f>
        <v>15.22</v>
      </c>
    </row>
    <row r="2795" spans="1:5" x14ac:dyDescent="0.2">
      <c r="A2795" s="1">
        <v>41234</v>
      </c>
      <c r="B2795">
        <f>15.31</f>
        <v>15.31</v>
      </c>
      <c r="C2795">
        <f>17.8461</f>
        <v>17.8461</v>
      </c>
      <c r="D2795">
        <f>14.09</f>
        <v>14.09</v>
      </c>
      <c r="E2795">
        <f>15.5</f>
        <v>15.5</v>
      </c>
    </row>
    <row r="2796" spans="1:5" x14ac:dyDescent="0.2">
      <c r="A2796" s="1">
        <v>41233</v>
      </c>
      <c r="B2796">
        <f>15.08</f>
        <v>15.08</v>
      </c>
      <c r="C2796">
        <f>18.7696</f>
        <v>18.769600000000001</v>
      </c>
      <c r="D2796">
        <f>14.77</f>
        <v>14.77</v>
      </c>
      <c r="E2796">
        <f>15.51</f>
        <v>15.51</v>
      </c>
    </row>
    <row r="2797" spans="1:5" x14ac:dyDescent="0.2">
      <c r="A2797" s="1">
        <v>41232</v>
      </c>
      <c r="B2797">
        <f>15.24</f>
        <v>15.24</v>
      </c>
      <c r="C2797">
        <f>19.6356</f>
        <v>19.6356</v>
      </c>
      <c r="D2797">
        <f>15.15</f>
        <v>15.15</v>
      </c>
      <c r="E2797">
        <f>15.78</f>
        <v>15.78</v>
      </c>
    </row>
    <row r="2798" spans="1:5" x14ac:dyDescent="0.2">
      <c r="A2798" s="1">
        <v>41229</v>
      </c>
      <c r="B2798">
        <f>16.41</f>
        <v>16.41</v>
      </c>
      <c r="C2798">
        <f>22.1719</f>
        <v>22.171900000000001</v>
      </c>
      <c r="D2798">
        <f>18.87</f>
        <v>18.87</v>
      </c>
      <c r="E2798">
        <f>16.08</f>
        <v>16.079999999999998</v>
      </c>
    </row>
    <row r="2799" spans="1:5" x14ac:dyDescent="0.2">
      <c r="A2799" s="1">
        <v>41228</v>
      </c>
      <c r="B2799">
        <f>17.99</f>
        <v>17.989999999999998</v>
      </c>
      <c r="C2799">
        <f>21.9773</f>
        <v>21.9773</v>
      </c>
      <c r="D2799">
        <f>17.75</f>
        <v>17.75</v>
      </c>
      <c r="E2799">
        <f>16.29</f>
        <v>16.29</v>
      </c>
    </row>
    <row r="2800" spans="1:5" x14ac:dyDescent="0.2">
      <c r="A2800" s="1">
        <v>41227</v>
      </c>
      <c r="B2800">
        <f>17.92</f>
        <v>17.920000000000002</v>
      </c>
      <c r="C2800">
        <f>21.5292</f>
        <v>21.529199999999999</v>
      </c>
      <c r="D2800">
        <f>16.35</f>
        <v>16.350000000000001</v>
      </c>
      <c r="E2800">
        <f>16.03</f>
        <v>16.03</v>
      </c>
    </row>
    <row r="2801" spans="1:5" x14ac:dyDescent="0.2">
      <c r="A2801" s="1">
        <v>41226</v>
      </c>
      <c r="B2801">
        <f>16.65</f>
        <v>16.649999999999999</v>
      </c>
      <c r="C2801">
        <f>21.8471</f>
        <v>21.847100000000001</v>
      </c>
      <c r="D2801">
        <f>15.86</f>
        <v>15.86</v>
      </c>
      <c r="E2801">
        <f>15.99</f>
        <v>15.99</v>
      </c>
    </row>
    <row r="2802" spans="1:5" x14ac:dyDescent="0.2">
      <c r="A2802" s="1">
        <v>41225</v>
      </c>
      <c r="B2802">
        <f>16.68</f>
        <v>16.68</v>
      </c>
      <c r="C2802">
        <f>22.7101</f>
        <v>22.710100000000001</v>
      </c>
      <c r="D2802">
        <f>16.35</f>
        <v>16.350000000000001</v>
      </c>
      <c r="E2802">
        <f>15.74</f>
        <v>15.74</v>
      </c>
    </row>
    <row r="2803" spans="1:5" x14ac:dyDescent="0.2">
      <c r="A2803" s="1">
        <v>41222</v>
      </c>
      <c r="B2803">
        <f>18.61</f>
        <v>18.61</v>
      </c>
      <c r="C2803">
        <f>22.57</f>
        <v>22.57</v>
      </c>
      <c r="D2803">
        <f>17.17</f>
        <v>17.170000000000002</v>
      </c>
      <c r="E2803">
        <f>15.98</f>
        <v>15.98</v>
      </c>
    </row>
    <row r="2804" spans="1:5" x14ac:dyDescent="0.2">
      <c r="A2804" s="1">
        <v>41221</v>
      </c>
      <c r="B2804">
        <f>18.49</f>
        <v>18.489999999999998</v>
      </c>
      <c r="C2804">
        <f>23.0951</f>
        <v>23.095099999999999</v>
      </c>
      <c r="D2804">
        <f>17.13</f>
        <v>17.13</v>
      </c>
      <c r="E2804">
        <f>15.71</f>
        <v>15.71</v>
      </c>
    </row>
    <row r="2805" spans="1:5" x14ac:dyDescent="0.2">
      <c r="A2805" s="1">
        <v>41220</v>
      </c>
      <c r="B2805">
        <f>19.08</f>
        <v>19.079999999999998</v>
      </c>
      <c r="C2805">
        <f>23.2841</f>
        <v>23.284099999999999</v>
      </c>
      <c r="D2805">
        <f>16.23</f>
        <v>16.23</v>
      </c>
      <c r="E2805">
        <f>15.71</f>
        <v>15.71</v>
      </c>
    </row>
    <row r="2806" spans="1:5" x14ac:dyDescent="0.2">
      <c r="A2806" s="1">
        <v>41219</v>
      </c>
      <c r="B2806">
        <f>17.58</f>
        <v>17.579999999999998</v>
      </c>
      <c r="C2806">
        <f>21.7924</f>
        <v>21.792400000000001</v>
      </c>
      <c r="D2806">
        <f>15.23</f>
        <v>15.23</v>
      </c>
      <c r="E2806">
        <f>15.66</f>
        <v>15.66</v>
      </c>
    </row>
    <row r="2807" spans="1:5" x14ac:dyDescent="0.2">
      <c r="A2807" s="1">
        <v>41218</v>
      </c>
      <c r="B2807">
        <f>18.42</f>
        <v>18.420000000000002</v>
      </c>
      <c r="C2807">
        <f>22.216</f>
        <v>22.216000000000001</v>
      </c>
      <c r="D2807">
        <f>15.88</f>
        <v>15.88</v>
      </c>
      <c r="E2807">
        <f>15.48</f>
        <v>15.48</v>
      </c>
    </row>
    <row r="2808" spans="1:5" x14ac:dyDescent="0.2">
      <c r="A2808" s="1">
        <v>41215</v>
      </c>
      <c r="B2808">
        <f>17.59</f>
        <v>17.59</v>
      </c>
      <c r="C2808">
        <f>20.5608</f>
        <v>20.5608</v>
      </c>
      <c r="D2808">
        <f>14.65</f>
        <v>14.65</v>
      </c>
      <c r="E2808">
        <f>15.44</f>
        <v>15.44</v>
      </c>
    </row>
    <row r="2809" spans="1:5" x14ac:dyDescent="0.2">
      <c r="A2809" s="1">
        <v>41214</v>
      </c>
      <c r="B2809">
        <f>16.69</f>
        <v>16.690000000000001</v>
      </c>
      <c r="C2809">
        <f>21.2117</f>
        <v>21.2117</v>
      </c>
      <c r="D2809">
        <f>15.08</f>
        <v>15.08</v>
      </c>
      <c r="E2809">
        <f>15.76</f>
        <v>15.76</v>
      </c>
    </row>
    <row r="2810" spans="1:5" x14ac:dyDescent="0.2">
      <c r="A2810" s="1">
        <v>41213</v>
      </c>
      <c r="B2810">
        <f>18.6</f>
        <v>18.600000000000001</v>
      </c>
      <c r="C2810">
        <f>22.2123</f>
        <v>22.212299999999999</v>
      </c>
      <c r="D2810">
        <f>16.02</f>
        <v>16.02</v>
      </c>
      <c r="E2810">
        <f>16.01</f>
        <v>16.010000000000002</v>
      </c>
    </row>
    <row r="2811" spans="1:5" x14ac:dyDescent="0.2">
      <c r="A2811" s="1">
        <v>41212</v>
      </c>
      <c r="B2811" t="e">
        <f>NA()</f>
        <v>#N/A</v>
      </c>
      <c r="C2811">
        <f>21.8978</f>
        <v>21.8978</v>
      </c>
      <c r="D2811">
        <f>15.4</f>
        <v>15.4</v>
      </c>
      <c r="E2811">
        <f>16.01</f>
        <v>16.010000000000002</v>
      </c>
    </row>
    <row r="2812" spans="1:5" x14ac:dyDescent="0.2">
      <c r="A2812" s="1">
        <v>41211</v>
      </c>
      <c r="B2812" t="e">
        <f>NA()</f>
        <v>#N/A</v>
      </c>
      <c r="C2812">
        <f>23.2166</f>
        <v>23.2166</v>
      </c>
      <c r="D2812">
        <f>16.52</f>
        <v>16.52</v>
      </c>
      <c r="E2812">
        <f>16.24</f>
        <v>16.239999999999998</v>
      </c>
    </row>
    <row r="2813" spans="1:5" x14ac:dyDescent="0.2">
      <c r="A2813" s="1">
        <v>41208</v>
      </c>
      <c r="B2813">
        <f>17.81</f>
        <v>17.809999999999999</v>
      </c>
      <c r="C2813">
        <f>22.137</f>
        <v>22.137</v>
      </c>
      <c r="D2813">
        <f>15.51</f>
        <v>15.51</v>
      </c>
      <c r="E2813">
        <f>16.25</f>
        <v>16.25</v>
      </c>
    </row>
    <row r="2814" spans="1:5" x14ac:dyDescent="0.2">
      <c r="A2814" s="1">
        <v>41207</v>
      </c>
      <c r="B2814">
        <f>18.12</f>
        <v>18.12</v>
      </c>
      <c r="C2814">
        <f>22.4852</f>
        <v>22.485199999999999</v>
      </c>
      <c r="D2814">
        <f>15.23</f>
        <v>15.23</v>
      </c>
      <c r="E2814">
        <f>16.5</f>
        <v>16.5</v>
      </c>
    </row>
    <row r="2815" spans="1:5" x14ac:dyDescent="0.2">
      <c r="A2815" s="1">
        <v>41206</v>
      </c>
      <c r="B2815">
        <f>18.33</f>
        <v>18.329999999999998</v>
      </c>
      <c r="C2815">
        <f>22.7611</f>
        <v>22.761099999999999</v>
      </c>
      <c r="D2815">
        <f>15.52</f>
        <v>15.52</v>
      </c>
      <c r="E2815">
        <f>16.5</f>
        <v>16.5</v>
      </c>
    </row>
    <row r="2816" spans="1:5" x14ac:dyDescent="0.2">
      <c r="A2816" s="1">
        <v>41205</v>
      </c>
      <c r="B2816">
        <f>18.83</f>
        <v>18.829999999999998</v>
      </c>
      <c r="C2816">
        <f>23.3924</f>
        <v>23.392399999999999</v>
      </c>
      <c r="D2816">
        <f>16.06</f>
        <v>16.059999999999999</v>
      </c>
      <c r="E2816">
        <f>16.77</f>
        <v>16.77</v>
      </c>
    </row>
    <row r="2817" spans="1:5" x14ac:dyDescent="0.2">
      <c r="A2817" s="1">
        <v>41204</v>
      </c>
      <c r="B2817">
        <f>16.62</f>
        <v>16.62</v>
      </c>
      <c r="C2817">
        <f>21.2613</f>
        <v>21.261299999999999</v>
      </c>
      <c r="D2817">
        <f>14.2</f>
        <v>14.2</v>
      </c>
      <c r="E2817">
        <f>16.49</f>
        <v>16.489999999999998</v>
      </c>
    </row>
    <row r="2818" spans="1:5" x14ac:dyDescent="0.2">
      <c r="A2818" s="1">
        <v>41201</v>
      </c>
      <c r="B2818">
        <f>17.06</f>
        <v>17.059999999999999</v>
      </c>
      <c r="C2818">
        <f>20.5996</f>
        <v>20.599599999999999</v>
      </c>
      <c r="D2818">
        <f>13.61</f>
        <v>13.61</v>
      </c>
      <c r="E2818">
        <f>17.1</f>
        <v>17.100000000000001</v>
      </c>
    </row>
    <row r="2819" spans="1:5" x14ac:dyDescent="0.2">
      <c r="A2819" s="1">
        <v>41200</v>
      </c>
      <c r="B2819">
        <f>15.03</f>
        <v>15.03</v>
      </c>
      <c r="C2819">
        <f>19.5805</f>
        <v>19.580500000000001</v>
      </c>
      <c r="D2819">
        <f>12.96</f>
        <v>12.96</v>
      </c>
      <c r="E2819">
        <f>16.84</f>
        <v>16.84</v>
      </c>
    </row>
    <row r="2820" spans="1:5" x14ac:dyDescent="0.2">
      <c r="A2820" s="1">
        <v>41199</v>
      </c>
      <c r="B2820">
        <f>15.07</f>
        <v>15.07</v>
      </c>
      <c r="C2820">
        <f>19.8775</f>
        <v>19.877500000000001</v>
      </c>
      <c r="D2820">
        <f>13.35</f>
        <v>13.35</v>
      </c>
      <c r="E2820">
        <f>16.47</f>
        <v>16.47</v>
      </c>
    </row>
    <row r="2821" spans="1:5" x14ac:dyDescent="0.2">
      <c r="A2821" s="1">
        <v>41198</v>
      </c>
      <c r="B2821">
        <f>15.22</f>
        <v>15.22</v>
      </c>
      <c r="C2821">
        <f>20.4001</f>
        <v>20.400099999999998</v>
      </c>
      <c r="D2821">
        <f>13.56</f>
        <v>13.56</v>
      </c>
      <c r="E2821">
        <f>16.84</f>
        <v>16.84</v>
      </c>
    </row>
    <row r="2822" spans="1:5" x14ac:dyDescent="0.2">
      <c r="A2822" s="1">
        <v>41197</v>
      </c>
      <c r="B2822">
        <f>15.27</f>
        <v>15.27</v>
      </c>
      <c r="C2822">
        <f>21.4496</f>
        <v>21.4496</v>
      </c>
      <c r="D2822">
        <f>14.27</f>
        <v>14.27</v>
      </c>
      <c r="E2822">
        <f>17.49</f>
        <v>17.489999999999998</v>
      </c>
    </row>
    <row r="2823" spans="1:5" x14ac:dyDescent="0.2">
      <c r="A2823" s="1">
        <v>41194</v>
      </c>
      <c r="B2823">
        <f>16.14</f>
        <v>16.14</v>
      </c>
      <c r="C2823">
        <f>21.8817</f>
        <v>21.881699999999999</v>
      </c>
      <c r="D2823">
        <f>13.85</f>
        <v>13.85</v>
      </c>
      <c r="E2823">
        <f>17.63</f>
        <v>17.63</v>
      </c>
    </row>
    <row r="2824" spans="1:5" x14ac:dyDescent="0.2">
      <c r="A2824" s="1">
        <v>41193</v>
      </c>
      <c r="B2824">
        <f>15.59</f>
        <v>15.59</v>
      </c>
      <c r="C2824">
        <f>21.5761</f>
        <v>21.5761</v>
      </c>
      <c r="D2824">
        <f>13.56</f>
        <v>13.56</v>
      </c>
      <c r="E2824">
        <f>17.5</f>
        <v>17.5</v>
      </c>
    </row>
    <row r="2825" spans="1:5" x14ac:dyDescent="0.2">
      <c r="A2825" s="1">
        <v>41192</v>
      </c>
      <c r="B2825">
        <f>16.29</f>
        <v>16.29</v>
      </c>
      <c r="C2825">
        <f>22.67</f>
        <v>22.67</v>
      </c>
      <c r="D2825">
        <f>14.91</f>
        <v>14.91</v>
      </c>
      <c r="E2825">
        <f>17.89</f>
        <v>17.89</v>
      </c>
    </row>
    <row r="2826" spans="1:5" x14ac:dyDescent="0.2">
      <c r="A2826" s="1">
        <v>41191</v>
      </c>
      <c r="B2826">
        <f>16.37</f>
        <v>16.37</v>
      </c>
      <c r="C2826">
        <f>22.9493</f>
        <v>22.949300000000001</v>
      </c>
      <c r="D2826">
        <f>14.96</f>
        <v>14.96</v>
      </c>
      <c r="E2826">
        <f>18.02</f>
        <v>18.02</v>
      </c>
    </row>
    <row r="2827" spans="1:5" x14ac:dyDescent="0.2">
      <c r="A2827" s="1">
        <v>41190</v>
      </c>
      <c r="B2827">
        <f>15.11</f>
        <v>15.11</v>
      </c>
      <c r="C2827">
        <f>21.58</f>
        <v>21.58</v>
      </c>
      <c r="D2827">
        <f>14.34</f>
        <v>14.34</v>
      </c>
      <c r="E2827">
        <f>17.55</f>
        <v>17.55</v>
      </c>
    </row>
    <row r="2828" spans="1:5" x14ac:dyDescent="0.2">
      <c r="A2828" s="1">
        <v>41187</v>
      </c>
      <c r="B2828">
        <f>14.33</f>
        <v>14.33</v>
      </c>
      <c r="C2828">
        <f>20.3484</f>
        <v>20.348400000000002</v>
      </c>
      <c r="D2828">
        <f>14.01</f>
        <v>14.01</v>
      </c>
      <c r="E2828">
        <f>17.3</f>
        <v>17.3</v>
      </c>
    </row>
    <row r="2829" spans="1:5" x14ac:dyDescent="0.2">
      <c r="A2829" s="1">
        <v>41186</v>
      </c>
      <c r="B2829">
        <f>14.55</f>
        <v>14.55</v>
      </c>
      <c r="C2829">
        <f>21.9957</f>
        <v>21.995699999999999</v>
      </c>
      <c r="D2829">
        <f>14.96</f>
        <v>14.96</v>
      </c>
      <c r="E2829">
        <f>17.66</f>
        <v>17.66</v>
      </c>
    </row>
    <row r="2830" spans="1:5" x14ac:dyDescent="0.2">
      <c r="A2830" s="1">
        <v>41185</v>
      </c>
      <c r="B2830">
        <f>15.43</f>
        <v>15.43</v>
      </c>
      <c r="C2830">
        <f>22.1253</f>
        <v>22.125299999999999</v>
      </c>
      <c r="D2830">
        <f>14.73</f>
        <v>14.73</v>
      </c>
      <c r="E2830">
        <f>17.81</f>
        <v>17.809999999999999</v>
      </c>
    </row>
    <row r="2831" spans="1:5" x14ac:dyDescent="0.2">
      <c r="A2831" s="1">
        <v>41184</v>
      </c>
      <c r="B2831">
        <f>15.71</f>
        <v>15.71</v>
      </c>
      <c r="C2831">
        <f>23.1473</f>
        <v>23.147300000000001</v>
      </c>
      <c r="D2831">
        <f>14.98</f>
        <v>14.98</v>
      </c>
      <c r="E2831">
        <f>17.54</f>
        <v>17.54</v>
      </c>
    </row>
    <row r="2832" spans="1:5" x14ac:dyDescent="0.2">
      <c r="A2832" s="1">
        <v>41183</v>
      </c>
      <c r="B2832">
        <f>16.32</f>
        <v>16.32</v>
      </c>
      <c r="C2832">
        <f>22.8698</f>
        <v>22.869800000000001</v>
      </c>
      <c r="D2832">
        <f>14.75</f>
        <v>14.75</v>
      </c>
      <c r="E2832">
        <f>17.5</f>
        <v>17.5</v>
      </c>
    </row>
    <row r="2833" spans="1:5" x14ac:dyDescent="0.2">
      <c r="A2833" s="1">
        <v>41180</v>
      </c>
      <c r="B2833">
        <f>15.73</f>
        <v>15.73</v>
      </c>
      <c r="C2833">
        <f>23.3836</f>
        <v>23.383600000000001</v>
      </c>
      <c r="D2833">
        <f>15.65</f>
        <v>15.65</v>
      </c>
      <c r="E2833">
        <f>18.04</f>
        <v>18.04</v>
      </c>
    </row>
    <row r="2834" spans="1:5" x14ac:dyDescent="0.2">
      <c r="A2834" s="1">
        <v>41179</v>
      </c>
      <c r="B2834">
        <f>14.84</f>
        <v>14.84</v>
      </c>
      <c r="C2834">
        <f>22.4909</f>
        <v>22.4909</v>
      </c>
      <c r="D2834">
        <f>15.28</f>
        <v>15.28</v>
      </c>
      <c r="E2834">
        <f>18.29</f>
        <v>18.29</v>
      </c>
    </row>
    <row r="2835" spans="1:5" x14ac:dyDescent="0.2">
      <c r="A2835" s="1">
        <v>41178</v>
      </c>
      <c r="B2835">
        <f>16.81</f>
        <v>16.809999999999999</v>
      </c>
      <c r="C2835">
        <f>22.2323</f>
        <v>22.232299999999999</v>
      </c>
      <c r="D2835">
        <f>15.09</f>
        <v>15.09</v>
      </c>
      <c r="E2835">
        <f>18.48</f>
        <v>18.48</v>
      </c>
    </row>
    <row r="2836" spans="1:5" x14ac:dyDescent="0.2">
      <c r="A2836" s="1">
        <v>41177</v>
      </c>
      <c r="B2836">
        <f>15.43</f>
        <v>15.43</v>
      </c>
      <c r="C2836">
        <f>19.7747</f>
        <v>19.774699999999999</v>
      </c>
      <c r="D2836">
        <f>13.28</f>
        <v>13.28</v>
      </c>
      <c r="E2836">
        <f>17.71</f>
        <v>17.71</v>
      </c>
    </row>
    <row r="2837" spans="1:5" x14ac:dyDescent="0.2">
      <c r="A2837" s="1">
        <v>41176</v>
      </c>
      <c r="B2837">
        <f>14.15</f>
        <v>14.15</v>
      </c>
      <c r="C2837">
        <f>19.8013</f>
        <v>19.801300000000001</v>
      </c>
      <c r="D2837">
        <f>13.87</f>
        <v>13.87</v>
      </c>
      <c r="E2837" t="e">
        <f>NA()</f>
        <v>#N/A</v>
      </c>
    </row>
    <row r="2838" spans="1:5" x14ac:dyDescent="0.2">
      <c r="A2838" s="1">
        <v>41173</v>
      </c>
      <c r="B2838">
        <f>13.98</f>
        <v>13.98</v>
      </c>
      <c r="C2838">
        <f>19.2445</f>
        <v>19.244499999999999</v>
      </c>
      <c r="D2838">
        <f>13.5</f>
        <v>13.5</v>
      </c>
      <c r="E2838">
        <f>18.29</f>
        <v>18.29</v>
      </c>
    </row>
    <row r="2839" spans="1:5" x14ac:dyDescent="0.2">
      <c r="A2839" s="1">
        <v>41172</v>
      </c>
      <c r="B2839">
        <f>14.07</f>
        <v>14.07</v>
      </c>
      <c r="C2839">
        <f>20.1276</f>
        <v>20.127600000000001</v>
      </c>
      <c r="D2839">
        <f>13.88</f>
        <v>13.88</v>
      </c>
      <c r="E2839">
        <f>16.92</f>
        <v>16.920000000000002</v>
      </c>
    </row>
    <row r="2840" spans="1:5" x14ac:dyDescent="0.2">
      <c r="A2840" s="1">
        <v>41171</v>
      </c>
      <c r="B2840">
        <f>13.88</f>
        <v>13.88</v>
      </c>
      <c r="C2840">
        <f>20.2909</f>
        <v>20.290900000000001</v>
      </c>
      <c r="D2840">
        <f>13.51</f>
        <v>13.51</v>
      </c>
      <c r="E2840">
        <f>16.91</f>
        <v>16.91</v>
      </c>
    </row>
    <row r="2841" spans="1:5" x14ac:dyDescent="0.2">
      <c r="A2841" s="1">
        <v>41170</v>
      </c>
      <c r="B2841">
        <f>14.18</f>
        <v>14.18</v>
      </c>
      <c r="C2841">
        <f>21.0614</f>
        <v>21.061399999999999</v>
      </c>
      <c r="D2841">
        <f>14.42</f>
        <v>14.42</v>
      </c>
      <c r="E2841">
        <f>16.91</f>
        <v>16.91</v>
      </c>
    </row>
    <row r="2842" spans="1:5" x14ac:dyDescent="0.2">
      <c r="A2842" s="1">
        <v>41169</v>
      </c>
      <c r="B2842">
        <f>14.59</f>
        <v>14.59</v>
      </c>
      <c r="C2842">
        <f>20.9384</f>
        <v>20.938400000000001</v>
      </c>
      <c r="D2842">
        <f>14.69</f>
        <v>14.69</v>
      </c>
      <c r="E2842">
        <f>17.17</f>
        <v>17.170000000000002</v>
      </c>
    </row>
    <row r="2843" spans="1:5" x14ac:dyDescent="0.2">
      <c r="A2843" s="1">
        <v>41166</v>
      </c>
      <c r="B2843">
        <f>14.51</f>
        <v>14.51</v>
      </c>
      <c r="C2843">
        <f>21.1062</f>
        <v>21.106200000000001</v>
      </c>
      <c r="D2843">
        <f>14</f>
        <v>14</v>
      </c>
      <c r="E2843">
        <f>16.92</f>
        <v>16.920000000000002</v>
      </c>
    </row>
    <row r="2844" spans="1:5" x14ac:dyDescent="0.2">
      <c r="A2844" s="1">
        <v>41165</v>
      </c>
      <c r="B2844">
        <f>14.05</f>
        <v>14.05</v>
      </c>
      <c r="C2844">
        <f>23.5096</f>
        <v>23.509599999999999</v>
      </c>
      <c r="D2844">
        <f>15.32</f>
        <v>15.32</v>
      </c>
      <c r="E2844">
        <f>17.68</f>
        <v>17.68</v>
      </c>
    </row>
    <row r="2845" spans="1:5" x14ac:dyDescent="0.2">
      <c r="A2845" s="1">
        <v>41164</v>
      </c>
      <c r="B2845">
        <f>15.8</f>
        <v>15.8</v>
      </c>
      <c r="C2845">
        <f>23.6536</f>
        <v>23.653600000000001</v>
      </c>
      <c r="D2845">
        <f>16.13</f>
        <v>16.13</v>
      </c>
      <c r="E2845">
        <f>17.68</f>
        <v>17.68</v>
      </c>
    </row>
    <row r="2846" spans="1:5" x14ac:dyDescent="0.2">
      <c r="A2846" s="1">
        <v>41163</v>
      </c>
      <c r="B2846">
        <f>16.41</f>
        <v>16.41</v>
      </c>
      <c r="C2846">
        <f>23.9199</f>
        <v>23.919899999999998</v>
      </c>
      <c r="D2846">
        <f>16.47</f>
        <v>16.47</v>
      </c>
      <c r="E2846">
        <f>17.95</f>
        <v>17.95</v>
      </c>
    </row>
    <row r="2847" spans="1:5" x14ac:dyDescent="0.2">
      <c r="A2847" s="1">
        <v>41162</v>
      </c>
      <c r="B2847">
        <f>16.28</f>
        <v>16.28</v>
      </c>
      <c r="C2847">
        <f>23.4869</f>
        <v>23.486899999999999</v>
      </c>
      <c r="D2847">
        <f>16.01</f>
        <v>16.010000000000002</v>
      </c>
      <c r="E2847">
        <f>17.95</f>
        <v>17.95</v>
      </c>
    </row>
    <row r="2848" spans="1:5" x14ac:dyDescent="0.2">
      <c r="A2848" s="1">
        <v>41159</v>
      </c>
      <c r="B2848">
        <f>14.38</f>
        <v>14.38</v>
      </c>
      <c r="C2848">
        <f>21.8266</f>
        <v>21.826599999999999</v>
      </c>
      <c r="D2848">
        <f>16.23</f>
        <v>16.23</v>
      </c>
      <c r="E2848">
        <f>17.97</f>
        <v>17.97</v>
      </c>
    </row>
    <row r="2849" spans="1:5" x14ac:dyDescent="0.2">
      <c r="A2849" s="1">
        <v>41158</v>
      </c>
      <c r="B2849">
        <f>15.6</f>
        <v>15.6</v>
      </c>
      <c r="C2849">
        <f>23.1125</f>
        <v>23.112500000000001</v>
      </c>
      <c r="D2849">
        <f>17.03</f>
        <v>17.03</v>
      </c>
      <c r="E2849">
        <f>18.72</f>
        <v>18.72</v>
      </c>
    </row>
    <row r="2850" spans="1:5" x14ac:dyDescent="0.2">
      <c r="A2850" s="1">
        <v>41157</v>
      </c>
      <c r="B2850">
        <f>17.74</f>
        <v>17.739999999999998</v>
      </c>
      <c r="C2850">
        <f>27.6615</f>
        <v>27.6615</v>
      </c>
      <c r="D2850">
        <f>19.65</f>
        <v>19.649999999999999</v>
      </c>
      <c r="E2850">
        <f>19.25</f>
        <v>19.25</v>
      </c>
    </row>
    <row r="2851" spans="1:5" x14ac:dyDescent="0.2">
      <c r="A2851" s="1">
        <v>41156</v>
      </c>
      <c r="B2851">
        <f>17.98</f>
        <v>17.98</v>
      </c>
      <c r="C2851">
        <f>27.755</f>
        <v>27.754999999999999</v>
      </c>
      <c r="D2851">
        <f>19.8</f>
        <v>19.8</v>
      </c>
      <c r="E2851">
        <f>19.26</f>
        <v>19.260000000000002</v>
      </c>
    </row>
    <row r="2852" spans="1:5" x14ac:dyDescent="0.2">
      <c r="A2852" s="1">
        <v>41155</v>
      </c>
      <c r="B2852" t="e">
        <f>NA()</f>
        <v>#N/A</v>
      </c>
      <c r="C2852">
        <f>26.652</f>
        <v>26.652000000000001</v>
      </c>
      <c r="D2852">
        <f>18.18</f>
        <v>18.18</v>
      </c>
      <c r="E2852">
        <f>18.73</f>
        <v>18.73</v>
      </c>
    </row>
    <row r="2853" spans="1:5" x14ac:dyDescent="0.2">
      <c r="A2853" s="1">
        <v>41152</v>
      </c>
      <c r="B2853">
        <f>17.47</f>
        <v>17.47</v>
      </c>
      <c r="C2853">
        <f>25.7034</f>
        <v>25.703399999999998</v>
      </c>
      <c r="D2853">
        <f>18.59</f>
        <v>18.59</v>
      </c>
      <c r="E2853">
        <f>18.75</f>
        <v>18.75</v>
      </c>
    </row>
    <row r="2854" spans="1:5" x14ac:dyDescent="0.2">
      <c r="A2854" s="1">
        <v>41151</v>
      </c>
      <c r="B2854">
        <f>17.83</f>
        <v>17.829999999999998</v>
      </c>
      <c r="C2854">
        <f>27.1621</f>
        <v>27.162099999999999</v>
      </c>
      <c r="D2854">
        <f>19.14</f>
        <v>19.14</v>
      </c>
      <c r="E2854">
        <f>18.46</f>
        <v>18.46</v>
      </c>
    </row>
    <row r="2855" spans="1:5" x14ac:dyDescent="0.2">
      <c r="A2855" s="1">
        <v>41150</v>
      </c>
      <c r="B2855">
        <f>17.06</f>
        <v>17.059999999999999</v>
      </c>
      <c r="C2855">
        <f>25.7209</f>
        <v>25.7209</v>
      </c>
      <c r="D2855">
        <f>18.08</f>
        <v>18.079999999999998</v>
      </c>
      <c r="E2855">
        <f>18.19</f>
        <v>18.190000000000001</v>
      </c>
    </row>
    <row r="2856" spans="1:5" x14ac:dyDescent="0.2">
      <c r="A2856" s="1">
        <v>41149</v>
      </c>
      <c r="B2856">
        <f>16.49</f>
        <v>16.489999999999998</v>
      </c>
      <c r="C2856">
        <f>24.868</f>
        <v>24.867999999999999</v>
      </c>
      <c r="D2856">
        <f>17.51</f>
        <v>17.510000000000002</v>
      </c>
      <c r="E2856">
        <f>18.24</f>
        <v>18.239999999999998</v>
      </c>
    </row>
    <row r="2857" spans="1:5" x14ac:dyDescent="0.2">
      <c r="A2857" s="1">
        <v>41148</v>
      </c>
      <c r="B2857">
        <f>16.35</f>
        <v>16.350000000000001</v>
      </c>
      <c r="C2857">
        <f>24.3156</f>
        <v>24.3156</v>
      </c>
      <c r="D2857" t="e">
        <f>NA()</f>
        <v>#N/A</v>
      </c>
      <c r="E2857">
        <f>17.97</f>
        <v>17.97</v>
      </c>
    </row>
    <row r="2858" spans="1:5" x14ac:dyDescent="0.2">
      <c r="A2858" s="1">
        <v>41145</v>
      </c>
      <c r="B2858">
        <f>15.18</f>
        <v>15.18</v>
      </c>
      <c r="C2858">
        <f>24.6392</f>
        <v>24.639199999999999</v>
      </c>
      <c r="D2858">
        <f>16.75</f>
        <v>16.75</v>
      </c>
      <c r="E2858">
        <f>18</f>
        <v>18</v>
      </c>
    </row>
    <row r="2859" spans="1:5" x14ac:dyDescent="0.2">
      <c r="A2859" s="1">
        <v>41144</v>
      </c>
      <c r="B2859">
        <f>15.96</f>
        <v>15.96</v>
      </c>
      <c r="C2859">
        <f>24.3861</f>
        <v>24.386099999999999</v>
      </c>
      <c r="D2859">
        <f>16.69</f>
        <v>16.690000000000001</v>
      </c>
      <c r="E2859">
        <f>17.19</f>
        <v>17.190000000000001</v>
      </c>
    </row>
    <row r="2860" spans="1:5" x14ac:dyDescent="0.2">
      <c r="A2860" s="1">
        <v>41143</v>
      </c>
      <c r="B2860">
        <f>15.11</f>
        <v>15.11</v>
      </c>
      <c r="C2860">
        <f>25.1159</f>
        <v>25.1159</v>
      </c>
      <c r="D2860">
        <f>17.61</f>
        <v>17.61</v>
      </c>
      <c r="E2860">
        <f>17.45</f>
        <v>17.45</v>
      </c>
    </row>
    <row r="2861" spans="1:5" x14ac:dyDescent="0.2">
      <c r="A2861" s="1">
        <v>41142</v>
      </c>
      <c r="B2861">
        <f>15.02</f>
        <v>15.02</v>
      </c>
      <c r="C2861">
        <f>22.1925</f>
        <v>22.192499999999999</v>
      </c>
      <c r="D2861">
        <f>15.43</f>
        <v>15.43</v>
      </c>
      <c r="E2861">
        <f>17.16</f>
        <v>17.16</v>
      </c>
    </row>
    <row r="2862" spans="1:5" x14ac:dyDescent="0.2">
      <c r="A2862" s="1">
        <v>41141</v>
      </c>
      <c r="B2862">
        <f>14.02</f>
        <v>14.02</v>
      </c>
      <c r="C2862">
        <f>22.1476</f>
        <v>22.147600000000001</v>
      </c>
      <c r="D2862">
        <f>15.09</f>
        <v>15.09</v>
      </c>
      <c r="E2862">
        <f>17.45</f>
        <v>17.45</v>
      </c>
    </row>
    <row r="2863" spans="1:5" x14ac:dyDescent="0.2">
      <c r="A2863" s="1">
        <v>41138</v>
      </c>
      <c r="B2863">
        <f>13.45</f>
        <v>13.45</v>
      </c>
      <c r="C2863">
        <f>21.4456</f>
        <v>21.445599999999999</v>
      </c>
      <c r="D2863">
        <f>15.02</f>
        <v>15.02</v>
      </c>
      <c r="E2863">
        <f>17.46</f>
        <v>17.46</v>
      </c>
    </row>
    <row r="2864" spans="1:5" x14ac:dyDescent="0.2">
      <c r="A2864" s="1">
        <v>41137</v>
      </c>
      <c r="B2864">
        <f>14.29</f>
        <v>14.29</v>
      </c>
      <c r="C2864">
        <f>23.1306</f>
        <v>23.130600000000001</v>
      </c>
      <c r="D2864">
        <f>15.83</f>
        <v>15.83</v>
      </c>
      <c r="E2864">
        <f>17.07</f>
        <v>17.07</v>
      </c>
    </row>
    <row r="2865" spans="1:5" x14ac:dyDescent="0.2">
      <c r="A2865" s="1">
        <v>41136</v>
      </c>
      <c r="B2865">
        <f>14.63</f>
        <v>14.63</v>
      </c>
      <c r="C2865">
        <f>23.5481</f>
        <v>23.548100000000002</v>
      </c>
      <c r="D2865">
        <f>14.85</f>
        <v>14.85</v>
      </c>
      <c r="E2865">
        <f>17.13</f>
        <v>17.13</v>
      </c>
    </row>
    <row r="2866" spans="1:5" x14ac:dyDescent="0.2">
      <c r="A2866" s="1">
        <v>41135</v>
      </c>
      <c r="B2866">
        <f>14.85</f>
        <v>14.85</v>
      </c>
      <c r="C2866">
        <f>23.2459</f>
        <v>23.245899999999999</v>
      </c>
      <c r="D2866">
        <f>14.09</f>
        <v>14.09</v>
      </c>
      <c r="E2866">
        <f>17.09</f>
        <v>17.09</v>
      </c>
    </row>
    <row r="2867" spans="1:5" x14ac:dyDescent="0.2">
      <c r="A2867" s="1">
        <v>41134</v>
      </c>
      <c r="B2867">
        <f>13.7</f>
        <v>13.7</v>
      </c>
      <c r="C2867">
        <f>23.4531</f>
        <v>23.453099999999999</v>
      </c>
      <c r="D2867">
        <f>14.17</f>
        <v>14.17</v>
      </c>
      <c r="E2867">
        <f>17.39</f>
        <v>17.39</v>
      </c>
    </row>
    <row r="2868" spans="1:5" x14ac:dyDescent="0.2">
      <c r="A2868" s="1">
        <v>41131</v>
      </c>
      <c r="B2868">
        <f>14.74</f>
        <v>14.74</v>
      </c>
      <c r="C2868">
        <f>22.7486</f>
        <v>22.7486</v>
      </c>
      <c r="D2868">
        <f>13.95</f>
        <v>13.95</v>
      </c>
      <c r="E2868">
        <f>17.4</f>
        <v>17.399999999999999</v>
      </c>
    </row>
    <row r="2869" spans="1:5" x14ac:dyDescent="0.2">
      <c r="A2869" s="1">
        <v>41130</v>
      </c>
      <c r="B2869">
        <f>15.28</f>
        <v>15.28</v>
      </c>
      <c r="C2869">
        <f>23.3366</f>
        <v>23.336600000000001</v>
      </c>
      <c r="D2869">
        <f>14.22</f>
        <v>14.22</v>
      </c>
      <c r="E2869" t="e">
        <f>NA()</f>
        <v>#N/A</v>
      </c>
    </row>
    <row r="2870" spans="1:5" x14ac:dyDescent="0.2">
      <c r="A2870" s="1">
        <v>41129</v>
      </c>
      <c r="B2870">
        <f>15.32</f>
        <v>15.32</v>
      </c>
      <c r="C2870">
        <f>23.678</f>
        <v>23.678000000000001</v>
      </c>
      <c r="D2870">
        <f>15.61</f>
        <v>15.61</v>
      </c>
      <c r="E2870">
        <f>17.42</f>
        <v>17.420000000000002</v>
      </c>
    </row>
    <row r="2871" spans="1:5" x14ac:dyDescent="0.2">
      <c r="A2871" s="1">
        <v>41128</v>
      </c>
      <c r="B2871">
        <f>15.99</f>
        <v>15.99</v>
      </c>
      <c r="C2871">
        <f>23.869</f>
        <v>23.869</v>
      </c>
      <c r="D2871">
        <f>16.05</f>
        <v>16.05</v>
      </c>
      <c r="E2871">
        <f>17.41</f>
        <v>17.41</v>
      </c>
    </row>
    <row r="2872" spans="1:5" x14ac:dyDescent="0.2">
      <c r="A2872" s="1">
        <v>41127</v>
      </c>
      <c r="B2872">
        <f>15.95</f>
        <v>15.95</v>
      </c>
      <c r="C2872">
        <f>24.2352</f>
        <v>24.235199999999999</v>
      </c>
      <c r="D2872">
        <f>16.21</f>
        <v>16.21</v>
      </c>
      <c r="E2872">
        <f>17.66</f>
        <v>17.66</v>
      </c>
    </row>
    <row r="2873" spans="1:5" x14ac:dyDescent="0.2">
      <c r="A2873" s="1">
        <v>41124</v>
      </c>
      <c r="B2873">
        <f>15.64</f>
        <v>15.64</v>
      </c>
      <c r="C2873">
        <f>23.803</f>
        <v>23.803000000000001</v>
      </c>
      <c r="D2873">
        <f>16.43</f>
        <v>16.43</v>
      </c>
      <c r="E2873">
        <f>17.94</f>
        <v>17.940000000000001</v>
      </c>
    </row>
    <row r="2874" spans="1:5" x14ac:dyDescent="0.2">
      <c r="A2874" s="1">
        <v>41123</v>
      </c>
      <c r="B2874">
        <f>17.57</f>
        <v>17.57</v>
      </c>
      <c r="C2874">
        <f>26.4001</f>
        <v>26.400099999999998</v>
      </c>
      <c r="D2874">
        <f>17.84</f>
        <v>17.84</v>
      </c>
      <c r="E2874">
        <f>18.46</f>
        <v>18.46</v>
      </c>
    </row>
    <row r="2875" spans="1:5" x14ac:dyDescent="0.2">
      <c r="A2875" s="1">
        <v>41122</v>
      </c>
      <c r="B2875">
        <f>18.96</f>
        <v>18.96</v>
      </c>
      <c r="C2875">
        <f>28.1002</f>
        <v>28.100200000000001</v>
      </c>
      <c r="D2875">
        <f>18.62</f>
        <v>18.62</v>
      </c>
      <c r="E2875">
        <f>18.42</f>
        <v>18.420000000000002</v>
      </c>
    </row>
    <row r="2876" spans="1:5" x14ac:dyDescent="0.2">
      <c r="A2876" s="1">
        <v>41121</v>
      </c>
      <c r="B2876">
        <f>18.93</f>
        <v>18.93</v>
      </c>
      <c r="C2876">
        <f>28.0088</f>
        <v>28.008800000000001</v>
      </c>
      <c r="D2876">
        <f>18.55</f>
        <v>18.55</v>
      </c>
      <c r="E2876">
        <f>19.01</f>
        <v>19.010000000000002</v>
      </c>
    </row>
    <row r="2877" spans="1:5" x14ac:dyDescent="0.2">
      <c r="A2877" s="1">
        <v>41120</v>
      </c>
      <c r="B2877">
        <f>18.03</f>
        <v>18.03</v>
      </c>
      <c r="C2877">
        <f>26.4643</f>
        <v>26.464300000000001</v>
      </c>
      <c r="D2877">
        <f>17.66</f>
        <v>17.66</v>
      </c>
      <c r="E2877">
        <f>18.32</f>
        <v>18.32</v>
      </c>
    </row>
    <row r="2878" spans="1:5" x14ac:dyDescent="0.2">
      <c r="A2878" s="1">
        <v>41117</v>
      </c>
      <c r="B2878">
        <f>16.7</f>
        <v>16.7</v>
      </c>
      <c r="C2878">
        <f>25.3165</f>
        <v>25.316500000000001</v>
      </c>
      <c r="D2878">
        <f>17.56</f>
        <v>17.559999999999999</v>
      </c>
      <c r="E2878">
        <f>18.59</f>
        <v>18.59</v>
      </c>
    </row>
    <row r="2879" spans="1:5" x14ac:dyDescent="0.2">
      <c r="A2879" s="1">
        <v>41116</v>
      </c>
      <c r="B2879">
        <f>17.53</f>
        <v>17.53</v>
      </c>
      <c r="C2879">
        <f>25.635</f>
        <v>25.635000000000002</v>
      </c>
      <c r="D2879">
        <f>18.43</f>
        <v>18.43</v>
      </c>
      <c r="E2879">
        <f>19.19</f>
        <v>19.190000000000001</v>
      </c>
    </row>
    <row r="2880" spans="1:5" x14ac:dyDescent="0.2">
      <c r="A2880" s="1">
        <v>41115</v>
      </c>
      <c r="B2880">
        <f>19.34</f>
        <v>19.34</v>
      </c>
      <c r="C2880">
        <f>27.1793</f>
        <v>27.179300000000001</v>
      </c>
      <c r="D2880">
        <f>20.23</f>
        <v>20.23</v>
      </c>
      <c r="E2880">
        <f>19.5</f>
        <v>19.5</v>
      </c>
    </row>
    <row r="2881" spans="1:5" x14ac:dyDescent="0.2">
      <c r="A2881" s="1">
        <v>41114</v>
      </c>
      <c r="B2881">
        <f>20.47</f>
        <v>20.47</v>
      </c>
      <c r="C2881">
        <f>28.4455</f>
        <v>28.445499999999999</v>
      </c>
      <c r="D2881">
        <f>21.16</f>
        <v>21.16</v>
      </c>
      <c r="E2881">
        <f>19.25</f>
        <v>19.25</v>
      </c>
    </row>
    <row r="2882" spans="1:5" x14ac:dyDescent="0.2">
      <c r="A2882" s="1">
        <v>41113</v>
      </c>
      <c r="B2882">
        <f>18.62</f>
        <v>18.62</v>
      </c>
      <c r="C2882">
        <f>28.0807</f>
        <v>28.0807</v>
      </c>
      <c r="D2882">
        <f>21.42</f>
        <v>21.42</v>
      </c>
      <c r="E2882">
        <f>19.5</f>
        <v>19.5</v>
      </c>
    </row>
    <row r="2883" spans="1:5" x14ac:dyDescent="0.2">
      <c r="A2883" s="1">
        <v>41110</v>
      </c>
      <c r="B2883">
        <f>16.27</f>
        <v>16.27</v>
      </c>
      <c r="C2883">
        <f>24.2212</f>
        <v>24.2212</v>
      </c>
      <c r="D2883">
        <f>17.88</f>
        <v>17.88</v>
      </c>
      <c r="E2883">
        <f>18.99</f>
        <v>18.989999999999998</v>
      </c>
    </row>
    <row r="2884" spans="1:5" x14ac:dyDescent="0.2">
      <c r="A2884" s="1">
        <v>41109</v>
      </c>
      <c r="B2884">
        <f>15.45</f>
        <v>15.45</v>
      </c>
      <c r="C2884">
        <f>20.8276</f>
        <v>20.8276</v>
      </c>
      <c r="D2884">
        <f>15.84</f>
        <v>15.84</v>
      </c>
      <c r="E2884">
        <f>19.65</f>
        <v>19.649999999999999</v>
      </c>
    </row>
    <row r="2885" spans="1:5" x14ac:dyDescent="0.2">
      <c r="A2885" s="1">
        <v>41108</v>
      </c>
      <c r="B2885">
        <f>16.16</f>
        <v>16.16</v>
      </c>
      <c r="C2885">
        <f>20.3562</f>
        <v>20.356200000000001</v>
      </c>
      <c r="D2885">
        <f>15.43</f>
        <v>15.43</v>
      </c>
      <c r="E2885">
        <f>20.44</f>
        <v>20.440000000000001</v>
      </c>
    </row>
    <row r="2886" spans="1:5" x14ac:dyDescent="0.2">
      <c r="A2886" s="1">
        <v>41107</v>
      </c>
      <c r="B2886">
        <f>16.48</f>
        <v>16.48</v>
      </c>
      <c r="C2886">
        <f>21.7236</f>
        <v>21.723600000000001</v>
      </c>
      <c r="D2886">
        <f>16.41</f>
        <v>16.41</v>
      </c>
      <c r="E2886">
        <f>20.97</f>
        <v>20.97</v>
      </c>
    </row>
    <row r="2887" spans="1:5" x14ac:dyDescent="0.2">
      <c r="A2887" s="1">
        <v>41106</v>
      </c>
      <c r="B2887">
        <f>17.11</f>
        <v>17.11</v>
      </c>
      <c r="C2887">
        <f>22.1692</f>
        <v>22.1692</v>
      </c>
      <c r="D2887">
        <f>16.31</f>
        <v>16.309999999999999</v>
      </c>
      <c r="E2887">
        <f>21.11</f>
        <v>21.11</v>
      </c>
    </row>
    <row r="2888" spans="1:5" x14ac:dyDescent="0.2">
      <c r="A2888" s="1">
        <v>41103</v>
      </c>
      <c r="B2888">
        <f>16.74</f>
        <v>16.739999999999998</v>
      </c>
      <c r="C2888">
        <f>22.6093</f>
        <v>22.609300000000001</v>
      </c>
      <c r="D2888">
        <f>15.78</f>
        <v>15.78</v>
      </c>
      <c r="E2888">
        <f>21.02</f>
        <v>21.02</v>
      </c>
    </row>
    <row r="2889" spans="1:5" x14ac:dyDescent="0.2">
      <c r="A2889" s="1">
        <v>41102</v>
      </c>
      <c r="B2889">
        <f>18.33</f>
        <v>18.329999999999998</v>
      </c>
      <c r="C2889">
        <f>24.0824</f>
        <v>24.0824</v>
      </c>
      <c r="D2889">
        <f>16.51</f>
        <v>16.510000000000002</v>
      </c>
      <c r="E2889">
        <f>21.51</f>
        <v>21.51</v>
      </c>
    </row>
    <row r="2890" spans="1:5" x14ac:dyDescent="0.2">
      <c r="A2890" s="1">
        <v>41101</v>
      </c>
      <c r="B2890">
        <f>17.95</f>
        <v>17.95</v>
      </c>
      <c r="C2890">
        <f>24.1292</f>
        <v>24.129200000000001</v>
      </c>
      <c r="D2890">
        <f>16.95</f>
        <v>16.95</v>
      </c>
      <c r="E2890">
        <f>20.96</f>
        <v>20.96</v>
      </c>
    </row>
    <row r="2891" spans="1:5" x14ac:dyDescent="0.2">
      <c r="A2891" s="1">
        <v>41100</v>
      </c>
      <c r="B2891">
        <f>18.72</f>
        <v>18.72</v>
      </c>
      <c r="C2891">
        <f>24.6397</f>
        <v>24.639700000000001</v>
      </c>
      <c r="D2891">
        <f>17.11</f>
        <v>17.11</v>
      </c>
      <c r="E2891">
        <f>20.73</f>
        <v>20.73</v>
      </c>
    </row>
    <row r="2892" spans="1:5" x14ac:dyDescent="0.2">
      <c r="A2892" s="1">
        <v>41099</v>
      </c>
      <c r="B2892">
        <f>17.98</f>
        <v>17.98</v>
      </c>
      <c r="C2892">
        <f>25.5973</f>
        <v>25.597300000000001</v>
      </c>
      <c r="D2892">
        <f>18.24</f>
        <v>18.239999999999998</v>
      </c>
      <c r="E2892">
        <f>20.72</f>
        <v>20.72</v>
      </c>
    </row>
    <row r="2893" spans="1:5" x14ac:dyDescent="0.2">
      <c r="A2893" s="1">
        <v>41096</v>
      </c>
      <c r="B2893">
        <f>17.1</f>
        <v>17.100000000000001</v>
      </c>
      <c r="C2893">
        <f>25.5759</f>
        <v>25.575900000000001</v>
      </c>
      <c r="D2893">
        <f>17.38</f>
        <v>17.38</v>
      </c>
      <c r="E2893">
        <f>20.36</f>
        <v>20.36</v>
      </c>
    </row>
    <row r="2894" spans="1:5" x14ac:dyDescent="0.2">
      <c r="A2894" s="1">
        <v>41095</v>
      </c>
      <c r="B2894">
        <f>17.5</f>
        <v>17.5</v>
      </c>
      <c r="C2894">
        <f>24.4531</f>
        <v>24.453099999999999</v>
      </c>
      <c r="D2894">
        <f>17.46</f>
        <v>17.46</v>
      </c>
      <c r="E2894">
        <f>20.18</f>
        <v>20.18</v>
      </c>
    </row>
    <row r="2895" spans="1:5" x14ac:dyDescent="0.2">
      <c r="A2895" s="1">
        <v>41094</v>
      </c>
      <c r="B2895" t="e">
        <f>NA()</f>
        <v>#N/A</v>
      </c>
      <c r="C2895">
        <f>24.4457</f>
        <v>24.445699999999999</v>
      </c>
      <c r="D2895">
        <f>17.39</f>
        <v>17.39</v>
      </c>
      <c r="E2895">
        <f>20.99</f>
        <v>20.99</v>
      </c>
    </row>
    <row r="2896" spans="1:5" x14ac:dyDescent="0.2">
      <c r="A2896" s="1">
        <v>41093</v>
      </c>
      <c r="B2896">
        <f>16.66</f>
        <v>16.66</v>
      </c>
      <c r="C2896">
        <f>23.685</f>
        <v>23.684999999999999</v>
      </c>
      <c r="D2896">
        <f>16.97</f>
        <v>16.97</v>
      </c>
      <c r="E2896">
        <f>20.99</f>
        <v>20.99</v>
      </c>
    </row>
    <row r="2897" spans="1:5" x14ac:dyDescent="0.2">
      <c r="A2897" s="1">
        <v>41092</v>
      </c>
      <c r="B2897">
        <f>16.8</f>
        <v>16.8</v>
      </c>
      <c r="C2897">
        <f>24.992</f>
        <v>24.992000000000001</v>
      </c>
      <c r="D2897">
        <f>17.97</f>
        <v>17.97</v>
      </c>
      <c r="E2897">
        <f>22.14</f>
        <v>22.14</v>
      </c>
    </row>
    <row r="2898" spans="1:5" x14ac:dyDescent="0.2">
      <c r="A2898" s="1">
        <v>41089</v>
      </c>
      <c r="B2898">
        <f>17.08</f>
        <v>17.079999999999998</v>
      </c>
      <c r="C2898">
        <f>24.9463</f>
        <v>24.946300000000001</v>
      </c>
      <c r="D2898">
        <f>19.11</f>
        <v>19.11</v>
      </c>
      <c r="E2898">
        <f>21.96</f>
        <v>21.96</v>
      </c>
    </row>
    <row r="2899" spans="1:5" x14ac:dyDescent="0.2">
      <c r="A2899" s="1">
        <v>41088</v>
      </c>
      <c r="B2899">
        <f>19.71</f>
        <v>19.71</v>
      </c>
      <c r="C2899">
        <f>28.0598</f>
        <v>28.059799999999999</v>
      </c>
      <c r="D2899">
        <f>21.06</f>
        <v>21.06</v>
      </c>
      <c r="E2899">
        <f>22.73</f>
        <v>22.73</v>
      </c>
    </row>
    <row r="2900" spans="1:5" x14ac:dyDescent="0.2">
      <c r="A2900" s="1">
        <v>41087</v>
      </c>
      <c r="B2900">
        <f>19.45</f>
        <v>19.45</v>
      </c>
      <c r="C2900">
        <f>27.5359</f>
        <v>27.535900000000002</v>
      </c>
      <c r="D2900">
        <f>20.25</f>
        <v>20.25</v>
      </c>
      <c r="E2900">
        <f>22.49</f>
        <v>22.49</v>
      </c>
    </row>
    <row r="2901" spans="1:5" x14ac:dyDescent="0.2">
      <c r="A2901" s="1">
        <v>41086</v>
      </c>
      <c r="B2901">
        <f>19.72</f>
        <v>19.72</v>
      </c>
      <c r="C2901">
        <f>28.0456</f>
        <v>28.0456</v>
      </c>
      <c r="D2901">
        <f>21.38</f>
        <v>21.38</v>
      </c>
      <c r="E2901">
        <f>22.23</f>
        <v>22.23</v>
      </c>
    </row>
    <row r="2902" spans="1:5" x14ac:dyDescent="0.2">
      <c r="A2902" s="1">
        <v>41085</v>
      </c>
      <c r="B2902">
        <f>20.38</f>
        <v>20.38</v>
      </c>
      <c r="C2902">
        <f>27.6497</f>
        <v>27.649699999999999</v>
      </c>
      <c r="D2902">
        <f>21.58</f>
        <v>21.58</v>
      </c>
      <c r="E2902">
        <f>23.23</f>
        <v>23.23</v>
      </c>
    </row>
    <row r="2903" spans="1:5" x14ac:dyDescent="0.2">
      <c r="A2903" s="1">
        <v>41082</v>
      </c>
      <c r="B2903">
        <f>18.11</f>
        <v>18.11</v>
      </c>
      <c r="C2903">
        <f>25.1664</f>
        <v>25.166399999999999</v>
      </c>
      <c r="D2903">
        <f>19.56</f>
        <v>19.559999999999999</v>
      </c>
      <c r="E2903">
        <f>23.02</f>
        <v>23.02</v>
      </c>
    </row>
    <row r="2904" spans="1:5" x14ac:dyDescent="0.2">
      <c r="A2904" s="1">
        <v>41081</v>
      </c>
      <c r="B2904">
        <f>20.08</f>
        <v>20.079999999999998</v>
      </c>
      <c r="C2904">
        <f>25.4639</f>
        <v>25.463899999999999</v>
      </c>
      <c r="D2904">
        <f>19.1</f>
        <v>19.100000000000001</v>
      </c>
      <c r="E2904">
        <f>20.61</f>
        <v>20.61</v>
      </c>
    </row>
    <row r="2905" spans="1:5" x14ac:dyDescent="0.2">
      <c r="A2905" s="1">
        <v>41080</v>
      </c>
      <c r="B2905">
        <f>17.24</f>
        <v>17.239999999999998</v>
      </c>
      <c r="C2905">
        <f>26.9415</f>
        <v>26.941500000000001</v>
      </c>
      <c r="D2905">
        <f>20.06</f>
        <v>20.059999999999999</v>
      </c>
      <c r="E2905">
        <f>21.38</f>
        <v>21.38</v>
      </c>
    </row>
    <row r="2906" spans="1:5" x14ac:dyDescent="0.2">
      <c r="A2906" s="1">
        <v>41079</v>
      </c>
      <c r="B2906">
        <f>18.38</f>
        <v>18.38</v>
      </c>
      <c r="C2906">
        <f>27.6446</f>
        <v>27.644600000000001</v>
      </c>
      <c r="D2906">
        <f>20.92</f>
        <v>20.92</v>
      </c>
      <c r="E2906">
        <f>21.64</f>
        <v>21.64</v>
      </c>
    </row>
    <row r="2907" spans="1:5" x14ac:dyDescent="0.2">
      <c r="A2907" s="1">
        <v>41078</v>
      </c>
      <c r="B2907">
        <f>18.32</f>
        <v>18.32</v>
      </c>
      <c r="C2907">
        <f>29.4574</f>
        <v>29.4574</v>
      </c>
      <c r="D2907">
        <f>23.45</f>
        <v>23.45</v>
      </c>
      <c r="E2907">
        <f>21.9</f>
        <v>21.9</v>
      </c>
    </row>
    <row r="2908" spans="1:5" x14ac:dyDescent="0.2">
      <c r="A2908" s="1">
        <v>41075</v>
      </c>
      <c r="B2908">
        <f>21.11</f>
        <v>21.11</v>
      </c>
      <c r="C2908">
        <f>33.7295</f>
        <v>33.729500000000002</v>
      </c>
      <c r="D2908">
        <f>26.8</f>
        <v>26.8</v>
      </c>
      <c r="E2908">
        <f>22.67</f>
        <v>22.67</v>
      </c>
    </row>
    <row r="2909" spans="1:5" x14ac:dyDescent="0.2">
      <c r="A2909" s="1">
        <v>41074</v>
      </c>
      <c r="B2909">
        <f>21.68</f>
        <v>21.68</v>
      </c>
      <c r="C2909">
        <f>33.0104</f>
        <v>33.010399999999997</v>
      </c>
      <c r="D2909">
        <f>26.04</f>
        <v>26.04</v>
      </c>
      <c r="E2909">
        <f>22.92</f>
        <v>22.92</v>
      </c>
    </row>
    <row r="2910" spans="1:5" x14ac:dyDescent="0.2">
      <c r="A2910" s="1">
        <v>41073</v>
      </c>
      <c r="B2910">
        <f>24.27</f>
        <v>24.27</v>
      </c>
      <c r="C2910">
        <f>33.8572</f>
        <v>33.857199999999999</v>
      </c>
      <c r="D2910">
        <f>25.42</f>
        <v>25.42</v>
      </c>
      <c r="E2910">
        <f>22.67</f>
        <v>22.67</v>
      </c>
    </row>
    <row r="2911" spans="1:5" x14ac:dyDescent="0.2">
      <c r="A2911" s="1">
        <v>41072</v>
      </c>
      <c r="B2911">
        <f>22.09</f>
        <v>22.09</v>
      </c>
      <c r="C2911">
        <f>32.3906</f>
        <v>32.390599999999999</v>
      </c>
      <c r="D2911">
        <f>24.34</f>
        <v>24.34</v>
      </c>
      <c r="E2911">
        <f>22.67</f>
        <v>22.67</v>
      </c>
    </row>
    <row r="2912" spans="1:5" x14ac:dyDescent="0.2">
      <c r="A2912" s="1">
        <v>41071</v>
      </c>
      <c r="B2912">
        <f>23.56</f>
        <v>23.56</v>
      </c>
      <c r="C2912">
        <f>31.9884</f>
        <v>31.988399999999999</v>
      </c>
      <c r="D2912">
        <f>23.98</f>
        <v>23.98</v>
      </c>
      <c r="E2912">
        <f>23.43</f>
        <v>23.43</v>
      </c>
    </row>
    <row r="2913" spans="1:5" x14ac:dyDescent="0.2">
      <c r="A2913" s="1">
        <v>41068</v>
      </c>
      <c r="B2913">
        <f>21.23</f>
        <v>21.23</v>
      </c>
      <c r="C2913">
        <f>30.3723</f>
        <v>30.372299999999999</v>
      </c>
      <c r="D2913">
        <f>23.33</f>
        <v>23.33</v>
      </c>
      <c r="E2913">
        <f>23.2</f>
        <v>23.2</v>
      </c>
    </row>
    <row r="2914" spans="1:5" x14ac:dyDescent="0.2">
      <c r="A2914" s="1">
        <v>41067</v>
      </c>
      <c r="B2914">
        <f>21.72</f>
        <v>21.72</v>
      </c>
      <c r="C2914">
        <f>31.4338</f>
        <v>31.433800000000002</v>
      </c>
      <c r="D2914">
        <f>23.44</f>
        <v>23.44</v>
      </c>
      <c r="E2914">
        <f>22.93</f>
        <v>22.93</v>
      </c>
    </row>
    <row r="2915" spans="1:5" x14ac:dyDescent="0.2">
      <c r="A2915" s="1">
        <v>41066</v>
      </c>
      <c r="B2915">
        <f>22.16</f>
        <v>22.16</v>
      </c>
      <c r="C2915">
        <f>31.5809</f>
        <v>31.5809</v>
      </c>
      <c r="D2915">
        <f>24.93</f>
        <v>24.93</v>
      </c>
      <c r="E2915">
        <f>23.96</f>
        <v>23.96</v>
      </c>
    </row>
    <row r="2916" spans="1:5" x14ac:dyDescent="0.2">
      <c r="A2916" s="1">
        <v>41065</v>
      </c>
      <c r="B2916">
        <f>24.68</f>
        <v>24.68</v>
      </c>
      <c r="C2916">
        <f>34.5733</f>
        <v>34.573300000000003</v>
      </c>
      <c r="D2916" t="e">
        <f>NA()</f>
        <v>#N/A</v>
      </c>
      <c r="E2916">
        <f>20.73</f>
        <v>20.73</v>
      </c>
    </row>
    <row r="2917" spans="1:5" x14ac:dyDescent="0.2">
      <c r="A2917" s="1">
        <v>41064</v>
      </c>
      <c r="B2917">
        <f>26.12</f>
        <v>26.12</v>
      </c>
      <c r="C2917">
        <f>36.4531</f>
        <v>36.453099999999999</v>
      </c>
      <c r="D2917" t="e">
        <f>NA()</f>
        <v>#N/A</v>
      </c>
      <c r="E2917">
        <f>24.74</f>
        <v>24.74</v>
      </c>
    </row>
    <row r="2918" spans="1:5" x14ac:dyDescent="0.2">
      <c r="A2918" s="1">
        <v>41061</v>
      </c>
      <c r="B2918">
        <f>26.66</f>
        <v>26.66</v>
      </c>
      <c r="C2918">
        <f>36.3842</f>
        <v>36.3842</v>
      </c>
      <c r="D2918">
        <f>27.36</f>
        <v>27.36</v>
      </c>
      <c r="E2918">
        <f>24.76</f>
        <v>24.76</v>
      </c>
    </row>
    <row r="2919" spans="1:5" x14ac:dyDescent="0.2">
      <c r="A2919" s="1">
        <v>41060</v>
      </c>
      <c r="B2919">
        <f>24.06</f>
        <v>24.06</v>
      </c>
      <c r="C2919">
        <f>34.9478</f>
        <v>34.947800000000001</v>
      </c>
      <c r="D2919">
        <f>26.96</f>
        <v>26.96</v>
      </c>
      <c r="E2919">
        <f>24.76</f>
        <v>24.76</v>
      </c>
    </row>
    <row r="2920" spans="1:5" x14ac:dyDescent="0.2">
      <c r="A2920" s="1">
        <v>41059</v>
      </c>
      <c r="B2920">
        <f>24.14</f>
        <v>24.14</v>
      </c>
      <c r="C2920">
        <f>34.5137</f>
        <v>34.5137</v>
      </c>
      <c r="D2920">
        <f>26.27</f>
        <v>26.27</v>
      </c>
      <c r="E2920">
        <f>24.77</f>
        <v>24.77</v>
      </c>
    </row>
    <row r="2921" spans="1:5" x14ac:dyDescent="0.2">
      <c r="A2921" s="1">
        <v>41058</v>
      </c>
      <c r="B2921">
        <f>21.03</f>
        <v>21.03</v>
      </c>
      <c r="C2921">
        <f>31.4097</f>
        <v>31.409700000000001</v>
      </c>
      <c r="D2921">
        <f>23.96</f>
        <v>23.96</v>
      </c>
      <c r="E2921">
        <f>23.51</f>
        <v>23.51</v>
      </c>
    </row>
    <row r="2922" spans="1:5" x14ac:dyDescent="0.2">
      <c r="A2922" s="1">
        <v>41057</v>
      </c>
      <c r="B2922" t="e">
        <f>NA()</f>
        <v>#N/A</v>
      </c>
      <c r="C2922">
        <f>31.7697</f>
        <v>31.7697</v>
      </c>
      <c r="D2922">
        <f>24.35</f>
        <v>24.35</v>
      </c>
      <c r="E2922">
        <f>22.5</f>
        <v>22.5</v>
      </c>
    </row>
    <row r="2923" spans="1:5" x14ac:dyDescent="0.2">
      <c r="A2923" s="1">
        <v>41054</v>
      </c>
      <c r="B2923">
        <f>21.76</f>
        <v>21.76</v>
      </c>
      <c r="C2923">
        <f>30.225</f>
        <v>30.225000000000001</v>
      </c>
      <c r="D2923">
        <f>23.8</f>
        <v>23.8</v>
      </c>
      <c r="E2923">
        <f>22.74</f>
        <v>22.74</v>
      </c>
    </row>
    <row r="2924" spans="1:5" x14ac:dyDescent="0.2">
      <c r="A2924" s="1">
        <v>41053</v>
      </c>
      <c r="B2924">
        <f>21.54</f>
        <v>21.54</v>
      </c>
      <c r="C2924">
        <f>31.4557</f>
        <v>31.4557</v>
      </c>
      <c r="D2924">
        <f>24.43</f>
        <v>24.43</v>
      </c>
      <c r="E2924">
        <f>22.75</f>
        <v>22.75</v>
      </c>
    </row>
    <row r="2925" spans="1:5" x14ac:dyDescent="0.2">
      <c r="A2925" s="1">
        <v>41052</v>
      </c>
      <c r="B2925">
        <f>22.33</f>
        <v>22.33</v>
      </c>
      <c r="C2925">
        <f>32.8618</f>
        <v>32.861800000000002</v>
      </c>
      <c r="D2925">
        <f>26.22</f>
        <v>26.22</v>
      </c>
      <c r="E2925">
        <f>23</f>
        <v>23</v>
      </c>
    </row>
    <row r="2926" spans="1:5" x14ac:dyDescent="0.2">
      <c r="A2926" s="1">
        <v>41051</v>
      </c>
      <c r="B2926">
        <f>22.48</f>
        <v>22.48</v>
      </c>
      <c r="C2926">
        <f>30.0057</f>
        <v>30.005700000000001</v>
      </c>
      <c r="D2926">
        <f>22.62</f>
        <v>22.62</v>
      </c>
      <c r="E2926">
        <f>20.59</f>
        <v>20.59</v>
      </c>
    </row>
    <row r="2927" spans="1:5" x14ac:dyDescent="0.2">
      <c r="A2927" s="1">
        <v>41050</v>
      </c>
      <c r="B2927">
        <f>22.01</f>
        <v>22.01</v>
      </c>
      <c r="C2927">
        <f>31.0253</f>
        <v>31.025300000000001</v>
      </c>
      <c r="D2927">
        <f>25.14</f>
        <v>25.14</v>
      </c>
      <c r="E2927">
        <f>22.1</f>
        <v>22.1</v>
      </c>
    </row>
    <row r="2928" spans="1:5" x14ac:dyDescent="0.2">
      <c r="A2928" s="1">
        <v>41047</v>
      </c>
      <c r="B2928">
        <f>25.1</f>
        <v>25.1</v>
      </c>
      <c r="C2928">
        <f>33.1087</f>
        <v>33.108699999999999</v>
      </c>
      <c r="D2928">
        <f>26.59</f>
        <v>26.59</v>
      </c>
      <c r="E2928">
        <f>22.08</f>
        <v>22.08</v>
      </c>
    </row>
    <row r="2929" spans="1:5" x14ac:dyDescent="0.2">
      <c r="A2929" s="1">
        <v>41046</v>
      </c>
      <c r="B2929">
        <f>24.49</f>
        <v>24.49</v>
      </c>
      <c r="C2929">
        <f>34.4776</f>
        <v>34.477600000000002</v>
      </c>
      <c r="D2929">
        <f>26.58</f>
        <v>26.58</v>
      </c>
      <c r="E2929">
        <f>21.53</f>
        <v>21.53</v>
      </c>
    </row>
    <row r="2930" spans="1:5" x14ac:dyDescent="0.2">
      <c r="A2930" s="1">
        <v>41045</v>
      </c>
      <c r="B2930">
        <f>22.27</f>
        <v>22.27</v>
      </c>
      <c r="C2930">
        <f>33.1165</f>
        <v>33.116500000000002</v>
      </c>
      <c r="D2930">
        <f>25.26</f>
        <v>25.26</v>
      </c>
      <c r="E2930">
        <f>21.23</f>
        <v>21.23</v>
      </c>
    </row>
    <row r="2931" spans="1:5" x14ac:dyDescent="0.2">
      <c r="A2931" s="1">
        <v>41044</v>
      </c>
      <c r="B2931">
        <f>21.97</f>
        <v>21.97</v>
      </c>
      <c r="C2931">
        <f>33.3144</f>
        <v>33.314399999999999</v>
      </c>
      <c r="D2931">
        <f>24.5</f>
        <v>24.5</v>
      </c>
      <c r="E2931">
        <f>21.51</f>
        <v>21.51</v>
      </c>
    </row>
    <row r="2932" spans="1:5" x14ac:dyDescent="0.2">
      <c r="A2932" s="1">
        <v>41043</v>
      </c>
      <c r="B2932">
        <f>21.87</f>
        <v>21.87</v>
      </c>
      <c r="C2932">
        <f>31.6946</f>
        <v>31.694600000000001</v>
      </c>
      <c r="D2932">
        <f>24.43</f>
        <v>24.43</v>
      </c>
      <c r="E2932">
        <f>21.51</f>
        <v>21.51</v>
      </c>
    </row>
    <row r="2933" spans="1:5" x14ac:dyDescent="0.2">
      <c r="A2933" s="1">
        <v>41040</v>
      </c>
      <c r="B2933">
        <f>19.89</f>
        <v>19.89</v>
      </c>
      <c r="C2933">
        <f>28.3851</f>
        <v>28.385100000000001</v>
      </c>
      <c r="D2933">
        <f>20.92</f>
        <v>20.92</v>
      </c>
      <c r="E2933">
        <f>20.74</f>
        <v>20.74</v>
      </c>
    </row>
    <row r="2934" spans="1:5" x14ac:dyDescent="0.2">
      <c r="A2934" s="1">
        <v>41039</v>
      </c>
      <c r="B2934">
        <f>18.83</f>
        <v>18.829999999999998</v>
      </c>
      <c r="C2934">
        <f>29.1479</f>
        <v>29.1479</v>
      </c>
      <c r="D2934">
        <f>22.59</f>
        <v>22.59</v>
      </c>
      <c r="E2934">
        <f>20.95</f>
        <v>20.95</v>
      </c>
    </row>
    <row r="2935" spans="1:5" x14ac:dyDescent="0.2">
      <c r="A2935" s="1">
        <v>41038</v>
      </c>
      <c r="B2935">
        <f>20.08</f>
        <v>20.079999999999998</v>
      </c>
      <c r="C2935">
        <f>31.2083</f>
        <v>31.208300000000001</v>
      </c>
      <c r="D2935">
        <f>23.51</f>
        <v>23.51</v>
      </c>
      <c r="E2935">
        <f>21.49</f>
        <v>21.49</v>
      </c>
    </row>
    <row r="2936" spans="1:5" x14ac:dyDescent="0.2">
      <c r="A2936" s="1">
        <v>41037</v>
      </c>
      <c r="B2936">
        <f>19.05</f>
        <v>19.05</v>
      </c>
      <c r="C2936">
        <f>31.3226</f>
        <v>31.322600000000001</v>
      </c>
      <c r="D2936">
        <f>23.61</f>
        <v>23.61</v>
      </c>
      <c r="E2936">
        <f>21.43</f>
        <v>21.43</v>
      </c>
    </row>
    <row r="2937" spans="1:5" x14ac:dyDescent="0.2">
      <c r="A2937" s="1">
        <v>41036</v>
      </c>
      <c r="B2937">
        <f>18.94</f>
        <v>18.940000000000001</v>
      </c>
      <c r="C2937">
        <f>28.9223</f>
        <v>28.9223</v>
      </c>
      <c r="D2937" t="e">
        <f>NA()</f>
        <v>#N/A</v>
      </c>
      <c r="E2937">
        <f>20.91</f>
        <v>20.91</v>
      </c>
    </row>
    <row r="2938" spans="1:5" x14ac:dyDescent="0.2">
      <c r="A2938" s="1">
        <v>41033</v>
      </c>
      <c r="B2938">
        <f>19.16</f>
        <v>19.16</v>
      </c>
      <c r="C2938">
        <f>29.3836</f>
        <v>29.383600000000001</v>
      </c>
      <c r="D2938">
        <f>20.48</f>
        <v>20.48</v>
      </c>
      <c r="E2938">
        <f>20.8</f>
        <v>20.8</v>
      </c>
    </row>
    <row r="2939" spans="1:5" x14ac:dyDescent="0.2">
      <c r="A2939" s="1">
        <v>41032</v>
      </c>
      <c r="B2939">
        <f>17.56</f>
        <v>17.559999999999999</v>
      </c>
      <c r="C2939">
        <f>27.6802</f>
        <v>27.680199999999999</v>
      </c>
      <c r="D2939">
        <f>17.99</f>
        <v>17.989999999999998</v>
      </c>
      <c r="E2939">
        <f>20.27</f>
        <v>20.27</v>
      </c>
    </row>
    <row r="2940" spans="1:5" x14ac:dyDescent="0.2">
      <c r="A2940" s="1">
        <v>41031</v>
      </c>
      <c r="B2940">
        <f>16.88</f>
        <v>16.88</v>
      </c>
      <c r="C2940">
        <f>28.0126</f>
        <v>28.012599999999999</v>
      </c>
      <c r="D2940">
        <f>18.51</f>
        <v>18.510000000000002</v>
      </c>
      <c r="E2940">
        <f>20.26</f>
        <v>20.260000000000002</v>
      </c>
    </row>
    <row r="2941" spans="1:5" x14ac:dyDescent="0.2">
      <c r="A2941" s="1">
        <v>41030</v>
      </c>
      <c r="B2941">
        <f>16.6</f>
        <v>16.600000000000001</v>
      </c>
      <c r="C2941" t="e">
        <f>NA()</f>
        <v>#N/A</v>
      </c>
      <c r="D2941">
        <f>17.06</f>
        <v>17.059999999999999</v>
      </c>
      <c r="E2941" t="e">
        <f>NA()</f>
        <v>#N/A</v>
      </c>
    </row>
    <row r="2942" spans="1:5" x14ac:dyDescent="0.2">
      <c r="A2942" s="1">
        <v>41029</v>
      </c>
      <c r="B2942">
        <f>17.15</f>
        <v>17.149999999999999</v>
      </c>
      <c r="C2942">
        <f>26.9511</f>
        <v>26.9511</v>
      </c>
      <c r="D2942">
        <f>18.14</f>
        <v>18.14</v>
      </c>
      <c r="E2942">
        <f>20.24</f>
        <v>20.239999999999998</v>
      </c>
    </row>
    <row r="2943" spans="1:5" x14ac:dyDescent="0.2">
      <c r="A2943" s="1">
        <v>41026</v>
      </c>
      <c r="B2943">
        <f>16.32</f>
        <v>16.32</v>
      </c>
      <c r="C2943">
        <f>25.4795</f>
        <v>25.479500000000002</v>
      </c>
      <c r="D2943">
        <f>17.49</f>
        <v>17.489999999999998</v>
      </c>
      <c r="E2943" t="e">
        <f>NA()</f>
        <v>#N/A</v>
      </c>
    </row>
    <row r="2944" spans="1:5" x14ac:dyDescent="0.2">
      <c r="A2944" s="1">
        <v>41025</v>
      </c>
      <c r="B2944">
        <f>16.24</f>
        <v>16.239999999999998</v>
      </c>
      <c r="C2944">
        <f>26.6216</f>
        <v>26.621600000000001</v>
      </c>
      <c r="D2944">
        <f>18.48</f>
        <v>18.48</v>
      </c>
      <c r="E2944">
        <f>20.5</f>
        <v>20.5</v>
      </c>
    </row>
    <row r="2945" spans="1:5" x14ac:dyDescent="0.2">
      <c r="A2945" s="1">
        <v>41024</v>
      </c>
      <c r="B2945">
        <f>16.82</f>
        <v>16.82</v>
      </c>
      <c r="C2945">
        <f>27.4003</f>
        <v>27.400300000000001</v>
      </c>
      <c r="D2945">
        <f>19.92</f>
        <v>19.920000000000002</v>
      </c>
      <c r="E2945">
        <f>20.53</f>
        <v>20.53</v>
      </c>
    </row>
    <row r="2946" spans="1:5" x14ac:dyDescent="0.2">
      <c r="A2946" s="1">
        <v>41023</v>
      </c>
      <c r="B2946">
        <f>18.1</f>
        <v>18.100000000000001</v>
      </c>
      <c r="C2946">
        <f>28.6556</f>
        <v>28.6556</v>
      </c>
      <c r="D2946">
        <f>20.78</f>
        <v>20.78</v>
      </c>
      <c r="E2946">
        <f>20.77</f>
        <v>20.77</v>
      </c>
    </row>
    <row r="2947" spans="1:5" x14ac:dyDescent="0.2">
      <c r="A2947" s="1">
        <v>41022</v>
      </c>
      <c r="B2947">
        <f>18.97</f>
        <v>18.97</v>
      </c>
      <c r="C2947">
        <f>29.9723</f>
        <v>29.972300000000001</v>
      </c>
      <c r="D2947">
        <f>21.86</f>
        <v>21.86</v>
      </c>
      <c r="E2947">
        <f>20.54</f>
        <v>20.54</v>
      </c>
    </row>
    <row r="2948" spans="1:5" x14ac:dyDescent="0.2">
      <c r="A2948" s="1">
        <v>41019</v>
      </c>
      <c r="B2948">
        <f>17.44</f>
        <v>17.440000000000001</v>
      </c>
      <c r="C2948">
        <f>26.2312</f>
        <v>26.231200000000001</v>
      </c>
      <c r="D2948">
        <f>18.71</f>
        <v>18.71</v>
      </c>
      <c r="E2948">
        <f>20.54</f>
        <v>20.54</v>
      </c>
    </row>
    <row r="2949" spans="1:5" x14ac:dyDescent="0.2">
      <c r="A2949" s="1">
        <v>41018</v>
      </c>
      <c r="B2949">
        <f>18.36</f>
        <v>18.36</v>
      </c>
      <c r="C2949">
        <f>28.2848</f>
        <v>28.284800000000001</v>
      </c>
      <c r="D2949">
        <f>19.69</f>
        <v>19.690000000000001</v>
      </c>
      <c r="E2949">
        <f>20.53</f>
        <v>20.53</v>
      </c>
    </row>
    <row r="2950" spans="1:5" x14ac:dyDescent="0.2">
      <c r="A2950" s="1">
        <v>41017</v>
      </c>
      <c r="B2950">
        <f>18.64</f>
        <v>18.64</v>
      </c>
      <c r="C2950">
        <f>27.6847</f>
        <v>27.684699999999999</v>
      </c>
      <c r="D2950">
        <f>19.92</f>
        <v>19.920000000000002</v>
      </c>
      <c r="E2950">
        <f>20.47</f>
        <v>20.47</v>
      </c>
    </row>
    <row r="2951" spans="1:5" x14ac:dyDescent="0.2">
      <c r="A2951" s="1">
        <v>41016</v>
      </c>
      <c r="B2951">
        <f>18.46</f>
        <v>18.46</v>
      </c>
      <c r="C2951">
        <f>26.5949</f>
        <v>26.594899999999999</v>
      </c>
      <c r="D2951">
        <f>18.99</f>
        <v>18.989999999999998</v>
      </c>
      <c r="E2951">
        <f>20.71</f>
        <v>20.71</v>
      </c>
    </row>
    <row r="2952" spans="1:5" x14ac:dyDescent="0.2">
      <c r="A2952" s="1">
        <v>41015</v>
      </c>
      <c r="B2952">
        <f>19.55</f>
        <v>19.55</v>
      </c>
      <c r="C2952">
        <f>28.8612</f>
        <v>28.8612</v>
      </c>
      <c r="D2952">
        <f>20.57</f>
        <v>20.57</v>
      </c>
      <c r="E2952">
        <f>20.95</f>
        <v>20.95</v>
      </c>
    </row>
    <row r="2953" spans="1:5" x14ac:dyDescent="0.2">
      <c r="A2953" s="1">
        <v>41012</v>
      </c>
      <c r="B2953">
        <f>19.55</f>
        <v>19.55</v>
      </c>
      <c r="C2953">
        <f>29.4063</f>
        <v>29.406300000000002</v>
      </c>
      <c r="D2953">
        <f>20.58</f>
        <v>20.58</v>
      </c>
      <c r="E2953">
        <f>20.95</f>
        <v>20.95</v>
      </c>
    </row>
    <row r="2954" spans="1:5" x14ac:dyDescent="0.2">
      <c r="A2954" s="1">
        <v>41011</v>
      </c>
      <c r="B2954">
        <f>17.2</f>
        <v>17.2</v>
      </c>
      <c r="C2954">
        <f>27.6118</f>
        <v>27.611799999999999</v>
      </c>
      <c r="D2954">
        <f>19.59</f>
        <v>19.59</v>
      </c>
      <c r="E2954">
        <f>20.67</f>
        <v>20.67</v>
      </c>
    </row>
    <row r="2955" spans="1:5" x14ac:dyDescent="0.2">
      <c r="A2955" s="1">
        <v>41010</v>
      </c>
      <c r="B2955">
        <f>20.02</f>
        <v>20.02</v>
      </c>
      <c r="C2955">
        <f>29.4908</f>
        <v>29.4908</v>
      </c>
      <c r="D2955">
        <f>22.52</f>
        <v>22.52</v>
      </c>
      <c r="E2955">
        <f>20.87</f>
        <v>20.87</v>
      </c>
    </row>
    <row r="2956" spans="1:5" x14ac:dyDescent="0.2">
      <c r="A2956" s="1">
        <v>41009</v>
      </c>
      <c r="B2956">
        <f>20.39</f>
        <v>20.39</v>
      </c>
      <c r="C2956">
        <f>30.6779</f>
        <v>30.677900000000001</v>
      </c>
      <c r="D2956">
        <f>23.54</f>
        <v>23.54</v>
      </c>
      <c r="E2956">
        <f>20.72</f>
        <v>20.72</v>
      </c>
    </row>
    <row r="2957" spans="1:5" x14ac:dyDescent="0.2">
      <c r="A2957" s="1">
        <v>41008</v>
      </c>
      <c r="B2957">
        <f>18.81</f>
        <v>18.809999999999999</v>
      </c>
      <c r="C2957" t="e">
        <f>NA()</f>
        <v>#N/A</v>
      </c>
      <c r="D2957" t="e">
        <f>NA()</f>
        <v>#N/A</v>
      </c>
      <c r="E2957" t="e">
        <f>NA()</f>
        <v>#N/A</v>
      </c>
    </row>
    <row r="2958" spans="1:5" x14ac:dyDescent="0.2">
      <c r="A2958" s="1">
        <v>41004</v>
      </c>
      <c r="B2958">
        <f>16.7</f>
        <v>16.7</v>
      </c>
      <c r="C2958">
        <f>25.5879</f>
        <v>25.587900000000001</v>
      </c>
      <c r="D2958">
        <f>19.14</f>
        <v>19.14</v>
      </c>
      <c r="E2958">
        <f>20.72</f>
        <v>20.72</v>
      </c>
    </row>
    <row r="2959" spans="1:5" x14ac:dyDescent="0.2">
      <c r="A2959" s="1">
        <v>41003</v>
      </c>
      <c r="B2959">
        <f>16.44</f>
        <v>16.440000000000001</v>
      </c>
      <c r="C2959">
        <f>25.8591</f>
        <v>25.859100000000002</v>
      </c>
      <c r="D2959">
        <f>20.13</f>
        <v>20.13</v>
      </c>
      <c r="E2959">
        <f>21.11</f>
        <v>21.11</v>
      </c>
    </row>
    <row r="2960" spans="1:5" x14ac:dyDescent="0.2">
      <c r="A2960" s="1">
        <v>41002</v>
      </c>
      <c r="B2960">
        <f>15.66</f>
        <v>15.66</v>
      </c>
      <c r="C2960">
        <f>22.2736</f>
        <v>22.273599999999998</v>
      </c>
      <c r="D2960">
        <f>16.56</f>
        <v>16.559999999999999</v>
      </c>
      <c r="E2960">
        <f>20</f>
        <v>20</v>
      </c>
    </row>
    <row r="2961" spans="1:5" x14ac:dyDescent="0.2">
      <c r="A2961" s="1">
        <v>41001</v>
      </c>
      <c r="B2961">
        <f>15.64</f>
        <v>15.64</v>
      </c>
      <c r="C2961">
        <f>21.2165</f>
        <v>21.2165</v>
      </c>
      <c r="D2961">
        <f>15.71</f>
        <v>15.71</v>
      </c>
      <c r="E2961">
        <f>20.16</f>
        <v>20.16</v>
      </c>
    </row>
    <row r="2962" spans="1:5" x14ac:dyDescent="0.2">
      <c r="A2962" s="1">
        <v>40998</v>
      </c>
      <c r="B2962">
        <f>15.5</f>
        <v>15.5</v>
      </c>
      <c r="C2962">
        <f>22.5463</f>
        <v>22.546299999999999</v>
      </c>
      <c r="D2962">
        <f>17.61</f>
        <v>17.61</v>
      </c>
      <c r="E2962">
        <f>20.58</f>
        <v>20.58</v>
      </c>
    </row>
    <row r="2963" spans="1:5" x14ac:dyDescent="0.2">
      <c r="A2963" s="1">
        <v>40997</v>
      </c>
      <c r="B2963">
        <f>15.48</f>
        <v>15.48</v>
      </c>
      <c r="C2963">
        <f>25.3609</f>
        <v>25.360900000000001</v>
      </c>
      <c r="D2963">
        <f>19.09</f>
        <v>19.09</v>
      </c>
      <c r="E2963">
        <f>20.82</f>
        <v>20.82</v>
      </c>
    </row>
    <row r="2964" spans="1:5" x14ac:dyDescent="0.2">
      <c r="A2964" s="1">
        <v>40996</v>
      </c>
      <c r="B2964">
        <f>15.47</f>
        <v>15.47</v>
      </c>
      <c r="C2964">
        <f>23.0813</f>
        <v>23.081299999999999</v>
      </c>
      <c r="D2964">
        <f>17.52</f>
        <v>17.52</v>
      </c>
      <c r="E2964">
        <f>20.54</f>
        <v>20.54</v>
      </c>
    </row>
    <row r="2965" spans="1:5" x14ac:dyDescent="0.2">
      <c r="A2965" s="1">
        <v>40995</v>
      </c>
      <c r="B2965">
        <f>15.59</f>
        <v>15.59</v>
      </c>
      <c r="C2965">
        <f>22.3987</f>
        <v>22.398700000000002</v>
      </c>
      <c r="D2965">
        <f>16.69</f>
        <v>16.690000000000001</v>
      </c>
      <c r="E2965">
        <f>20.82</f>
        <v>20.82</v>
      </c>
    </row>
    <row r="2966" spans="1:5" x14ac:dyDescent="0.2">
      <c r="A2966" s="1">
        <v>40994</v>
      </c>
      <c r="B2966">
        <f>14.26</f>
        <v>14.26</v>
      </c>
      <c r="C2966">
        <f>21.3398</f>
        <v>21.3398</v>
      </c>
      <c r="D2966">
        <f>16.12</f>
        <v>16.12</v>
      </c>
      <c r="E2966">
        <f>21.35</f>
        <v>21.35</v>
      </c>
    </row>
    <row r="2967" spans="1:5" x14ac:dyDescent="0.2">
      <c r="A2967" s="1">
        <v>40991</v>
      </c>
      <c r="B2967">
        <f>14.82</f>
        <v>14.82</v>
      </c>
      <c r="C2967">
        <f>21.6583</f>
        <v>21.658300000000001</v>
      </c>
      <c r="D2967">
        <f>16.36</f>
        <v>16.36</v>
      </c>
      <c r="E2967">
        <f>21.84</f>
        <v>21.84</v>
      </c>
    </row>
    <row r="2968" spans="1:5" x14ac:dyDescent="0.2">
      <c r="A2968" s="1">
        <v>40990</v>
      </c>
      <c r="B2968">
        <f>15.57</f>
        <v>15.57</v>
      </c>
      <c r="C2968">
        <f>21.9103</f>
        <v>21.910299999999999</v>
      </c>
      <c r="D2968">
        <f>17.41</f>
        <v>17.41</v>
      </c>
      <c r="E2968">
        <f>21.76</f>
        <v>21.76</v>
      </c>
    </row>
    <row r="2969" spans="1:5" x14ac:dyDescent="0.2">
      <c r="A2969" s="1">
        <v>40989</v>
      </c>
      <c r="B2969">
        <f>15.13</f>
        <v>15.13</v>
      </c>
      <c r="C2969">
        <f>20.0254</f>
        <v>20.025400000000001</v>
      </c>
      <c r="D2969">
        <f>15.96</f>
        <v>15.96</v>
      </c>
      <c r="E2969" t="e">
        <f>NA()</f>
        <v>#N/A</v>
      </c>
    </row>
    <row r="2970" spans="1:5" x14ac:dyDescent="0.2">
      <c r="A2970" s="1">
        <v>40988</v>
      </c>
      <c r="B2970">
        <f>15.58</f>
        <v>15.58</v>
      </c>
      <c r="C2970">
        <f>19.9117</f>
        <v>19.9117</v>
      </c>
      <c r="D2970">
        <f>16.16</f>
        <v>16.16</v>
      </c>
      <c r="E2970">
        <f>21.25</f>
        <v>21.25</v>
      </c>
    </row>
    <row r="2971" spans="1:5" x14ac:dyDescent="0.2">
      <c r="A2971" s="1">
        <v>40987</v>
      </c>
      <c r="B2971">
        <f>15.04</f>
        <v>15.04</v>
      </c>
      <c r="C2971">
        <f>18.3551</f>
        <v>18.3551</v>
      </c>
      <c r="D2971">
        <f>14.87</f>
        <v>14.87</v>
      </c>
      <c r="E2971">
        <f>21.2</f>
        <v>21.2</v>
      </c>
    </row>
    <row r="2972" spans="1:5" x14ac:dyDescent="0.2">
      <c r="A2972" s="1">
        <v>40984</v>
      </c>
      <c r="B2972">
        <f>14.47</f>
        <v>14.47</v>
      </c>
      <c r="C2972">
        <f>18.5202</f>
        <v>18.520199999999999</v>
      </c>
      <c r="D2972">
        <f>15.01</f>
        <v>15.01</v>
      </c>
      <c r="E2972">
        <f>21.33</f>
        <v>21.33</v>
      </c>
    </row>
    <row r="2973" spans="1:5" x14ac:dyDescent="0.2">
      <c r="A2973" s="1">
        <v>40983</v>
      </c>
      <c r="B2973">
        <f>15.42</f>
        <v>15.42</v>
      </c>
      <c r="C2973">
        <f>19.3479</f>
        <v>19.347899999999999</v>
      </c>
      <c r="D2973">
        <f>15.15</f>
        <v>15.15</v>
      </c>
      <c r="E2973">
        <f>22.57</f>
        <v>22.57</v>
      </c>
    </row>
    <row r="2974" spans="1:5" x14ac:dyDescent="0.2">
      <c r="A2974" s="1">
        <v>40982</v>
      </c>
      <c r="B2974">
        <f>15.31</f>
        <v>15.31</v>
      </c>
      <c r="C2974">
        <f>21.1237</f>
        <v>21.123699999999999</v>
      </c>
      <c r="D2974">
        <f>15.19</f>
        <v>15.19</v>
      </c>
      <c r="E2974">
        <f>22.27</f>
        <v>22.27</v>
      </c>
    </row>
    <row r="2975" spans="1:5" x14ac:dyDescent="0.2">
      <c r="A2975" s="1">
        <v>40981</v>
      </c>
      <c r="B2975">
        <f>14.8</f>
        <v>14.8</v>
      </c>
      <c r="C2975">
        <f>20.9307</f>
        <v>20.930700000000002</v>
      </c>
      <c r="D2975">
        <f>14.49</f>
        <v>14.49</v>
      </c>
      <c r="E2975">
        <f>22.5</f>
        <v>22.5</v>
      </c>
    </row>
    <row r="2976" spans="1:5" x14ac:dyDescent="0.2">
      <c r="A2976" s="1">
        <v>40980</v>
      </c>
      <c r="B2976">
        <f>15.64</f>
        <v>15.64</v>
      </c>
      <c r="C2976">
        <f>23.0102</f>
        <v>23.010200000000001</v>
      </c>
      <c r="D2976">
        <f>15.71</f>
        <v>15.71</v>
      </c>
      <c r="E2976">
        <f>22.86</f>
        <v>22.86</v>
      </c>
    </row>
    <row r="2977" spans="1:5" x14ac:dyDescent="0.2">
      <c r="A2977" s="1">
        <v>40977</v>
      </c>
      <c r="B2977">
        <f>17.11</f>
        <v>17.11</v>
      </c>
      <c r="C2977">
        <f>22.895</f>
        <v>22.895</v>
      </c>
      <c r="D2977">
        <f>15.63</f>
        <v>15.63</v>
      </c>
      <c r="E2977">
        <f>22.86</f>
        <v>22.86</v>
      </c>
    </row>
    <row r="2978" spans="1:5" x14ac:dyDescent="0.2">
      <c r="A2978" s="1">
        <v>40976</v>
      </c>
      <c r="B2978">
        <f>17.95</f>
        <v>17.95</v>
      </c>
      <c r="C2978">
        <f>25.0964</f>
        <v>25.096399999999999</v>
      </c>
      <c r="D2978">
        <f>17.94</f>
        <v>17.940000000000001</v>
      </c>
      <c r="E2978">
        <f>22.86</f>
        <v>22.86</v>
      </c>
    </row>
    <row r="2979" spans="1:5" x14ac:dyDescent="0.2">
      <c r="A2979" s="1">
        <v>40975</v>
      </c>
      <c r="B2979">
        <f>19.07</f>
        <v>19.07</v>
      </c>
      <c r="C2979">
        <f>28.2266</f>
        <v>28.226600000000001</v>
      </c>
      <c r="D2979">
        <f>20.89</f>
        <v>20.89</v>
      </c>
      <c r="E2979">
        <f>23.11</f>
        <v>23.11</v>
      </c>
    </row>
    <row r="2980" spans="1:5" x14ac:dyDescent="0.2">
      <c r="A2980" s="1">
        <v>40974</v>
      </c>
      <c r="B2980">
        <f>20.87</f>
        <v>20.87</v>
      </c>
      <c r="C2980">
        <f>28.5625</f>
        <v>28.5625</v>
      </c>
      <c r="D2980">
        <f>21.76</f>
        <v>21.76</v>
      </c>
      <c r="E2980">
        <f>23.36</f>
        <v>23.36</v>
      </c>
    </row>
    <row r="2981" spans="1:5" x14ac:dyDescent="0.2">
      <c r="A2981" s="1">
        <v>40973</v>
      </c>
      <c r="B2981">
        <f>18.05</f>
        <v>18.05</v>
      </c>
      <c r="C2981">
        <f>23.7979</f>
        <v>23.797899999999998</v>
      </c>
      <c r="D2981">
        <f>18.74</f>
        <v>18.739999999999998</v>
      </c>
      <c r="E2981">
        <f>22.59</f>
        <v>22.59</v>
      </c>
    </row>
    <row r="2982" spans="1:5" x14ac:dyDescent="0.2">
      <c r="A2982" s="1">
        <v>40970</v>
      </c>
      <c r="B2982">
        <f>17.29</f>
        <v>17.29</v>
      </c>
      <c r="C2982">
        <f>22.5637</f>
        <v>22.563700000000001</v>
      </c>
      <c r="D2982">
        <f>17.64</f>
        <v>17.64</v>
      </c>
      <c r="E2982">
        <f>22.33</f>
        <v>22.33</v>
      </c>
    </row>
    <row r="2983" spans="1:5" x14ac:dyDescent="0.2">
      <c r="A2983" s="1">
        <v>40969</v>
      </c>
      <c r="B2983">
        <f>17.26</f>
        <v>17.260000000000002</v>
      </c>
      <c r="C2983">
        <f>22.8624</f>
        <v>22.862400000000001</v>
      </c>
      <c r="D2983">
        <f>17.27</f>
        <v>17.27</v>
      </c>
      <c r="E2983">
        <f>22.32</f>
        <v>22.32</v>
      </c>
    </row>
    <row r="2984" spans="1:5" x14ac:dyDescent="0.2">
      <c r="A2984" s="1">
        <v>40968</v>
      </c>
      <c r="B2984">
        <f>18.43</f>
        <v>18.43</v>
      </c>
      <c r="C2984">
        <f>23.9289</f>
        <v>23.928899999999999</v>
      </c>
      <c r="D2984">
        <f>18.22</f>
        <v>18.22</v>
      </c>
      <c r="E2984">
        <f>22.31</f>
        <v>22.31</v>
      </c>
    </row>
    <row r="2985" spans="1:5" x14ac:dyDescent="0.2">
      <c r="A2985" s="1">
        <v>40967</v>
      </c>
      <c r="B2985">
        <f>17.96</f>
        <v>17.96</v>
      </c>
      <c r="C2985">
        <f>23.7173</f>
        <v>23.717300000000002</v>
      </c>
      <c r="D2985">
        <f>17.68</f>
        <v>17.68</v>
      </c>
      <c r="E2985">
        <f>22.31</f>
        <v>22.31</v>
      </c>
    </row>
    <row r="2986" spans="1:5" x14ac:dyDescent="0.2">
      <c r="A2986" s="1">
        <v>40966</v>
      </c>
      <c r="B2986">
        <f>18.19</f>
        <v>18.190000000000001</v>
      </c>
      <c r="C2986">
        <f>24.2211</f>
        <v>24.2211</v>
      </c>
      <c r="D2986">
        <f>17.14</f>
        <v>17.14</v>
      </c>
      <c r="E2986">
        <f>22.12</f>
        <v>22.12</v>
      </c>
    </row>
    <row r="2987" spans="1:5" x14ac:dyDescent="0.2">
      <c r="A2987" s="1">
        <v>40963</v>
      </c>
      <c r="B2987">
        <f>17.31</f>
        <v>17.309999999999999</v>
      </c>
      <c r="C2987">
        <f>22.5277</f>
        <v>22.527699999999999</v>
      </c>
      <c r="D2987">
        <f>16.86</f>
        <v>16.86</v>
      </c>
      <c r="E2987">
        <f>21.83</f>
        <v>21.83</v>
      </c>
    </row>
    <row r="2988" spans="1:5" x14ac:dyDescent="0.2">
      <c r="A2988" s="1">
        <v>40962</v>
      </c>
      <c r="B2988">
        <f>16.8</f>
        <v>16.8</v>
      </c>
      <c r="C2988">
        <f>23.8446</f>
        <v>23.8446</v>
      </c>
      <c r="D2988">
        <f>17.64</f>
        <v>17.64</v>
      </c>
      <c r="E2988">
        <f>21.83</f>
        <v>21.83</v>
      </c>
    </row>
    <row r="2989" spans="1:5" x14ac:dyDescent="0.2">
      <c r="A2989" s="1">
        <v>40961</v>
      </c>
      <c r="B2989">
        <f>18.19</f>
        <v>18.190000000000001</v>
      </c>
      <c r="C2989">
        <f>24.0059</f>
        <v>24.0059</v>
      </c>
      <c r="D2989">
        <f>18.09</f>
        <v>18.09</v>
      </c>
      <c r="E2989">
        <f>21.89</f>
        <v>21.89</v>
      </c>
    </row>
    <row r="2990" spans="1:5" x14ac:dyDescent="0.2">
      <c r="A2990" s="1">
        <v>40960</v>
      </c>
      <c r="B2990">
        <f>18.19</f>
        <v>18.190000000000001</v>
      </c>
      <c r="C2990">
        <f>23.8977</f>
        <v>23.8977</v>
      </c>
      <c r="D2990">
        <f>18.39</f>
        <v>18.39</v>
      </c>
      <c r="E2990">
        <f>21.62</f>
        <v>21.62</v>
      </c>
    </row>
    <row r="2991" spans="1:5" x14ac:dyDescent="0.2">
      <c r="A2991" s="1">
        <v>40959</v>
      </c>
      <c r="B2991" t="e">
        <f>NA()</f>
        <v>#N/A</v>
      </c>
      <c r="C2991">
        <f>24.5763</f>
        <v>24.5763</v>
      </c>
      <c r="D2991">
        <f>19.4</f>
        <v>19.399999999999999</v>
      </c>
      <c r="E2991">
        <f>21.87</f>
        <v>21.87</v>
      </c>
    </row>
    <row r="2992" spans="1:5" x14ac:dyDescent="0.2">
      <c r="A2992" s="1">
        <v>40956</v>
      </c>
      <c r="B2992">
        <f>17.78</f>
        <v>17.78</v>
      </c>
      <c r="C2992">
        <f>24.8255</f>
        <v>24.825500000000002</v>
      </c>
      <c r="D2992">
        <f>20</f>
        <v>20</v>
      </c>
      <c r="E2992">
        <f>21.86</f>
        <v>21.86</v>
      </c>
    </row>
    <row r="2993" spans="1:5" x14ac:dyDescent="0.2">
      <c r="A2993" s="1">
        <v>40955</v>
      </c>
      <c r="B2993">
        <f>19.22</f>
        <v>19.22</v>
      </c>
      <c r="C2993">
        <f>26.8397</f>
        <v>26.839700000000001</v>
      </c>
      <c r="D2993">
        <f>20.97</f>
        <v>20.97</v>
      </c>
      <c r="E2993">
        <f>22.13</f>
        <v>22.13</v>
      </c>
    </row>
    <row r="2994" spans="1:5" x14ac:dyDescent="0.2">
      <c r="A2994" s="1">
        <v>40954</v>
      </c>
      <c r="B2994">
        <f>21.14</f>
        <v>21.14</v>
      </c>
      <c r="C2994">
        <f>26.5438</f>
        <v>26.543800000000001</v>
      </c>
      <c r="D2994">
        <f>19.89</f>
        <v>19.89</v>
      </c>
      <c r="E2994">
        <f>21.85</f>
        <v>21.85</v>
      </c>
    </row>
    <row r="2995" spans="1:5" x14ac:dyDescent="0.2">
      <c r="A2995" s="1">
        <v>40953</v>
      </c>
      <c r="B2995">
        <f>19.54</f>
        <v>19.54</v>
      </c>
      <c r="C2995">
        <f>26.0202</f>
        <v>26.020199999999999</v>
      </c>
      <c r="D2995">
        <f>19.7</f>
        <v>19.7</v>
      </c>
      <c r="E2995">
        <f>21.69</f>
        <v>21.69</v>
      </c>
    </row>
    <row r="2996" spans="1:5" x14ac:dyDescent="0.2">
      <c r="A2996" s="1">
        <v>40952</v>
      </c>
      <c r="B2996">
        <f>19.04</f>
        <v>19.04</v>
      </c>
      <c r="C2996">
        <f>26.6034</f>
        <v>26.603400000000001</v>
      </c>
      <c r="D2996">
        <f>19.93</f>
        <v>19.93</v>
      </c>
      <c r="E2996">
        <f>21.61</f>
        <v>21.61</v>
      </c>
    </row>
    <row r="2997" spans="1:5" x14ac:dyDescent="0.2">
      <c r="A2997" s="1">
        <v>40949</v>
      </c>
      <c r="B2997">
        <f>20.79</f>
        <v>20.79</v>
      </c>
      <c r="C2997">
        <f>27.3816</f>
        <v>27.381599999999999</v>
      </c>
      <c r="D2997">
        <f>22.48</f>
        <v>22.48</v>
      </c>
      <c r="E2997">
        <f>22.24</f>
        <v>22.24</v>
      </c>
    </row>
    <row r="2998" spans="1:5" x14ac:dyDescent="0.2">
      <c r="A2998" s="1">
        <v>40948</v>
      </c>
      <c r="B2998">
        <f>18.63</f>
        <v>18.63</v>
      </c>
      <c r="C2998">
        <f>25.9181</f>
        <v>25.918099999999999</v>
      </c>
      <c r="D2998">
        <f>21.03</f>
        <v>21.03</v>
      </c>
      <c r="E2998">
        <f>21.72</f>
        <v>21.72</v>
      </c>
    </row>
    <row r="2999" spans="1:5" x14ac:dyDescent="0.2">
      <c r="A2999" s="1">
        <v>40947</v>
      </c>
      <c r="B2999">
        <f>18.16</f>
        <v>18.16</v>
      </c>
      <c r="C2999">
        <f>25.7292</f>
        <v>25.729199999999999</v>
      </c>
      <c r="D2999">
        <f>19.58</f>
        <v>19.579999999999998</v>
      </c>
      <c r="E2999">
        <f>21.71</f>
        <v>21.71</v>
      </c>
    </row>
    <row r="3000" spans="1:5" x14ac:dyDescent="0.2">
      <c r="A3000" s="1">
        <v>40946</v>
      </c>
      <c r="B3000">
        <f>17.65</f>
        <v>17.649999999999999</v>
      </c>
      <c r="C3000">
        <f>25.325</f>
        <v>25.324999999999999</v>
      </c>
      <c r="D3000">
        <f>18.8</f>
        <v>18.8</v>
      </c>
      <c r="E3000">
        <f>21.96</f>
        <v>21.96</v>
      </c>
    </row>
    <row r="3001" spans="1:5" x14ac:dyDescent="0.2">
      <c r="A3001" s="1">
        <v>40945</v>
      </c>
      <c r="B3001">
        <f>17.76</f>
        <v>17.760000000000002</v>
      </c>
      <c r="C3001">
        <f>25.0326</f>
        <v>25.032599999999999</v>
      </c>
      <c r="D3001">
        <f>17.99</f>
        <v>17.989999999999998</v>
      </c>
      <c r="E3001">
        <f>21.25</f>
        <v>21.25</v>
      </c>
    </row>
    <row r="3002" spans="1:5" x14ac:dyDescent="0.2">
      <c r="A3002" s="1">
        <v>40942</v>
      </c>
      <c r="B3002">
        <f>17.1</f>
        <v>17.100000000000001</v>
      </c>
      <c r="C3002">
        <f>23.5349</f>
        <v>23.5349</v>
      </c>
      <c r="D3002">
        <f>16.89</f>
        <v>16.89</v>
      </c>
      <c r="E3002">
        <f>20.98</f>
        <v>20.98</v>
      </c>
    </row>
    <row r="3003" spans="1:5" x14ac:dyDescent="0.2">
      <c r="A3003" s="1">
        <v>40941</v>
      </c>
      <c r="B3003">
        <f>17.98</f>
        <v>17.98</v>
      </c>
      <c r="C3003">
        <f>24.5624</f>
        <v>24.5624</v>
      </c>
      <c r="D3003">
        <f>18.54</f>
        <v>18.54</v>
      </c>
      <c r="E3003">
        <f>20.93</f>
        <v>20.93</v>
      </c>
    </row>
    <row r="3004" spans="1:5" x14ac:dyDescent="0.2">
      <c r="A3004" s="1">
        <v>40940</v>
      </c>
      <c r="B3004">
        <f>18.55</f>
        <v>18.55</v>
      </c>
      <c r="C3004">
        <f>24.6111</f>
        <v>24.6111</v>
      </c>
      <c r="D3004">
        <f>18.7</f>
        <v>18.7</v>
      </c>
      <c r="E3004">
        <f>21.69</f>
        <v>21.69</v>
      </c>
    </row>
    <row r="3005" spans="1:5" x14ac:dyDescent="0.2">
      <c r="A3005" s="1">
        <v>40939</v>
      </c>
      <c r="B3005">
        <f>19.44</f>
        <v>19.440000000000001</v>
      </c>
      <c r="C3005">
        <f>26.3081</f>
        <v>26.3081</v>
      </c>
      <c r="D3005">
        <f>20.38</f>
        <v>20.38</v>
      </c>
      <c r="E3005">
        <f>22.2</f>
        <v>22.2</v>
      </c>
    </row>
    <row r="3006" spans="1:5" x14ac:dyDescent="0.2">
      <c r="A3006" s="1">
        <v>40938</v>
      </c>
      <c r="B3006">
        <f>19.4</f>
        <v>19.399999999999999</v>
      </c>
      <c r="C3006">
        <f>26.8831</f>
        <v>26.883099999999999</v>
      </c>
      <c r="D3006">
        <f>20.98</f>
        <v>20.98</v>
      </c>
      <c r="E3006">
        <f>22.96</f>
        <v>22.96</v>
      </c>
    </row>
    <row r="3007" spans="1:5" x14ac:dyDescent="0.2">
      <c r="A3007" s="1">
        <v>40935</v>
      </c>
      <c r="B3007">
        <f>18.53</f>
        <v>18.53</v>
      </c>
      <c r="C3007">
        <f>24.3981</f>
        <v>24.398099999999999</v>
      </c>
      <c r="D3007">
        <f>18.91</f>
        <v>18.91</v>
      </c>
      <c r="E3007">
        <f>22.09</f>
        <v>22.09</v>
      </c>
    </row>
    <row r="3008" spans="1:5" x14ac:dyDescent="0.2">
      <c r="A3008" s="1">
        <v>40934</v>
      </c>
      <c r="B3008">
        <f>18.57</f>
        <v>18.57</v>
      </c>
      <c r="C3008">
        <f>24.2408</f>
        <v>24.2408</v>
      </c>
      <c r="D3008">
        <f>18.62</f>
        <v>18.62</v>
      </c>
      <c r="E3008">
        <f>22.59</f>
        <v>22.59</v>
      </c>
    </row>
    <row r="3009" spans="1:5" x14ac:dyDescent="0.2">
      <c r="A3009" s="1">
        <v>40933</v>
      </c>
      <c r="B3009">
        <f>18.31</f>
        <v>18.309999999999999</v>
      </c>
      <c r="C3009">
        <f>25.2399</f>
        <v>25.239899999999999</v>
      </c>
      <c r="D3009">
        <f>19.23</f>
        <v>19.23</v>
      </c>
      <c r="E3009">
        <f>23.48</f>
        <v>23.48</v>
      </c>
    </row>
    <row r="3010" spans="1:5" x14ac:dyDescent="0.2">
      <c r="A3010" s="1">
        <v>40932</v>
      </c>
      <c r="B3010">
        <f>18.91</f>
        <v>18.91</v>
      </c>
      <c r="C3010">
        <f>25.295</f>
        <v>25.295000000000002</v>
      </c>
      <c r="D3010">
        <f>18.66</f>
        <v>18.66</v>
      </c>
      <c r="E3010">
        <f>23.47</f>
        <v>23.47</v>
      </c>
    </row>
    <row r="3011" spans="1:5" x14ac:dyDescent="0.2">
      <c r="A3011" s="1">
        <v>40931</v>
      </c>
      <c r="B3011">
        <f>18.67</f>
        <v>18.670000000000002</v>
      </c>
      <c r="C3011">
        <f>25.6521</f>
        <v>25.652100000000001</v>
      </c>
      <c r="D3011">
        <f>18.67</f>
        <v>18.670000000000002</v>
      </c>
      <c r="E3011">
        <f>23.11</f>
        <v>23.11</v>
      </c>
    </row>
    <row r="3012" spans="1:5" x14ac:dyDescent="0.2">
      <c r="A3012" s="1">
        <v>40928</v>
      </c>
      <c r="B3012">
        <f>18.28</f>
        <v>18.28</v>
      </c>
      <c r="C3012">
        <f>25.0315</f>
        <v>25.031500000000001</v>
      </c>
      <c r="D3012">
        <f>18.99</f>
        <v>18.989999999999998</v>
      </c>
      <c r="E3012">
        <f>23.45</f>
        <v>23.45</v>
      </c>
    </row>
    <row r="3013" spans="1:5" x14ac:dyDescent="0.2">
      <c r="A3013" s="1">
        <v>40927</v>
      </c>
      <c r="B3013">
        <f>19.87</f>
        <v>19.87</v>
      </c>
      <c r="C3013">
        <f>26.5407</f>
        <v>26.540700000000001</v>
      </c>
      <c r="D3013">
        <f>19.56</f>
        <v>19.559999999999999</v>
      </c>
      <c r="E3013">
        <f>23.54</f>
        <v>23.54</v>
      </c>
    </row>
    <row r="3014" spans="1:5" x14ac:dyDescent="0.2">
      <c r="A3014" s="1">
        <v>40926</v>
      </c>
      <c r="B3014">
        <f>20.89</f>
        <v>20.89</v>
      </c>
      <c r="C3014">
        <f>27.76</f>
        <v>27.76</v>
      </c>
      <c r="D3014">
        <f>20.62</f>
        <v>20.62</v>
      </c>
      <c r="E3014">
        <f>24.19</f>
        <v>24.19</v>
      </c>
    </row>
    <row r="3015" spans="1:5" x14ac:dyDescent="0.2">
      <c r="A3015" s="1">
        <v>40925</v>
      </c>
      <c r="B3015">
        <f>22.2</f>
        <v>22.2</v>
      </c>
      <c r="C3015">
        <f>28.1469</f>
        <v>28.146899999999999</v>
      </c>
      <c r="D3015">
        <f>20.46</f>
        <v>20.46</v>
      </c>
      <c r="E3015">
        <f>24.4</f>
        <v>24.4</v>
      </c>
    </row>
    <row r="3016" spans="1:5" x14ac:dyDescent="0.2">
      <c r="A3016" s="1">
        <v>40924</v>
      </c>
      <c r="B3016" t="e">
        <f>NA()</f>
        <v>#N/A</v>
      </c>
      <c r="C3016">
        <f>27.998</f>
        <v>27.998000000000001</v>
      </c>
      <c r="D3016">
        <f>20.92</f>
        <v>20.92</v>
      </c>
      <c r="E3016">
        <f>24.7</f>
        <v>24.7</v>
      </c>
    </row>
    <row r="3017" spans="1:5" x14ac:dyDescent="0.2">
      <c r="A3017" s="1">
        <v>40921</v>
      </c>
      <c r="B3017">
        <f>20.91</f>
        <v>20.91</v>
      </c>
      <c r="C3017">
        <f>28.916</f>
        <v>28.916</v>
      </c>
      <c r="D3017">
        <f>20.75</f>
        <v>20.75</v>
      </c>
      <c r="E3017">
        <f>24.95</f>
        <v>24.95</v>
      </c>
    </row>
    <row r="3018" spans="1:5" x14ac:dyDescent="0.2">
      <c r="A3018" s="1">
        <v>40920</v>
      </c>
      <c r="B3018">
        <f>20.47</f>
        <v>20.47</v>
      </c>
      <c r="C3018">
        <f>28.5518</f>
        <v>28.5518</v>
      </c>
      <c r="D3018">
        <f>21.04</f>
        <v>21.04</v>
      </c>
      <c r="E3018">
        <f>24.95</f>
        <v>24.95</v>
      </c>
    </row>
    <row r="3019" spans="1:5" x14ac:dyDescent="0.2">
      <c r="A3019" s="1">
        <v>40919</v>
      </c>
      <c r="B3019">
        <f>21.05</f>
        <v>21.05</v>
      </c>
      <c r="C3019">
        <f>28.4621</f>
        <v>28.4621</v>
      </c>
      <c r="D3019">
        <f>20.92</f>
        <v>20.92</v>
      </c>
      <c r="E3019">
        <f>25.2</f>
        <v>25.2</v>
      </c>
    </row>
    <row r="3020" spans="1:5" x14ac:dyDescent="0.2">
      <c r="A3020" s="1">
        <v>40918</v>
      </c>
      <c r="B3020">
        <f>20.69</f>
        <v>20.69</v>
      </c>
      <c r="C3020">
        <f>28.3412</f>
        <v>28.341200000000001</v>
      </c>
      <c r="D3020">
        <f>19.98</f>
        <v>19.98</v>
      </c>
      <c r="E3020">
        <f>24.8</f>
        <v>24.8</v>
      </c>
    </row>
    <row r="3021" spans="1:5" x14ac:dyDescent="0.2">
      <c r="A3021" s="1">
        <v>40917</v>
      </c>
      <c r="B3021">
        <f>21.07</f>
        <v>21.07</v>
      </c>
      <c r="C3021">
        <f>30.1779</f>
        <v>30.177900000000001</v>
      </c>
      <c r="D3021">
        <f>21.46</f>
        <v>21.46</v>
      </c>
      <c r="E3021">
        <f>25.17</f>
        <v>25.17</v>
      </c>
    </row>
    <row r="3022" spans="1:5" x14ac:dyDescent="0.2">
      <c r="A3022" s="1">
        <v>40914</v>
      </c>
      <c r="B3022">
        <f>20.63</f>
        <v>20.63</v>
      </c>
      <c r="C3022">
        <f>30.5586</f>
        <v>30.558599999999998</v>
      </c>
      <c r="D3022">
        <f>20.79</f>
        <v>20.79</v>
      </c>
      <c r="E3022">
        <f>25.18</f>
        <v>25.18</v>
      </c>
    </row>
    <row r="3023" spans="1:5" x14ac:dyDescent="0.2">
      <c r="A3023" s="1">
        <v>40913</v>
      </c>
      <c r="B3023">
        <f>21.48</f>
        <v>21.48</v>
      </c>
      <c r="C3023">
        <f>31.0151</f>
        <v>31.0151</v>
      </c>
      <c r="D3023">
        <f>21.84</f>
        <v>21.84</v>
      </c>
      <c r="E3023">
        <f>25.42</f>
        <v>25.42</v>
      </c>
    </row>
    <row r="3024" spans="1:5" x14ac:dyDescent="0.2">
      <c r="A3024" s="1">
        <v>40912</v>
      </c>
      <c r="B3024">
        <f>22.22</f>
        <v>22.22</v>
      </c>
      <c r="C3024">
        <f>30.4656</f>
        <v>30.465599999999998</v>
      </c>
      <c r="D3024">
        <f>21.65</f>
        <v>21.65</v>
      </c>
      <c r="E3024">
        <f>26.18</f>
        <v>26.18</v>
      </c>
    </row>
    <row r="3025" spans="1:5" x14ac:dyDescent="0.2">
      <c r="A3025" s="1">
        <v>40911</v>
      </c>
      <c r="B3025">
        <f>22.97</f>
        <v>22.97</v>
      </c>
      <c r="C3025">
        <f>30.017</f>
        <v>30.016999999999999</v>
      </c>
      <c r="D3025">
        <f>21.26</f>
        <v>21.26</v>
      </c>
      <c r="E3025">
        <f>25.78</f>
        <v>25.78</v>
      </c>
    </row>
    <row r="3026" spans="1:5" x14ac:dyDescent="0.2">
      <c r="A3026" s="1">
        <v>40910</v>
      </c>
      <c r="B3026" t="e">
        <f>NA()</f>
        <v>#N/A</v>
      </c>
      <c r="C3026">
        <f>31.3029</f>
        <v>31.302900000000001</v>
      </c>
      <c r="D3026" t="e">
        <f>NA()</f>
        <v>#N/A</v>
      </c>
      <c r="E3026" t="e">
        <f>NA()</f>
        <v>#N/A</v>
      </c>
    </row>
    <row r="3027" spans="1:5" x14ac:dyDescent="0.2">
      <c r="A3027" s="1">
        <v>40907</v>
      </c>
      <c r="B3027">
        <f>23.4</f>
        <v>23.4</v>
      </c>
      <c r="C3027">
        <f>32.1544</f>
        <v>32.154400000000003</v>
      </c>
      <c r="D3027">
        <f>22.26</f>
        <v>22.26</v>
      </c>
      <c r="E3027">
        <f>26.96</f>
        <v>26.96</v>
      </c>
    </row>
    <row r="3028" spans="1:5" x14ac:dyDescent="0.2">
      <c r="A3028" s="1">
        <v>40906</v>
      </c>
      <c r="B3028">
        <f>22.65</f>
        <v>22.65</v>
      </c>
      <c r="C3028">
        <f>32.1867</f>
        <v>32.186700000000002</v>
      </c>
      <c r="D3028">
        <f>22.39</f>
        <v>22.39</v>
      </c>
      <c r="E3028">
        <f>26.96</f>
        <v>26.96</v>
      </c>
    </row>
    <row r="3029" spans="1:5" x14ac:dyDescent="0.2">
      <c r="A3029" s="1">
        <v>40905</v>
      </c>
      <c r="B3029">
        <f>23.52</f>
        <v>23.52</v>
      </c>
      <c r="C3029">
        <f>31.8173</f>
        <v>31.817299999999999</v>
      </c>
      <c r="D3029">
        <f>22.4</f>
        <v>22.4</v>
      </c>
      <c r="E3029">
        <f>26.71</f>
        <v>26.71</v>
      </c>
    </row>
    <row r="3030" spans="1:5" x14ac:dyDescent="0.2">
      <c r="A3030" s="1">
        <v>40904</v>
      </c>
      <c r="B3030">
        <f>21.91</f>
        <v>21.91</v>
      </c>
      <c r="C3030">
        <f>29.749</f>
        <v>29.748999999999999</v>
      </c>
      <c r="D3030" t="e">
        <f>NA()</f>
        <v>#N/A</v>
      </c>
      <c r="E3030" t="e">
        <f>NA()</f>
        <v>#N/A</v>
      </c>
    </row>
    <row r="3031" spans="1:5" x14ac:dyDescent="0.2">
      <c r="A3031" s="1">
        <v>40900</v>
      </c>
      <c r="B3031">
        <f>20.73</f>
        <v>20.73</v>
      </c>
      <c r="C3031">
        <f>28.5177</f>
        <v>28.517700000000001</v>
      </c>
      <c r="D3031">
        <f>19.98</f>
        <v>19.98</v>
      </c>
      <c r="E3031">
        <f>26.73</f>
        <v>26.73</v>
      </c>
    </row>
    <row r="3032" spans="1:5" x14ac:dyDescent="0.2">
      <c r="A3032" s="1">
        <v>40899</v>
      </c>
      <c r="B3032">
        <f>21.16</f>
        <v>21.16</v>
      </c>
      <c r="C3032">
        <f>28.8742</f>
        <v>28.874199999999998</v>
      </c>
      <c r="D3032">
        <f>20.73</f>
        <v>20.73</v>
      </c>
      <c r="E3032">
        <f>27.18</f>
        <v>27.18</v>
      </c>
    </row>
    <row r="3033" spans="1:5" x14ac:dyDescent="0.2">
      <c r="A3033" s="1">
        <v>40898</v>
      </c>
      <c r="B3033">
        <f>21.43</f>
        <v>21.43</v>
      </c>
      <c r="C3033">
        <f>30.2552</f>
        <v>30.255199999999999</v>
      </c>
      <c r="D3033">
        <f>22.46</f>
        <v>22.46</v>
      </c>
      <c r="E3033">
        <f>27.63</f>
        <v>27.63</v>
      </c>
    </row>
    <row r="3034" spans="1:5" x14ac:dyDescent="0.2">
      <c r="A3034" s="1">
        <v>40897</v>
      </c>
      <c r="B3034">
        <f>23.22</f>
        <v>23.22</v>
      </c>
      <c r="C3034">
        <f>30.3271</f>
        <v>30.327100000000002</v>
      </c>
      <c r="D3034">
        <f>22.28</f>
        <v>22.28</v>
      </c>
      <c r="E3034">
        <f>27.45</f>
        <v>27.45</v>
      </c>
    </row>
    <row r="3035" spans="1:5" x14ac:dyDescent="0.2">
      <c r="A3035" s="1">
        <v>40896</v>
      </c>
      <c r="B3035">
        <f>24.92</f>
        <v>24.92</v>
      </c>
      <c r="C3035">
        <f>30.9926</f>
        <v>30.992599999999999</v>
      </c>
      <c r="D3035">
        <f>23.91</f>
        <v>23.91</v>
      </c>
      <c r="E3035">
        <f>27.67</f>
        <v>27.67</v>
      </c>
    </row>
    <row r="3036" spans="1:5" x14ac:dyDescent="0.2">
      <c r="A3036" s="1">
        <v>40893</v>
      </c>
      <c r="B3036">
        <f>24.29</f>
        <v>24.29</v>
      </c>
      <c r="C3036">
        <f>31.1426</f>
        <v>31.142600000000002</v>
      </c>
      <c r="D3036">
        <f>23.34</f>
        <v>23.34</v>
      </c>
      <c r="E3036" t="e">
        <f>NA()</f>
        <v>#N/A</v>
      </c>
    </row>
    <row r="3037" spans="1:5" x14ac:dyDescent="0.2">
      <c r="A3037" s="1">
        <v>40892</v>
      </c>
      <c r="B3037">
        <f>25.11</f>
        <v>25.11</v>
      </c>
      <c r="C3037">
        <f>31.424</f>
        <v>31.423999999999999</v>
      </c>
      <c r="D3037">
        <f>23.55</f>
        <v>23.55</v>
      </c>
      <c r="E3037">
        <f>26.99</f>
        <v>26.99</v>
      </c>
    </row>
    <row r="3038" spans="1:5" x14ac:dyDescent="0.2">
      <c r="A3038" s="1">
        <v>40891</v>
      </c>
      <c r="B3038">
        <f>26.04</f>
        <v>26.04</v>
      </c>
      <c r="C3038">
        <f>34.4891</f>
        <v>34.489100000000001</v>
      </c>
      <c r="D3038">
        <f>24.78</f>
        <v>24.78</v>
      </c>
      <c r="E3038">
        <f>27.5</f>
        <v>27.5</v>
      </c>
    </row>
    <row r="3039" spans="1:5" x14ac:dyDescent="0.2">
      <c r="A3039" s="1">
        <v>40890</v>
      </c>
      <c r="B3039">
        <f>25.41</f>
        <v>25.41</v>
      </c>
      <c r="C3039">
        <f>33.6736</f>
        <v>33.6736</v>
      </c>
      <c r="D3039">
        <f>22.99</f>
        <v>22.99</v>
      </c>
      <c r="E3039">
        <f>26.77</f>
        <v>26.77</v>
      </c>
    </row>
    <row r="3040" spans="1:5" x14ac:dyDescent="0.2">
      <c r="A3040" s="1">
        <v>40889</v>
      </c>
      <c r="B3040">
        <f>25.67</f>
        <v>25.67</v>
      </c>
      <c r="C3040">
        <f>36.2503</f>
        <v>36.250300000000003</v>
      </c>
      <c r="D3040">
        <f>25.1</f>
        <v>25.1</v>
      </c>
      <c r="E3040">
        <f>26.51</f>
        <v>26.51</v>
      </c>
    </row>
    <row r="3041" spans="1:5" x14ac:dyDescent="0.2">
      <c r="A3041" s="1">
        <v>40886</v>
      </c>
      <c r="B3041">
        <f>26.38</f>
        <v>26.38</v>
      </c>
      <c r="C3041">
        <f>34.9028</f>
        <v>34.902799999999999</v>
      </c>
      <c r="D3041">
        <f>23.73</f>
        <v>23.73</v>
      </c>
      <c r="E3041">
        <f>25.77</f>
        <v>25.77</v>
      </c>
    </row>
    <row r="3042" spans="1:5" x14ac:dyDescent="0.2">
      <c r="A3042" s="1">
        <v>40885</v>
      </c>
      <c r="B3042">
        <f>30.59</f>
        <v>30.59</v>
      </c>
      <c r="C3042">
        <f>39.3825</f>
        <v>39.3825</v>
      </c>
      <c r="D3042">
        <f>26.64</f>
        <v>26.64</v>
      </c>
      <c r="E3042">
        <f>25.77</f>
        <v>25.77</v>
      </c>
    </row>
    <row r="3043" spans="1:5" x14ac:dyDescent="0.2">
      <c r="A3043" s="1">
        <v>40884</v>
      </c>
      <c r="B3043">
        <f>28.67</f>
        <v>28.67</v>
      </c>
      <c r="C3043">
        <f>37.2166</f>
        <v>37.2166</v>
      </c>
      <c r="D3043">
        <f>25.94</f>
        <v>25.94</v>
      </c>
      <c r="E3043">
        <f>25.52</f>
        <v>25.52</v>
      </c>
    </row>
    <row r="3044" spans="1:5" x14ac:dyDescent="0.2">
      <c r="A3044" s="1">
        <v>40883</v>
      </c>
      <c r="B3044">
        <f>28.13</f>
        <v>28.13</v>
      </c>
      <c r="C3044">
        <f>36.9213</f>
        <v>36.921300000000002</v>
      </c>
      <c r="D3044">
        <f>25.26</f>
        <v>25.26</v>
      </c>
      <c r="E3044">
        <f>25.51</f>
        <v>25.51</v>
      </c>
    </row>
    <row r="3045" spans="1:5" x14ac:dyDescent="0.2">
      <c r="A3045" s="1">
        <v>40882</v>
      </c>
      <c r="B3045">
        <f>27.84</f>
        <v>27.84</v>
      </c>
      <c r="C3045">
        <f>35.9744</f>
        <v>35.974400000000003</v>
      </c>
      <c r="D3045">
        <f>24.62</f>
        <v>24.62</v>
      </c>
      <c r="E3045">
        <f>25.51</f>
        <v>25.51</v>
      </c>
    </row>
    <row r="3046" spans="1:5" x14ac:dyDescent="0.2">
      <c r="A3046" s="1">
        <v>40879</v>
      </c>
      <c r="B3046">
        <f>27.52</f>
        <v>27.52</v>
      </c>
      <c r="C3046">
        <f>35.6881</f>
        <v>35.688099999999999</v>
      </c>
      <c r="D3046">
        <f>24.63</f>
        <v>24.63</v>
      </c>
      <c r="E3046">
        <f>25.78</f>
        <v>25.78</v>
      </c>
    </row>
    <row r="3047" spans="1:5" x14ac:dyDescent="0.2">
      <c r="A3047" s="1">
        <v>40878</v>
      </c>
      <c r="B3047">
        <f>27.41</f>
        <v>27.41</v>
      </c>
      <c r="C3047">
        <f>36.5396</f>
        <v>36.5396</v>
      </c>
      <c r="D3047">
        <f>25.65</f>
        <v>25.65</v>
      </c>
      <c r="E3047">
        <f>25.78</f>
        <v>25.78</v>
      </c>
    </row>
    <row r="3048" spans="1:5" x14ac:dyDescent="0.2">
      <c r="A3048" s="1">
        <v>40877</v>
      </c>
      <c r="B3048">
        <f>27.8</f>
        <v>27.8</v>
      </c>
      <c r="C3048">
        <f>37.0829</f>
        <v>37.082900000000002</v>
      </c>
      <c r="D3048">
        <f>25.78</f>
        <v>25.78</v>
      </c>
      <c r="E3048">
        <f>25.78</f>
        <v>25.78</v>
      </c>
    </row>
    <row r="3049" spans="1:5" x14ac:dyDescent="0.2">
      <c r="A3049" s="1">
        <v>40876</v>
      </c>
      <c r="B3049">
        <f>30.64</f>
        <v>30.64</v>
      </c>
      <c r="C3049">
        <f>38.6637</f>
        <v>38.663699999999999</v>
      </c>
      <c r="D3049">
        <f>28.08</f>
        <v>28.08</v>
      </c>
      <c r="E3049">
        <f>27.53</f>
        <v>27.53</v>
      </c>
    </row>
    <row r="3050" spans="1:5" x14ac:dyDescent="0.2">
      <c r="A3050" s="1">
        <v>40875</v>
      </c>
      <c r="B3050">
        <f>32.13</f>
        <v>32.130000000000003</v>
      </c>
      <c r="C3050">
        <f>38.9704</f>
        <v>38.970399999999998</v>
      </c>
      <c r="D3050" t="e">
        <f>NA()</f>
        <v>#N/A</v>
      </c>
      <c r="E3050">
        <f>27.04</f>
        <v>27.04</v>
      </c>
    </row>
    <row r="3051" spans="1:5" x14ac:dyDescent="0.2">
      <c r="A3051" s="1">
        <v>40872</v>
      </c>
      <c r="B3051">
        <f>34.47</f>
        <v>34.47</v>
      </c>
      <c r="C3051">
        <f>40.8202</f>
        <v>40.8202</v>
      </c>
      <c r="D3051">
        <f>30.57</f>
        <v>30.57</v>
      </c>
      <c r="E3051">
        <f>28.05</f>
        <v>28.05</v>
      </c>
    </row>
    <row r="3052" spans="1:5" x14ac:dyDescent="0.2">
      <c r="A3052" s="1">
        <v>40871</v>
      </c>
      <c r="B3052" t="e">
        <f>NA()</f>
        <v>#N/A</v>
      </c>
      <c r="C3052">
        <f>40.3246</f>
        <v>40.324599999999997</v>
      </c>
      <c r="D3052">
        <f>30.14</f>
        <v>30.14</v>
      </c>
      <c r="E3052">
        <f>28.06</f>
        <v>28.06</v>
      </c>
    </row>
    <row r="3053" spans="1:5" x14ac:dyDescent="0.2">
      <c r="A3053" s="1">
        <v>40870</v>
      </c>
      <c r="B3053">
        <f>33.98</f>
        <v>33.979999999999997</v>
      </c>
      <c r="C3053">
        <f>40.9728</f>
        <v>40.972799999999999</v>
      </c>
      <c r="D3053">
        <f>30.39</f>
        <v>30.39</v>
      </c>
      <c r="E3053">
        <f>28.56</f>
        <v>28.56</v>
      </c>
    </row>
    <row r="3054" spans="1:5" x14ac:dyDescent="0.2">
      <c r="A3054" s="1">
        <v>40869</v>
      </c>
      <c r="B3054">
        <f>31.97</f>
        <v>31.97</v>
      </c>
      <c r="C3054">
        <f>39.5623</f>
        <v>39.5623</v>
      </c>
      <c r="D3054">
        <f>29.86</f>
        <v>29.86</v>
      </c>
      <c r="E3054">
        <f>27.83</f>
        <v>27.83</v>
      </c>
    </row>
    <row r="3055" spans="1:5" x14ac:dyDescent="0.2">
      <c r="A3055" s="1">
        <v>40868</v>
      </c>
      <c r="B3055">
        <f>32.91</f>
        <v>32.909999999999997</v>
      </c>
      <c r="C3055">
        <f>41.2081</f>
        <v>41.208100000000002</v>
      </c>
      <c r="D3055">
        <f>31.91</f>
        <v>31.91</v>
      </c>
      <c r="E3055">
        <f>28.78</f>
        <v>28.78</v>
      </c>
    </row>
    <row r="3056" spans="1:5" x14ac:dyDescent="0.2">
      <c r="A3056" s="1">
        <v>40865</v>
      </c>
      <c r="B3056">
        <f>32</f>
        <v>32</v>
      </c>
      <c r="C3056">
        <f>38.2997</f>
        <v>38.299700000000001</v>
      </c>
      <c r="D3056">
        <f>29.35</f>
        <v>29.35</v>
      </c>
      <c r="E3056">
        <f>27.06</f>
        <v>27.06</v>
      </c>
    </row>
    <row r="3057" spans="1:5" x14ac:dyDescent="0.2">
      <c r="A3057" s="1">
        <v>40864</v>
      </c>
      <c r="B3057">
        <f>34.51</f>
        <v>34.51</v>
      </c>
      <c r="C3057">
        <f>39.0576</f>
        <v>39.057600000000001</v>
      </c>
      <c r="D3057">
        <f>30.32</f>
        <v>30.32</v>
      </c>
      <c r="E3057">
        <f>26.28</f>
        <v>26.28</v>
      </c>
    </row>
    <row r="3058" spans="1:5" x14ac:dyDescent="0.2">
      <c r="A3058" s="1">
        <v>40863</v>
      </c>
      <c r="B3058">
        <f>33.51</f>
        <v>33.51</v>
      </c>
      <c r="C3058">
        <f>38.0763</f>
        <v>38.076300000000003</v>
      </c>
      <c r="D3058">
        <f>27.37</f>
        <v>27.37</v>
      </c>
      <c r="E3058">
        <f>25.78</f>
        <v>25.78</v>
      </c>
    </row>
    <row r="3059" spans="1:5" x14ac:dyDescent="0.2">
      <c r="A3059" s="1">
        <v>40862</v>
      </c>
      <c r="B3059">
        <f>31.22</f>
        <v>31.22</v>
      </c>
      <c r="C3059">
        <f>39.6113</f>
        <v>39.6113</v>
      </c>
      <c r="D3059">
        <f>28.74</f>
        <v>28.74</v>
      </c>
      <c r="E3059">
        <f>25.78</f>
        <v>25.78</v>
      </c>
    </row>
    <row r="3060" spans="1:5" x14ac:dyDescent="0.2">
      <c r="A3060" s="1">
        <v>40861</v>
      </c>
      <c r="B3060">
        <f>31.13</f>
        <v>31.13</v>
      </c>
      <c r="C3060">
        <f>40.1517</f>
        <v>40.151699999999998</v>
      </c>
      <c r="D3060">
        <f>29.35</f>
        <v>29.35</v>
      </c>
      <c r="E3060">
        <f>26.28</f>
        <v>26.28</v>
      </c>
    </row>
    <row r="3061" spans="1:5" x14ac:dyDescent="0.2">
      <c r="A3061" s="1">
        <v>40858</v>
      </c>
      <c r="B3061">
        <f>30.04</f>
        <v>30.04</v>
      </c>
      <c r="C3061">
        <f>39.5323</f>
        <v>39.532299999999999</v>
      </c>
      <c r="D3061">
        <f>29.62</f>
        <v>29.62</v>
      </c>
      <c r="E3061">
        <f>26.55</f>
        <v>26.55</v>
      </c>
    </row>
    <row r="3062" spans="1:5" x14ac:dyDescent="0.2">
      <c r="A3062" s="1">
        <v>40857</v>
      </c>
      <c r="B3062">
        <f>32.81</f>
        <v>32.81</v>
      </c>
      <c r="C3062">
        <f>43.7184</f>
        <v>43.718400000000003</v>
      </c>
      <c r="D3062">
        <f>34.17</f>
        <v>34.17</v>
      </c>
      <c r="E3062">
        <f>26.56</f>
        <v>26.56</v>
      </c>
    </row>
    <row r="3063" spans="1:5" x14ac:dyDescent="0.2">
      <c r="A3063" s="1">
        <v>40856</v>
      </c>
      <c r="B3063">
        <f>36.16</f>
        <v>36.159999999999997</v>
      </c>
      <c r="C3063">
        <f>41.7228</f>
        <v>41.722799999999999</v>
      </c>
      <c r="D3063">
        <f>31.84</f>
        <v>31.84</v>
      </c>
      <c r="E3063">
        <f>26.84</f>
        <v>26.84</v>
      </c>
    </row>
    <row r="3064" spans="1:5" x14ac:dyDescent="0.2">
      <c r="A3064" s="1">
        <v>40855</v>
      </c>
      <c r="B3064">
        <f>27.48</f>
        <v>27.48</v>
      </c>
      <c r="C3064">
        <f>39.6689</f>
        <v>39.668900000000001</v>
      </c>
      <c r="D3064">
        <f>27.8</f>
        <v>27.8</v>
      </c>
      <c r="E3064">
        <f>25.6</f>
        <v>25.6</v>
      </c>
    </row>
    <row r="3065" spans="1:5" x14ac:dyDescent="0.2">
      <c r="A3065" s="1">
        <v>40854</v>
      </c>
      <c r="B3065">
        <f>29.85</f>
        <v>29.85</v>
      </c>
      <c r="C3065">
        <f>42.2205</f>
        <v>42.220500000000001</v>
      </c>
      <c r="D3065">
        <f>29.56</f>
        <v>29.56</v>
      </c>
      <c r="E3065">
        <f>26.07</f>
        <v>26.07</v>
      </c>
    </row>
    <row r="3066" spans="1:5" x14ac:dyDescent="0.2">
      <c r="A3066" s="1">
        <v>40851</v>
      </c>
      <c r="B3066">
        <f>30.16</f>
        <v>30.16</v>
      </c>
      <c r="C3066">
        <f>41.4944</f>
        <v>41.494399999999999</v>
      </c>
      <c r="D3066">
        <f>29.5</f>
        <v>29.5</v>
      </c>
      <c r="E3066">
        <f>26.88</f>
        <v>26.88</v>
      </c>
    </row>
    <row r="3067" spans="1:5" x14ac:dyDescent="0.2">
      <c r="A3067" s="1">
        <v>40850</v>
      </c>
      <c r="B3067">
        <f>30.5</f>
        <v>30.5</v>
      </c>
      <c r="C3067">
        <f>40.054</f>
        <v>40.054000000000002</v>
      </c>
      <c r="D3067">
        <f>30.17</f>
        <v>30.17</v>
      </c>
      <c r="E3067">
        <f>26.39</f>
        <v>26.39</v>
      </c>
    </row>
    <row r="3068" spans="1:5" x14ac:dyDescent="0.2">
      <c r="A3068" s="1">
        <v>40849</v>
      </c>
      <c r="B3068">
        <f>32.74</f>
        <v>32.74</v>
      </c>
      <c r="C3068">
        <f>42.1425</f>
        <v>42.142499999999998</v>
      </c>
      <c r="D3068">
        <f>31.53</f>
        <v>31.53</v>
      </c>
      <c r="E3068">
        <f>26.4</f>
        <v>26.4</v>
      </c>
    </row>
    <row r="3069" spans="1:5" x14ac:dyDescent="0.2">
      <c r="A3069" s="1">
        <v>40848</v>
      </c>
      <c r="B3069">
        <f>34.77</f>
        <v>34.770000000000003</v>
      </c>
      <c r="C3069">
        <f>42.9562</f>
        <v>42.956200000000003</v>
      </c>
      <c r="D3069">
        <f>32.8</f>
        <v>32.799999999999997</v>
      </c>
      <c r="E3069">
        <f>27.81</f>
        <v>27.81</v>
      </c>
    </row>
    <row r="3070" spans="1:5" x14ac:dyDescent="0.2">
      <c r="A3070" s="1">
        <v>40847</v>
      </c>
      <c r="B3070">
        <f>29.96</f>
        <v>29.96</v>
      </c>
      <c r="C3070">
        <f>35.1198</f>
        <v>35.119799999999998</v>
      </c>
      <c r="D3070">
        <f>26.01</f>
        <v>26.01</v>
      </c>
      <c r="E3070">
        <f>26.01</f>
        <v>26.01</v>
      </c>
    </row>
    <row r="3071" spans="1:5" x14ac:dyDescent="0.2">
      <c r="A3071" s="1">
        <v>40844</v>
      </c>
      <c r="B3071">
        <f>24.53</f>
        <v>24.53</v>
      </c>
      <c r="C3071">
        <f>31.2429</f>
        <v>31.242899999999999</v>
      </c>
      <c r="D3071">
        <f>22.84</f>
        <v>22.84</v>
      </c>
      <c r="E3071">
        <f>25.18</f>
        <v>25.18</v>
      </c>
    </row>
    <row r="3072" spans="1:5" x14ac:dyDescent="0.2">
      <c r="A3072" s="1">
        <v>40843</v>
      </c>
      <c r="B3072">
        <f>25.46</f>
        <v>25.46</v>
      </c>
      <c r="C3072">
        <f>30.3371</f>
        <v>30.3371</v>
      </c>
      <c r="D3072">
        <f>22.42</f>
        <v>22.42</v>
      </c>
      <c r="E3072">
        <f>26.89</f>
        <v>26.89</v>
      </c>
    </row>
    <row r="3073" spans="1:5" x14ac:dyDescent="0.2">
      <c r="A3073" s="1">
        <v>40842</v>
      </c>
      <c r="B3073">
        <f>29.86</f>
        <v>29.86</v>
      </c>
      <c r="C3073">
        <f>37.7721</f>
        <v>37.772100000000002</v>
      </c>
      <c r="D3073">
        <f>27.73</f>
        <v>27.73</v>
      </c>
      <c r="E3073">
        <f>28.89</f>
        <v>28.89</v>
      </c>
    </row>
    <row r="3074" spans="1:5" x14ac:dyDescent="0.2">
      <c r="A3074" s="1">
        <v>40841</v>
      </c>
      <c r="B3074">
        <f>32.22</f>
        <v>32.22</v>
      </c>
      <c r="C3074">
        <f>37.8419</f>
        <v>37.841900000000003</v>
      </c>
      <c r="D3074">
        <f>28.07</f>
        <v>28.07</v>
      </c>
      <c r="E3074">
        <f>28.78</f>
        <v>28.78</v>
      </c>
    </row>
    <row r="3075" spans="1:5" x14ac:dyDescent="0.2">
      <c r="A3075" s="1">
        <v>40840</v>
      </c>
      <c r="B3075">
        <f>29.26</f>
        <v>29.26</v>
      </c>
      <c r="C3075">
        <f>37.3083</f>
        <v>37.308300000000003</v>
      </c>
      <c r="D3075">
        <f>27.81</f>
        <v>27.81</v>
      </c>
      <c r="E3075">
        <f>28.72</f>
        <v>28.72</v>
      </c>
    </row>
    <row r="3076" spans="1:5" x14ac:dyDescent="0.2">
      <c r="A3076" s="1">
        <v>40837</v>
      </c>
      <c r="B3076">
        <f>31.32</f>
        <v>31.32</v>
      </c>
      <c r="C3076">
        <f>40.7402</f>
        <v>40.740200000000002</v>
      </c>
      <c r="D3076">
        <f>30.28</f>
        <v>30.28</v>
      </c>
      <c r="E3076">
        <f>28.92</f>
        <v>28.92</v>
      </c>
    </row>
    <row r="3077" spans="1:5" x14ac:dyDescent="0.2">
      <c r="A3077" s="1">
        <v>40836</v>
      </c>
      <c r="B3077">
        <f>34.78</f>
        <v>34.78</v>
      </c>
      <c r="C3077">
        <f>44.6144</f>
        <v>44.614400000000003</v>
      </c>
      <c r="D3077">
        <f>34.84</f>
        <v>34.840000000000003</v>
      </c>
      <c r="E3077">
        <f>30.48</f>
        <v>30.48</v>
      </c>
    </row>
    <row r="3078" spans="1:5" x14ac:dyDescent="0.2">
      <c r="A3078" s="1">
        <v>40835</v>
      </c>
      <c r="B3078">
        <f>34.44</f>
        <v>34.44</v>
      </c>
      <c r="C3078">
        <f>39.8925</f>
        <v>39.892499999999998</v>
      </c>
      <c r="D3078">
        <f>28.23</f>
        <v>28.23</v>
      </c>
      <c r="E3078">
        <f>29.93</f>
        <v>29.93</v>
      </c>
    </row>
    <row r="3079" spans="1:5" x14ac:dyDescent="0.2">
      <c r="A3079" s="1">
        <v>40834</v>
      </c>
      <c r="B3079">
        <f>31.56</f>
        <v>31.56</v>
      </c>
      <c r="C3079">
        <f>39.665</f>
        <v>39.664999999999999</v>
      </c>
      <c r="D3079" t="e">
        <f>NA()</f>
        <v>#N/A</v>
      </c>
      <c r="E3079">
        <f>30.32</f>
        <v>30.32</v>
      </c>
    </row>
    <row r="3080" spans="1:5" x14ac:dyDescent="0.2">
      <c r="A3080" s="1">
        <v>40833</v>
      </c>
      <c r="B3080">
        <f>33.39</f>
        <v>33.39</v>
      </c>
      <c r="C3080">
        <f>38.8089</f>
        <v>38.808900000000001</v>
      </c>
      <c r="D3080">
        <f>29.44</f>
        <v>29.44</v>
      </c>
      <c r="E3080">
        <f>30.25</f>
        <v>30.25</v>
      </c>
    </row>
    <row r="3081" spans="1:5" x14ac:dyDescent="0.2">
      <c r="A3081" s="1">
        <v>40830</v>
      </c>
      <c r="B3081">
        <f>28.24</f>
        <v>28.24</v>
      </c>
      <c r="C3081">
        <f>34.9396</f>
        <v>34.939599999999999</v>
      </c>
      <c r="D3081">
        <f>27.72</f>
        <v>27.72</v>
      </c>
      <c r="E3081">
        <f>30.46</f>
        <v>30.46</v>
      </c>
    </row>
    <row r="3082" spans="1:5" x14ac:dyDescent="0.2">
      <c r="A3082" s="1">
        <v>40829</v>
      </c>
      <c r="B3082">
        <f>30.7</f>
        <v>30.7</v>
      </c>
      <c r="C3082">
        <f>38.7483</f>
        <v>38.7483</v>
      </c>
      <c r="D3082">
        <f>31.01</f>
        <v>31.01</v>
      </c>
      <c r="E3082">
        <f>30.95</f>
        <v>30.95</v>
      </c>
    </row>
    <row r="3083" spans="1:5" x14ac:dyDescent="0.2">
      <c r="A3083" s="1">
        <v>40828</v>
      </c>
      <c r="B3083">
        <f>31.26</f>
        <v>31.26</v>
      </c>
      <c r="C3083">
        <f>35.7679</f>
        <v>35.767899999999997</v>
      </c>
      <c r="D3083">
        <f>29.18</f>
        <v>29.18</v>
      </c>
      <c r="E3083">
        <f>30.49</f>
        <v>30.49</v>
      </c>
    </row>
    <row r="3084" spans="1:5" x14ac:dyDescent="0.2">
      <c r="A3084" s="1">
        <v>40827</v>
      </c>
      <c r="B3084">
        <f>32.86</f>
        <v>32.86</v>
      </c>
      <c r="C3084">
        <f>38.1751</f>
        <v>38.1751</v>
      </c>
      <c r="D3084">
        <f>30.78</f>
        <v>30.78</v>
      </c>
      <c r="E3084">
        <f>31.37</f>
        <v>31.37</v>
      </c>
    </row>
    <row r="3085" spans="1:5" x14ac:dyDescent="0.2">
      <c r="A3085" s="1">
        <v>40826</v>
      </c>
      <c r="B3085">
        <f>33.02</f>
        <v>33.020000000000003</v>
      </c>
      <c r="C3085">
        <f>37.9148</f>
        <v>37.9148</v>
      </c>
      <c r="D3085">
        <f>29.86</f>
        <v>29.86</v>
      </c>
      <c r="E3085">
        <f>31.92</f>
        <v>31.92</v>
      </c>
    </row>
    <row r="3086" spans="1:5" x14ac:dyDescent="0.2">
      <c r="A3086" s="1">
        <v>40823</v>
      </c>
      <c r="B3086">
        <f>36.2</f>
        <v>36.200000000000003</v>
      </c>
      <c r="C3086">
        <f>40.5639</f>
        <v>40.563899999999997</v>
      </c>
      <c r="D3086">
        <f>32.67</f>
        <v>32.67</v>
      </c>
      <c r="E3086">
        <f>32.92</f>
        <v>32.92</v>
      </c>
    </row>
    <row r="3087" spans="1:5" x14ac:dyDescent="0.2">
      <c r="A3087" s="1">
        <v>40822</v>
      </c>
      <c r="B3087">
        <f>36.27</f>
        <v>36.270000000000003</v>
      </c>
      <c r="C3087">
        <f>42.6277</f>
        <v>42.627699999999997</v>
      </c>
      <c r="D3087">
        <f>33.91</f>
        <v>33.909999999999997</v>
      </c>
      <c r="E3087">
        <f>33.32</f>
        <v>33.32</v>
      </c>
    </row>
    <row r="3088" spans="1:5" x14ac:dyDescent="0.2">
      <c r="A3088" s="1">
        <v>40821</v>
      </c>
      <c r="B3088">
        <f>37.81</f>
        <v>37.81</v>
      </c>
      <c r="C3088">
        <f>45.597</f>
        <v>45.597000000000001</v>
      </c>
      <c r="D3088">
        <f>37.69</f>
        <v>37.69</v>
      </c>
      <c r="E3088">
        <f>34.06</f>
        <v>34.06</v>
      </c>
    </row>
    <row r="3089" spans="1:5" x14ac:dyDescent="0.2">
      <c r="A3089" s="1">
        <v>40820</v>
      </c>
      <c r="B3089">
        <f>40.82</f>
        <v>40.82</v>
      </c>
      <c r="C3089">
        <f>50.4407</f>
        <v>50.4407</v>
      </c>
      <c r="D3089">
        <f>41.53</f>
        <v>41.53</v>
      </c>
      <c r="E3089">
        <f>34.08</f>
        <v>34.08</v>
      </c>
    </row>
    <row r="3090" spans="1:5" x14ac:dyDescent="0.2">
      <c r="A3090" s="1">
        <v>40819</v>
      </c>
      <c r="B3090">
        <f>45.45</f>
        <v>45.45</v>
      </c>
      <c r="C3090">
        <f>48.6534</f>
        <v>48.653399999999998</v>
      </c>
      <c r="D3090">
        <f>40.51</f>
        <v>40.51</v>
      </c>
      <c r="E3090">
        <f>32.21</f>
        <v>32.21</v>
      </c>
    </row>
    <row r="3091" spans="1:5" x14ac:dyDescent="0.2">
      <c r="A3091" s="1">
        <v>40816</v>
      </c>
      <c r="B3091">
        <f>42.96</f>
        <v>42.96</v>
      </c>
      <c r="C3091">
        <f>46.6796</f>
        <v>46.679600000000001</v>
      </c>
      <c r="D3091" t="e">
        <f>NA()</f>
        <v>#N/A</v>
      </c>
      <c r="E3091">
        <f>32.65</f>
        <v>32.65</v>
      </c>
    </row>
    <row r="3092" spans="1:5" x14ac:dyDescent="0.2">
      <c r="A3092" s="1">
        <v>40815</v>
      </c>
      <c r="B3092">
        <f>38.84</f>
        <v>38.840000000000003</v>
      </c>
      <c r="C3092">
        <f>44.442</f>
        <v>44.442</v>
      </c>
      <c r="D3092" t="e">
        <f>NA()</f>
        <v>#N/A</v>
      </c>
      <c r="E3092">
        <f>31.19</f>
        <v>31.19</v>
      </c>
    </row>
    <row r="3093" spans="1:5" x14ac:dyDescent="0.2">
      <c r="A3093" s="1">
        <v>40814</v>
      </c>
      <c r="B3093">
        <f>41.08</f>
        <v>41.08</v>
      </c>
      <c r="C3093">
        <f>46.3864</f>
        <v>46.386400000000002</v>
      </c>
      <c r="D3093">
        <f>36.26</f>
        <v>36.26</v>
      </c>
      <c r="E3093">
        <f>30.02</f>
        <v>30.02</v>
      </c>
    </row>
    <row r="3094" spans="1:5" x14ac:dyDescent="0.2">
      <c r="A3094" s="1">
        <v>40813</v>
      </c>
      <c r="B3094">
        <f>37.71</f>
        <v>37.71</v>
      </c>
      <c r="C3094">
        <f>45.5196</f>
        <v>45.519599999999997</v>
      </c>
      <c r="D3094">
        <f>35.2</f>
        <v>35.200000000000003</v>
      </c>
      <c r="E3094">
        <f>29.38</f>
        <v>29.38</v>
      </c>
    </row>
    <row r="3095" spans="1:5" x14ac:dyDescent="0.2">
      <c r="A3095" s="1">
        <v>40812</v>
      </c>
      <c r="B3095">
        <f>39.02</f>
        <v>39.020000000000003</v>
      </c>
      <c r="C3095">
        <f>49.2866</f>
        <v>49.2866</v>
      </c>
      <c r="D3095">
        <f>39.38</f>
        <v>39.380000000000003</v>
      </c>
      <c r="E3095">
        <f>30.71</f>
        <v>30.71</v>
      </c>
    </row>
    <row r="3096" spans="1:5" x14ac:dyDescent="0.2">
      <c r="A3096" s="1">
        <v>40809</v>
      </c>
      <c r="B3096">
        <f>41.25</f>
        <v>41.25</v>
      </c>
      <c r="C3096">
        <f>48.5408</f>
        <v>48.540799999999997</v>
      </c>
      <c r="D3096">
        <f>38.7</f>
        <v>38.700000000000003</v>
      </c>
      <c r="E3096">
        <f>30.26</f>
        <v>30.26</v>
      </c>
    </row>
    <row r="3097" spans="1:5" x14ac:dyDescent="0.2">
      <c r="A3097" s="1">
        <v>40808</v>
      </c>
      <c r="B3097">
        <f>41.35</f>
        <v>41.35</v>
      </c>
      <c r="C3097">
        <f>47.781</f>
        <v>47.780999999999999</v>
      </c>
      <c r="D3097">
        <f>39.26</f>
        <v>39.26</v>
      </c>
      <c r="E3097">
        <f>29.94</f>
        <v>29.94</v>
      </c>
    </row>
    <row r="3098" spans="1:5" x14ac:dyDescent="0.2">
      <c r="A3098" s="1">
        <v>40807</v>
      </c>
      <c r="B3098">
        <f>37.32</f>
        <v>37.32</v>
      </c>
      <c r="C3098">
        <f>44.1387</f>
        <v>44.1387</v>
      </c>
      <c r="D3098">
        <f>33.67</f>
        <v>33.67</v>
      </c>
      <c r="E3098">
        <f>28.29</f>
        <v>28.29</v>
      </c>
    </row>
    <row r="3099" spans="1:5" x14ac:dyDescent="0.2">
      <c r="A3099" s="1">
        <v>40806</v>
      </c>
      <c r="B3099">
        <f>32.86</f>
        <v>32.86</v>
      </c>
      <c r="C3099">
        <f>42.7855</f>
        <v>42.785499999999999</v>
      </c>
      <c r="D3099">
        <f>31.77</f>
        <v>31.77</v>
      </c>
      <c r="E3099">
        <f>29.89</f>
        <v>29.89</v>
      </c>
    </row>
    <row r="3100" spans="1:5" x14ac:dyDescent="0.2">
      <c r="A3100" s="1">
        <v>40805</v>
      </c>
      <c r="B3100">
        <f>32.73</f>
        <v>32.729999999999997</v>
      </c>
      <c r="C3100">
        <f>45.6132</f>
        <v>45.613199999999999</v>
      </c>
      <c r="D3100">
        <f>34.56</f>
        <v>34.56</v>
      </c>
      <c r="E3100">
        <f>30.65</f>
        <v>30.65</v>
      </c>
    </row>
    <row r="3101" spans="1:5" x14ac:dyDescent="0.2">
      <c r="A3101" s="1">
        <v>40802</v>
      </c>
      <c r="B3101">
        <f>30.98</f>
        <v>30.98</v>
      </c>
      <c r="C3101">
        <f>42.963</f>
        <v>42.963000000000001</v>
      </c>
      <c r="D3101">
        <f>31.4</f>
        <v>31.4</v>
      </c>
      <c r="E3101">
        <f>30.71</f>
        <v>30.71</v>
      </c>
    </row>
    <row r="3102" spans="1:5" x14ac:dyDescent="0.2">
      <c r="A3102" s="1">
        <v>40801</v>
      </c>
      <c r="B3102">
        <f>31.97</f>
        <v>31.97</v>
      </c>
      <c r="C3102">
        <f>42.2886</f>
        <v>42.288600000000002</v>
      </c>
      <c r="D3102">
        <f>32.49</f>
        <v>32.49</v>
      </c>
      <c r="E3102">
        <f>31.18</f>
        <v>31.18</v>
      </c>
    </row>
    <row r="3103" spans="1:5" x14ac:dyDescent="0.2">
      <c r="A3103" s="1">
        <v>40800</v>
      </c>
      <c r="B3103">
        <f>34.6</f>
        <v>34.6</v>
      </c>
      <c r="C3103">
        <f>46.7296</f>
        <v>46.729599999999998</v>
      </c>
      <c r="D3103">
        <f>36.57</f>
        <v>36.57</v>
      </c>
      <c r="E3103">
        <f>31.96</f>
        <v>31.96</v>
      </c>
    </row>
    <row r="3104" spans="1:5" x14ac:dyDescent="0.2">
      <c r="A3104" s="1">
        <v>40799</v>
      </c>
      <c r="B3104">
        <f>36.91</f>
        <v>36.909999999999997</v>
      </c>
      <c r="C3104">
        <f>49.1151</f>
        <v>49.115099999999998</v>
      </c>
      <c r="D3104">
        <f>38.58</f>
        <v>38.58</v>
      </c>
      <c r="E3104">
        <f>31.51</f>
        <v>31.51</v>
      </c>
    </row>
    <row r="3105" spans="1:5" x14ac:dyDescent="0.2">
      <c r="A3105" s="1">
        <v>40798</v>
      </c>
      <c r="B3105">
        <f>38.59</f>
        <v>38.590000000000003</v>
      </c>
      <c r="C3105">
        <f>53.5472</f>
        <v>53.547199999999997</v>
      </c>
      <c r="D3105">
        <f>41.94</f>
        <v>41.94</v>
      </c>
      <c r="E3105">
        <f>30.09</f>
        <v>30.09</v>
      </c>
    </row>
    <row r="3106" spans="1:5" x14ac:dyDescent="0.2">
      <c r="A3106" s="1">
        <v>40795</v>
      </c>
      <c r="B3106">
        <f>38.52</f>
        <v>38.520000000000003</v>
      </c>
      <c r="C3106">
        <f>49.7943</f>
        <v>49.7943</v>
      </c>
      <c r="D3106">
        <f>38.37</f>
        <v>38.369999999999997</v>
      </c>
      <c r="E3106">
        <f>29.36</f>
        <v>29.36</v>
      </c>
    </row>
    <row r="3107" spans="1:5" x14ac:dyDescent="0.2">
      <c r="A3107" s="1">
        <v>40794</v>
      </c>
      <c r="B3107">
        <f>34.32</f>
        <v>34.32</v>
      </c>
      <c r="C3107">
        <f>41.6299</f>
        <v>41.629899999999999</v>
      </c>
      <c r="D3107">
        <f>32.82</f>
        <v>32.82</v>
      </c>
      <c r="E3107">
        <f>27.38</f>
        <v>27.38</v>
      </c>
    </row>
    <row r="3108" spans="1:5" x14ac:dyDescent="0.2">
      <c r="A3108" s="1">
        <v>40793</v>
      </c>
      <c r="B3108">
        <f>33.38</f>
        <v>33.380000000000003</v>
      </c>
      <c r="C3108">
        <f>43.4696</f>
        <v>43.4696</v>
      </c>
      <c r="D3108">
        <f>34.34</f>
        <v>34.340000000000003</v>
      </c>
      <c r="E3108">
        <f>27.89</f>
        <v>27.89</v>
      </c>
    </row>
    <row r="3109" spans="1:5" x14ac:dyDescent="0.2">
      <c r="A3109" s="1">
        <v>40792</v>
      </c>
      <c r="B3109">
        <f>37</f>
        <v>37</v>
      </c>
      <c r="C3109">
        <f>47.8677</f>
        <v>47.867699999999999</v>
      </c>
      <c r="D3109">
        <f>37.65</f>
        <v>37.65</v>
      </c>
      <c r="E3109">
        <f>29.37</f>
        <v>29.37</v>
      </c>
    </row>
    <row r="3110" spans="1:5" x14ac:dyDescent="0.2">
      <c r="A3110" s="1">
        <v>40791</v>
      </c>
      <c r="B3110" t="e">
        <f>NA()</f>
        <v>#N/A</v>
      </c>
      <c r="C3110">
        <f>46.8414</f>
        <v>46.8414</v>
      </c>
      <c r="D3110">
        <f>38.04</f>
        <v>38.04</v>
      </c>
      <c r="E3110">
        <f>28.88</f>
        <v>28.88</v>
      </c>
    </row>
    <row r="3111" spans="1:5" x14ac:dyDescent="0.2">
      <c r="A3111" s="1">
        <v>40788</v>
      </c>
      <c r="B3111">
        <f>33.92</f>
        <v>33.92</v>
      </c>
      <c r="C3111">
        <f>40.0959</f>
        <v>40.0959</v>
      </c>
      <c r="D3111">
        <f>32.31</f>
        <v>32.31</v>
      </c>
      <c r="E3111">
        <f>28.16</f>
        <v>28.16</v>
      </c>
    </row>
    <row r="3112" spans="1:5" x14ac:dyDescent="0.2">
      <c r="A3112" s="1">
        <v>40787</v>
      </c>
      <c r="B3112">
        <f>31.82</f>
        <v>31.82</v>
      </c>
      <c r="C3112">
        <f>36.5683</f>
        <v>36.568300000000001</v>
      </c>
      <c r="D3112">
        <f>29.31</f>
        <v>29.31</v>
      </c>
      <c r="E3112">
        <f>27.41</f>
        <v>27.41</v>
      </c>
    </row>
    <row r="3113" spans="1:5" x14ac:dyDescent="0.2">
      <c r="A3113" s="1">
        <v>40786</v>
      </c>
      <c r="B3113">
        <f>31.62</f>
        <v>31.62</v>
      </c>
      <c r="C3113">
        <f>35.6495</f>
        <v>35.649500000000003</v>
      </c>
      <c r="D3113">
        <f>28.59</f>
        <v>28.59</v>
      </c>
      <c r="E3113">
        <f>27.42</f>
        <v>27.42</v>
      </c>
    </row>
    <row r="3114" spans="1:5" x14ac:dyDescent="0.2">
      <c r="A3114" s="1">
        <v>40785</v>
      </c>
      <c r="B3114">
        <f>32.89</f>
        <v>32.89</v>
      </c>
      <c r="C3114">
        <f>38.1572</f>
        <v>38.157200000000003</v>
      </c>
      <c r="D3114">
        <f>31.28</f>
        <v>31.28</v>
      </c>
      <c r="E3114">
        <f>28.18</f>
        <v>28.18</v>
      </c>
    </row>
    <row r="3115" spans="1:5" x14ac:dyDescent="0.2">
      <c r="A3115" s="1">
        <v>40784</v>
      </c>
      <c r="B3115">
        <f>32.28</f>
        <v>32.28</v>
      </c>
      <c r="C3115">
        <f>39.2544</f>
        <v>39.254399999999997</v>
      </c>
      <c r="D3115" t="e">
        <f>NA()</f>
        <v>#N/A</v>
      </c>
      <c r="E3115">
        <f>28.19</f>
        <v>28.19</v>
      </c>
    </row>
    <row r="3116" spans="1:5" x14ac:dyDescent="0.2">
      <c r="A3116" s="1">
        <v>40781</v>
      </c>
      <c r="B3116">
        <f>35.59</f>
        <v>35.590000000000003</v>
      </c>
      <c r="C3116">
        <f>43.5524</f>
        <v>43.552399999999999</v>
      </c>
      <c r="D3116">
        <f>36.32</f>
        <v>36.32</v>
      </c>
      <c r="E3116">
        <f>29.47</f>
        <v>29.47</v>
      </c>
    </row>
    <row r="3117" spans="1:5" x14ac:dyDescent="0.2">
      <c r="A3117" s="1">
        <v>40780</v>
      </c>
      <c r="B3117">
        <f>39.76</f>
        <v>39.76</v>
      </c>
      <c r="C3117">
        <f>44.3803</f>
        <v>44.380299999999998</v>
      </c>
      <c r="D3117">
        <f>37.19</f>
        <v>37.19</v>
      </c>
      <c r="E3117">
        <f>29.49</f>
        <v>29.49</v>
      </c>
    </row>
    <row r="3118" spans="1:5" x14ac:dyDescent="0.2">
      <c r="A3118" s="1">
        <v>40779</v>
      </c>
      <c r="B3118">
        <f>35.9</f>
        <v>35.9</v>
      </c>
      <c r="C3118">
        <f>42.1282</f>
        <v>42.1282</v>
      </c>
      <c r="D3118">
        <f>34.86</f>
        <v>34.86</v>
      </c>
      <c r="E3118">
        <f>29.14</f>
        <v>29.14</v>
      </c>
    </row>
    <row r="3119" spans="1:5" x14ac:dyDescent="0.2">
      <c r="A3119" s="1">
        <v>40778</v>
      </c>
      <c r="B3119">
        <f>36.27</f>
        <v>36.270000000000003</v>
      </c>
      <c r="C3119">
        <f>44.353</f>
        <v>44.353000000000002</v>
      </c>
      <c r="D3119">
        <f>37.83</f>
        <v>37.83</v>
      </c>
      <c r="E3119">
        <f>29.66</f>
        <v>29.66</v>
      </c>
    </row>
    <row r="3120" spans="1:5" x14ac:dyDescent="0.2">
      <c r="A3120" s="1">
        <v>40777</v>
      </c>
      <c r="B3120">
        <f>42.44</f>
        <v>42.44</v>
      </c>
      <c r="C3120">
        <f>46.5895</f>
        <v>46.589500000000001</v>
      </c>
      <c r="D3120">
        <f>38.85</f>
        <v>38.85</v>
      </c>
      <c r="E3120">
        <f>29.41</f>
        <v>29.41</v>
      </c>
    </row>
    <row r="3121" spans="1:5" x14ac:dyDescent="0.2">
      <c r="A3121" s="1">
        <v>40774</v>
      </c>
      <c r="B3121">
        <f>43.05</f>
        <v>43.05</v>
      </c>
      <c r="C3121">
        <f>47.306</f>
        <v>47.305999999999997</v>
      </c>
      <c r="D3121">
        <f>43.41</f>
        <v>43.41</v>
      </c>
      <c r="E3121">
        <f>29.7</f>
        <v>29.7</v>
      </c>
    </row>
    <row r="3122" spans="1:5" x14ac:dyDescent="0.2">
      <c r="A3122" s="1">
        <v>40773</v>
      </c>
      <c r="B3122">
        <f>42.67</f>
        <v>42.67</v>
      </c>
      <c r="C3122">
        <f>47.1694</f>
        <v>47.169400000000003</v>
      </c>
      <c r="D3122">
        <f>40.94</f>
        <v>40.94</v>
      </c>
      <c r="E3122">
        <f>29.4</f>
        <v>29.4</v>
      </c>
    </row>
    <row r="3123" spans="1:5" x14ac:dyDescent="0.2">
      <c r="A3123" s="1">
        <v>40772</v>
      </c>
      <c r="B3123">
        <f>31.58</f>
        <v>31.58</v>
      </c>
      <c r="C3123">
        <f>35.0436</f>
        <v>35.043599999999998</v>
      </c>
      <c r="D3123">
        <f>26.22</f>
        <v>26.22</v>
      </c>
      <c r="E3123">
        <f>28.12</f>
        <v>28.12</v>
      </c>
    </row>
    <row r="3124" spans="1:5" x14ac:dyDescent="0.2">
      <c r="A3124" s="1">
        <v>40771</v>
      </c>
      <c r="B3124">
        <f>32.85</f>
        <v>32.85</v>
      </c>
      <c r="C3124">
        <f>38.0487</f>
        <v>38.048699999999997</v>
      </c>
      <c r="D3124">
        <f>30.65</f>
        <v>30.65</v>
      </c>
      <c r="E3124">
        <f>28.4</f>
        <v>28.4</v>
      </c>
    </row>
    <row r="3125" spans="1:5" x14ac:dyDescent="0.2">
      <c r="A3125" s="1">
        <v>40770</v>
      </c>
      <c r="B3125">
        <f>31.87</f>
        <v>31.87</v>
      </c>
      <c r="C3125">
        <f>40.353</f>
        <v>40.353000000000002</v>
      </c>
      <c r="D3125">
        <f>31.57</f>
        <v>31.57</v>
      </c>
      <c r="E3125">
        <f>28.14</f>
        <v>28.14</v>
      </c>
    </row>
    <row r="3126" spans="1:5" x14ac:dyDescent="0.2">
      <c r="A3126" s="1">
        <v>40767</v>
      </c>
      <c r="B3126">
        <f>36.36</f>
        <v>36.36</v>
      </c>
      <c r="C3126">
        <f>44.8485</f>
        <v>44.848500000000001</v>
      </c>
      <c r="D3126">
        <f>35.96</f>
        <v>35.96</v>
      </c>
      <c r="E3126">
        <f>28.69</f>
        <v>28.69</v>
      </c>
    </row>
    <row r="3127" spans="1:5" x14ac:dyDescent="0.2">
      <c r="A3127" s="1">
        <v>40766</v>
      </c>
      <c r="B3127">
        <f>39</f>
        <v>39</v>
      </c>
      <c r="C3127">
        <f>48.7042</f>
        <v>48.7042</v>
      </c>
      <c r="D3127">
        <f>42.14</f>
        <v>42.14</v>
      </c>
      <c r="E3127">
        <f>28.69</f>
        <v>28.69</v>
      </c>
    </row>
    <row r="3128" spans="1:5" x14ac:dyDescent="0.2">
      <c r="A3128" s="1">
        <v>40765</v>
      </c>
      <c r="B3128">
        <f>42.99</f>
        <v>42.99</v>
      </c>
      <c r="C3128">
        <f>49.4966</f>
        <v>49.496600000000001</v>
      </c>
      <c r="D3128">
        <f>45.5</f>
        <v>45.5</v>
      </c>
      <c r="E3128">
        <f>28.49</f>
        <v>28.49</v>
      </c>
    </row>
    <row r="3129" spans="1:5" x14ac:dyDescent="0.2">
      <c r="A3129" s="1">
        <v>40764</v>
      </c>
      <c r="B3129">
        <f>35.06</f>
        <v>35.06</v>
      </c>
      <c r="C3129">
        <f>46.3979</f>
        <v>46.3979</v>
      </c>
      <c r="D3129">
        <f>43.01</f>
        <v>43.01</v>
      </c>
      <c r="E3129" t="e">
        <f>NA()</f>
        <v>#N/A</v>
      </c>
    </row>
    <row r="3130" spans="1:5" x14ac:dyDescent="0.2">
      <c r="A3130" s="1">
        <v>40763</v>
      </c>
      <c r="B3130">
        <f>48</f>
        <v>48</v>
      </c>
      <c r="C3130">
        <f>45.3038</f>
        <v>45.303800000000003</v>
      </c>
      <c r="D3130">
        <f>40.72</f>
        <v>40.72</v>
      </c>
      <c r="E3130">
        <f>27.09</f>
        <v>27.09</v>
      </c>
    </row>
    <row r="3131" spans="1:5" x14ac:dyDescent="0.2">
      <c r="A3131" s="1">
        <v>40760</v>
      </c>
      <c r="B3131">
        <f>32</f>
        <v>32</v>
      </c>
      <c r="C3131">
        <f>39.2459</f>
        <v>39.245899999999999</v>
      </c>
      <c r="D3131">
        <f>34.98</f>
        <v>34.979999999999997</v>
      </c>
      <c r="E3131">
        <f>25.35</f>
        <v>25.35</v>
      </c>
    </row>
    <row r="3132" spans="1:5" x14ac:dyDescent="0.2">
      <c r="A3132" s="1">
        <v>40759</v>
      </c>
      <c r="B3132">
        <f>31.66</f>
        <v>31.66</v>
      </c>
      <c r="C3132">
        <f>34.629</f>
        <v>34.628999999999998</v>
      </c>
      <c r="D3132">
        <f>28.57</f>
        <v>28.57</v>
      </c>
      <c r="E3132">
        <f>24.83</f>
        <v>24.83</v>
      </c>
    </row>
    <row r="3133" spans="1:5" x14ac:dyDescent="0.2">
      <c r="A3133" s="1">
        <v>40758</v>
      </c>
      <c r="B3133">
        <f>23.38</f>
        <v>23.38</v>
      </c>
      <c r="C3133">
        <f>29.7215</f>
        <v>29.721499999999999</v>
      </c>
      <c r="D3133">
        <f>24.12</f>
        <v>24.12</v>
      </c>
      <c r="E3133">
        <f>23.76</f>
        <v>23.76</v>
      </c>
    </row>
    <row r="3134" spans="1:5" x14ac:dyDescent="0.2">
      <c r="A3134" s="1">
        <v>40757</v>
      </c>
      <c r="B3134">
        <f>24.79</f>
        <v>24.79</v>
      </c>
      <c r="C3134">
        <f>29.346</f>
        <v>29.346</v>
      </c>
      <c r="D3134">
        <f>22.33</f>
        <v>22.33</v>
      </c>
      <c r="E3134">
        <f>23.25</f>
        <v>23.25</v>
      </c>
    </row>
    <row r="3135" spans="1:5" x14ac:dyDescent="0.2">
      <c r="A3135" s="1">
        <v>40756</v>
      </c>
      <c r="B3135">
        <f>23.66</f>
        <v>23.66</v>
      </c>
      <c r="C3135">
        <f>29.0047</f>
        <v>29.0047</v>
      </c>
      <c r="D3135">
        <f>21.48</f>
        <v>21.48</v>
      </c>
      <c r="E3135">
        <f>23.19</f>
        <v>23.19</v>
      </c>
    </row>
    <row r="3136" spans="1:5" x14ac:dyDescent="0.2">
      <c r="A3136" s="1">
        <v>40753</v>
      </c>
      <c r="B3136">
        <f>25.25</f>
        <v>25.25</v>
      </c>
      <c r="C3136">
        <f>27.6238</f>
        <v>27.623799999999999</v>
      </c>
      <c r="D3136">
        <f>20.53</f>
        <v>20.53</v>
      </c>
      <c r="E3136">
        <f>23.71</f>
        <v>23.71</v>
      </c>
    </row>
    <row r="3137" spans="1:5" x14ac:dyDescent="0.2">
      <c r="A3137" s="1">
        <v>40752</v>
      </c>
      <c r="B3137">
        <f>23.74</f>
        <v>23.74</v>
      </c>
      <c r="C3137">
        <f>26.5424</f>
        <v>26.542400000000001</v>
      </c>
      <c r="D3137">
        <f>19.44</f>
        <v>19.440000000000001</v>
      </c>
      <c r="E3137">
        <f>22.92</f>
        <v>22.92</v>
      </c>
    </row>
    <row r="3138" spans="1:5" x14ac:dyDescent="0.2">
      <c r="A3138" s="1">
        <v>40751</v>
      </c>
      <c r="B3138">
        <f>22.98</f>
        <v>22.98</v>
      </c>
      <c r="C3138">
        <f>26.0272</f>
        <v>26.027200000000001</v>
      </c>
      <c r="D3138">
        <f>19.15</f>
        <v>19.149999999999999</v>
      </c>
      <c r="E3138">
        <f>22.84</f>
        <v>22.84</v>
      </c>
    </row>
    <row r="3139" spans="1:5" x14ac:dyDescent="0.2">
      <c r="A3139" s="1">
        <v>40750</v>
      </c>
      <c r="B3139">
        <f>20.23</f>
        <v>20.23</v>
      </c>
      <c r="C3139">
        <f>24.0382</f>
        <v>24.0382</v>
      </c>
      <c r="D3139">
        <f>17.6</f>
        <v>17.600000000000001</v>
      </c>
      <c r="E3139">
        <f>22.32</f>
        <v>22.32</v>
      </c>
    </row>
    <row r="3140" spans="1:5" x14ac:dyDescent="0.2">
      <c r="A3140" s="1">
        <v>40749</v>
      </c>
      <c r="B3140">
        <f>19.35</f>
        <v>19.350000000000001</v>
      </c>
      <c r="C3140">
        <f>24.5023</f>
        <v>24.502300000000002</v>
      </c>
      <c r="D3140">
        <f>17.76</f>
        <v>17.760000000000002</v>
      </c>
      <c r="E3140">
        <f>22.18</f>
        <v>22.18</v>
      </c>
    </row>
    <row r="3141" spans="1:5" x14ac:dyDescent="0.2">
      <c r="A3141" s="1">
        <v>40746</v>
      </c>
      <c r="B3141">
        <f>17.52</f>
        <v>17.52</v>
      </c>
      <c r="C3141">
        <f>22.4011</f>
        <v>22.4011</v>
      </c>
      <c r="D3141">
        <f>16.88</f>
        <v>16.88</v>
      </c>
      <c r="E3141">
        <f>22.19</f>
        <v>22.19</v>
      </c>
    </row>
    <row r="3142" spans="1:5" x14ac:dyDescent="0.2">
      <c r="A3142" s="1">
        <v>40745</v>
      </c>
      <c r="B3142">
        <f>17.56</f>
        <v>17.559999999999999</v>
      </c>
      <c r="C3142">
        <f>23.8296</f>
        <v>23.829599999999999</v>
      </c>
      <c r="D3142">
        <f>18.26</f>
        <v>18.260000000000002</v>
      </c>
      <c r="E3142">
        <f>21.9</f>
        <v>21.9</v>
      </c>
    </row>
    <row r="3143" spans="1:5" x14ac:dyDescent="0.2">
      <c r="A3143" s="1">
        <v>40744</v>
      </c>
      <c r="B3143">
        <f>19.09</f>
        <v>19.09</v>
      </c>
      <c r="C3143">
        <f>27.6533</f>
        <v>27.653300000000002</v>
      </c>
      <c r="D3143">
        <f>20.21</f>
        <v>20.21</v>
      </c>
      <c r="E3143">
        <f>22.15</f>
        <v>22.15</v>
      </c>
    </row>
    <row r="3144" spans="1:5" x14ac:dyDescent="0.2">
      <c r="A3144" s="1">
        <v>40743</v>
      </c>
      <c r="B3144">
        <f>19.21</f>
        <v>19.21</v>
      </c>
      <c r="C3144">
        <f>28.9959</f>
        <v>28.995899999999999</v>
      </c>
      <c r="D3144">
        <f>21.16</f>
        <v>21.16</v>
      </c>
      <c r="E3144">
        <f>22.14</f>
        <v>22.14</v>
      </c>
    </row>
    <row r="3145" spans="1:5" x14ac:dyDescent="0.2">
      <c r="A3145" s="1">
        <v>40742</v>
      </c>
      <c r="B3145">
        <f>20.95</f>
        <v>20.95</v>
      </c>
      <c r="C3145">
        <f>31.0008</f>
        <v>31.000800000000002</v>
      </c>
      <c r="D3145">
        <f>22.65</f>
        <v>22.65</v>
      </c>
      <c r="E3145">
        <f>22.39</f>
        <v>22.39</v>
      </c>
    </row>
    <row r="3146" spans="1:5" x14ac:dyDescent="0.2">
      <c r="A3146" s="1">
        <v>40739</v>
      </c>
      <c r="B3146">
        <f>19.53</f>
        <v>19.53</v>
      </c>
      <c r="C3146">
        <f>28.1168</f>
        <v>28.116800000000001</v>
      </c>
      <c r="D3146">
        <f>20.23</f>
        <v>20.23</v>
      </c>
      <c r="E3146">
        <f>21.89</f>
        <v>21.89</v>
      </c>
    </row>
    <row r="3147" spans="1:5" x14ac:dyDescent="0.2">
      <c r="A3147" s="1">
        <v>40738</v>
      </c>
      <c r="B3147">
        <f>20.8</f>
        <v>20.8</v>
      </c>
      <c r="C3147">
        <f>27.271</f>
        <v>27.271000000000001</v>
      </c>
      <c r="D3147">
        <f>20.2</f>
        <v>20.2</v>
      </c>
      <c r="E3147">
        <f>21.81</f>
        <v>21.81</v>
      </c>
    </row>
    <row r="3148" spans="1:5" x14ac:dyDescent="0.2">
      <c r="A3148" s="1">
        <v>40737</v>
      </c>
      <c r="B3148">
        <f>19.91</f>
        <v>19.91</v>
      </c>
      <c r="C3148">
        <f>26.4656</f>
        <v>26.465599999999998</v>
      </c>
      <c r="D3148">
        <f>18.8</f>
        <v>18.8</v>
      </c>
      <c r="E3148">
        <f>21.82</f>
        <v>21.82</v>
      </c>
    </row>
    <row r="3149" spans="1:5" x14ac:dyDescent="0.2">
      <c r="A3149" s="1">
        <v>40736</v>
      </c>
      <c r="B3149">
        <f>19.87</f>
        <v>19.87</v>
      </c>
      <c r="C3149">
        <f>28.2541</f>
        <v>28.254100000000001</v>
      </c>
      <c r="D3149">
        <f>20.08</f>
        <v>20.079999999999998</v>
      </c>
      <c r="E3149">
        <f>22.09</f>
        <v>22.09</v>
      </c>
    </row>
    <row r="3150" spans="1:5" x14ac:dyDescent="0.2">
      <c r="A3150" s="1">
        <v>40735</v>
      </c>
      <c r="B3150">
        <f>18.39</f>
        <v>18.39</v>
      </c>
      <c r="C3150">
        <f>26.2613</f>
        <v>26.261299999999999</v>
      </c>
      <c r="D3150">
        <f>18.33</f>
        <v>18.329999999999998</v>
      </c>
      <c r="E3150">
        <f>21.66</f>
        <v>21.66</v>
      </c>
    </row>
    <row r="3151" spans="1:5" x14ac:dyDescent="0.2">
      <c r="A3151" s="1">
        <v>40732</v>
      </c>
      <c r="B3151">
        <f>15.95</f>
        <v>15.95</v>
      </c>
      <c r="C3151">
        <f>22.4146</f>
        <v>22.4146</v>
      </c>
      <c r="D3151">
        <f>15.53</f>
        <v>15.53</v>
      </c>
      <c r="E3151">
        <f>21.42</f>
        <v>21.42</v>
      </c>
    </row>
    <row r="3152" spans="1:5" x14ac:dyDescent="0.2">
      <c r="A3152" s="1">
        <v>40731</v>
      </c>
      <c r="B3152">
        <f>15.95</f>
        <v>15.95</v>
      </c>
      <c r="C3152">
        <f>20.5946</f>
        <v>20.5946</v>
      </c>
      <c r="D3152">
        <f>13.72</f>
        <v>13.72</v>
      </c>
      <c r="E3152">
        <f>20.87</f>
        <v>20.87</v>
      </c>
    </row>
    <row r="3153" spans="1:5" x14ac:dyDescent="0.2">
      <c r="A3153" s="1">
        <v>40730</v>
      </c>
      <c r="B3153">
        <f>16.34</f>
        <v>16.34</v>
      </c>
      <c r="C3153">
        <f>20.9197</f>
        <v>20.919699999999999</v>
      </c>
      <c r="D3153" t="e">
        <f>NA()</f>
        <v>#N/A</v>
      </c>
      <c r="E3153">
        <f>21.13</f>
        <v>21.13</v>
      </c>
    </row>
    <row r="3154" spans="1:5" x14ac:dyDescent="0.2">
      <c r="A3154" s="1">
        <v>40729</v>
      </c>
      <c r="B3154">
        <f>16.06</f>
        <v>16.059999999999999</v>
      </c>
      <c r="C3154">
        <f>20.2611</f>
        <v>20.261099999999999</v>
      </c>
      <c r="D3154">
        <f>16.04</f>
        <v>16.04</v>
      </c>
      <c r="E3154">
        <f>22.16</f>
        <v>22.16</v>
      </c>
    </row>
    <row r="3155" spans="1:5" x14ac:dyDescent="0.2">
      <c r="A3155" s="1">
        <v>40728</v>
      </c>
      <c r="B3155" t="e">
        <f>NA()</f>
        <v>#N/A</v>
      </c>
      <c r="C3155">
        <f>19.7265</f>
        <v>19.726500000000001</v>
      </c>
      <c r="D3155">
        <f>15.84</f>
        <v>15.84</v>
      </c>
      <c r="E3155">
        <f>22.41</f>
        <v>22.41</v>
      </c>
    </row>
    <row r="3156" spans="1:5" x14ac:dyDescent="0.2">
      <c r="A3156" s="1">
        <v>40725</v>
      </c>
      <c r="B3156">
        <f>15.87</f>
        <v>15.87</v>
      </c>
      <c r="C3156">
        <f>19.7294</f>
        <v>19.729399999999998</v>
      </c>
      <c r="D3156">
        <f>15.83</f>
        <v>15.83</v>
      </c>
      <c r="E3156">
        <f>22.68</f>
        <v>22.68</v>
      </c>
    </row>
    <row r="3157" spans="1:5" x14ac:dyDescent="0.2">
      <c r="A3157" s="1">
        <v>40724</v>
      </c>
      <c r="B3157">
        <f>16.52</f>
        <v>16.52</v>
      </c>
      <c r="C3157">
        <f>21.5622</f>
        <v>21.562200000000001</v>
      </c>
      <c r="D3157">
        <f>16.41</f>
        <v>16.41</v>
      </c>
      <c r="E3157">
        <f>22.65</f>
        <v>22.65</v>
      </c>
    </row>
    <row r="3158" spans="1:5" x14ac:dyDescent="0.2">
      <c r="A3158" s="1">
        <v>40723</v>
      </c>
      <c r="B3158">
        <f>17.27</f>
        <v>17.27</v>
      </c>
      <c r="C3158">
        <f>24.061</f>
        <v>24.061</v>
      </c>
      <c r="D3158">
        <f>17.56</f>
        <v>17.559999999999999</v>
      </c>
      <c r="E3158">
        <f>22.84</f>
        <v>22.84</v>
      </c>
    </row>
    <row r="3159" spans="1:5" x14ac:dyDescent="0.2">
      <c r="A3159" s="1">
        <v>40722</v>
      </c>
      <c r="B3159">
        <f>19.17</f>
        <v>19.170000000000002</v>
      </c>
      <c r="C3159">
        <f>27.6888</f>
        <v>27.688800000000001</v>
      </c>
      <c r="D3159">
        <f>20.17</f>
        <v>20.170000000000002</v>
      </c>
      <c r="E3159">
        <f>23.35</f>
        <v>23.35</v>
      </c>
    </row>
    <row r="3160" spans="1:5" x14ac:dyDescent="0.2">
      <c r="A3160" s="1">
        <v>40721</v>
      </c>
      <c r="B3160">
        <f>20.56</f>
        <v>20.56</v>
      </c>
      <c r="C3160">
        <f>28.2016</f>
        <v>28.201599999999999</v>
      </c>
      <c r="D3160">
        <f>20.43</f>
        <v>20.43</v>
      </c>
      <c r="E3160">
        <f>23.86</f>
        <v>23.86</v>
      </c>
    </row>
    <row r="3161" spans="1:5" x14ac:dyDescent="0.2">
      <c r="A3161" s="1">
        <v>40718</v>
      </c>
      <c r="B3161">
        <f>21.1</f>
        <v>21.1</v>
      </c>
      <c r="C3161">
        <f>27.1728</f>
        <v>27.172799999999999</v>
      </c>
      <c r="D3161">
        <f>18.62</f>
        <v>18.62</v>
      </c>
      <c r="E3161">
        <f>24.33</f>
        <v>24.33</v>
      </c>
    </row>
    <row r="3162" spans="1:5" x14ac:dyDescent="0.2">
      <c r="A3162" s="1">
        <v>40717</v>
      </c>
      <c r="B3162">
        <f>19.29</f>
        <v>19.29</v>
      </c>
      <c r="C3162">
        <f>27.3023</f>
        <v>27.302299999999999</v>
      </c>
      <c r="D3162">
        <f>20.65</f>
        <v>20.65</v>
      </c>
      <c r="E3162">
        <f>24.84</f>
        <v>24.84</v>
      </c>
    </row>
    <row r="3163" spans="1:5" x14ac:dyDescent="0.2">
      <c r="A3163" s="1">
        <v>40716</v>
      </c>
      <c r="B3163">
        <f>18.52</f>
        <v>18.52</v>
      </c>
      <c r="C3163">
        <f>23.3426</f>
        <v>23.342600000000001</v>
      </c>
      <c r="D3163">
        <f>17.95</f>
        <v>17.95</v>
      </c>
      <c r="E3163">
        <f>24.33</f>
        <v>24.33</v>
      </c>
    </row>
    <row r="3164" spans="1:5" x14ac:dyDescent="0.2">
      <c r="A3164" s="1">
        <v>40715</v>
      </c>
      <c r="B3164">
        <f>18.86</f>
        <v>18.86</v>
      </c>
      <c r="C3164">
        <f>24.7477</f>
        <v>24.747699999999998</v>
      </c>
      <c r="D3164">
        <f>18.73</f>
        <v>18.73</v>
      </c>
      <c r="E3164">
        <f>24.11</f>
        <v>24.11</v>
      </c>
    </row>
    <row r="3165" spans="1:5" x14ac:dyDescent="0.2">
      <c r="A3165" s="1">
        <v>40714</v>
      </c>
      <c r="B3165">
        <f>19.99</f>
        <v>19.989999999999998</v>
      </c>
      <c r="C3165">
        <f>25.5434</f>
        <v>25.543399999999998</v>
      </c>
      <c r="D3165">
        <f>20.24</f>
        <v>20.239999999999998</v>
      </c>
      <c r="E3165">
        <f>24.59</f>
        <v>24.59</v>
      </c>
    </row>
    <row r="3166" spans="1:5" x14ac:dyDescent="0.2">
      <c r="A3166" s="1">
        <v>40711</v>
      </c>
      <c r="B3166">
        <f>21.85</f>
        <v>21.85</v>
      </c>
      <c r="C3166">
        <f>24.25</f>
        <v>24.25</v>
      </c>
      <c r="D3166">
        <f>19.42</f>
        <v>19.420000000000002</v>
      </c>
      <c r="E3166">
        <f>24.62</f>
        <v>24.62</v>
      </c>
    </row>
    <row r="3167" spans="1:5" x14ac:dyDescent="0.2">
      <c r="A3167" s="1">
        <v>40710</v>
      </c>
      <c r="B3167">
        <f>22.73</f>
        <v>22.73</v>
      </c>
      <c r="C3167">
        <f>24.4295</f>
        <v>24.429500000000001</v>
      </c>
      <c r="D3167">
        <f>19.52</f>
        <v>19.52</v>
      </c>
      <c r="E3167" t="e">
        <f>NA()</f>
        <v>#N/A</v>
      </c>
    </row>
    <row r="3168" spans="1:5" x14ac:dyDescent="0.2">
      <c r="A3168" s="1">
        <v>40709</v>
      </c>
      <c r="B3168">
        <f>21.32</f>
        <v>21.32</v>
      </c>
      <c r="C3168">
        <f>23.0617</f>
        <v>23.061699999999998</v>
      </c>
      <c r="D3168">
        <f>17.81</f>
        <v>17.809999999999999</v>
      </c>
      <c r="E3168">
        <f>23.86</f>
        <v>23.86</v>
      </c>
    </row>
    <row r="3169" spans="1:5" x14ac:dyDescent="0.2">
      <c r="A3169" s="1">
        <v>40708</v>
      </c>
      <c r="B3169">
        <f>18.26</f>
        <v>18.260000000000002</v>
      </c>
      <c r="C3169">
        <f>21.3224</f>
        <v>21.322399999999998</v>
      </c>
      <c r="D3169">
        <f>16.61</f>
        <v>16.61</v>
      </c>
      <c r="E3169">
        <f>23.11</f>
        <v>23.11</v>
      </c>
    </row>
    <row r="3170" spans="1:5" x14ac:dyDescent="0.2">
      <c r="A3170" s="1">
        <v>40707</v>
      </c>
      <c r="B3170">
        <f>19.61</f>
        <v>19.61</v>
      </c>
      <c r="C3170">
        <f>22.8375</f>
        <v>22.837499999999999</v>
      </c>
      <c r="D3170">
        <f>17.61</f>
        <v>17.61</v>
      </c>
      <c r="E3170">
        <f>23.11</f>
        <v>23.11</v>
      </c>
    </row>
    <row r="3171" spans="1:5" x14ac:dyDescent="0.2">
      <c r="A3171" s="1">
        <v>40704</v>
      </c>
      <c r="B3171">
        <f>18.86</f>
        <v>18.86</v>
      </c>
      <c r="C3171">
        <f>22.6181</f>
        <v>22.618099999999998</v>
      </c>
      <c r="D3171">
        <f>17.82</f>
        <v>17.82</v>
      </c>
      <c r="E3171">
        <f>23.38</f>
        <v>23.38</v>
      </c>
    </row>
    <row r="3172" spans="1:5" x14ac:dyDescent="0.2">
      <c r="A3172" s="1">
        <v>40703</v>
      </c>
      <c r="B3172">
        <f>17.77</f>
        <v>17.77</v>
      </c>
      <c r="C3172">
        <f>20.9443</f>
        <v>20.944299999999998</v>
      </c>
      <c r="D3172">
        <f>16.43</f>
        <v>16.43</v>
      </c>
      <c r="E3172">
        <f>22.62</f>
        <v>22.62</v>
      </c>
    </row>
    <row r="3173" spans="1:5" x14ac:dyDescent="0.2">
      <c r="A3173" s="1">
        <v>40702</v>
      </c>
      <c r="B3173">
        <f>18.79</f>
        <v>18.79</v>
      </c>
      <c r="C3173">
        <f>22.6861</f>
        <v>22.6861</v>
      </c>
      <c r="D3173">
        <f>17.93</f>
        <v>17.93</v>
      </c>
      <c r="E3173">
        <f>22.6</f>
        <v>22.6</v>
      </c>
    </row>
    <row r="3174" spans="1:5" x14ac:dyDescent="0.2">
      <c r="A3174" s="1">
        <v>40701</v>
      </c>
      <c r="B3174">
        <f>18.07</f>
        <v>18.07</v>
      </c>
      <c r="C3174">
        <f>22.3739</f>
        <v>22.373899999999999</v>
      </c>
      <c r="D3174">
        <f>17.4</f>
        <v>17.399999999999999</v>
      </c>
      <c r="E3174">
        <f>22.34</f>
        <v>22.34</v>
      </c>
    </row>
    <row r="3175" spans="1:5" x14ac:dyDescent="0.2">
      <c r="A3175" s="1">
        <v>40700</v>
      </c>
      <c r="B3175">
        <f>18.49</f>
        <v>18.489999999999998</v>
      </c>
      <c r="C3175">
        <f>23.1505</f>
        <v>23.150500000000001</v>
      </c>
      <c r="D3175">
        <f>18.18</f>
        <v>18.18</v>
      </c>
      <c r="E3175">
        <f>22.84</f>
        <v>22.84</v>
      </c>
    </row>
    <row r="3176" spans="1:5" x14ac:dyDescent="0.2">
      <c r="A3176" s="1">
        <v>40697</v>
      </c>
      <c r="B3176">
        <f>17.95</f>
        <v>17.95</v>
      </c>
      <c r="C3176">
        <f>22.6548</f>
        <v>22.654800000000002</v>
      </c>
      <c r="D3176">
        <f>17.99</f>
        <v>17.989999999999998</v>
      </c>
      <c r="E3176">
        <f>22.86</f>
        <v>22.86</v>
      </c>
    </row>
    <row r="3177" spans="1:5" x14ac:dyDescent="0.2">
      <c r="A3177" s="1">
        <v>40696</v>
      </c>
      <c r="B3177">
        <f>18.09</f>
        <v>18.09</v>
      </c>
      <c r="C3177">
        <f>22.8441</f>
        <v>22.844100000000001</v>
      </c>
      <c r="D3177">
        <f>18.02</f>
        <v>18.02</v>
      </c>
      <c r="E3177">
        <f>22.35</f>
        <v>22.35</v>
      </c>
    </row>
    <row r="3178" spans="1:5" x14ac:dyDescent="0.2">
      <c r="A3178" s="1">
        <v>40695</v>
      </c>
      <c r="B3178">
        <f>18.3</f>
        <v>18.3</v>
      </c>
      <c r="C3178">
        <f>20.9271</f>
        <v>20.927099999999999</v>
      </c>
      <c r="D3178">
        <f>16.67</f>
        <v>16.670000000000002</v>
      </c>
      <c r="E3178">
        <f>21.56</f>
        <v>21.56</v>
      </c>
    </row>
    <row r="3179" spans="1:5" x14ac:dyDescent="0.2">
      <c r="A3179" s="1">
        <v>40694</v>
      </c>
      <c r="B3179">
        <f>15.45</f>
        <v>15.45</v>
      </c>
      <c r="C3179">
        <f>20.353</f>
        <v>20.353000000000002</v>
      </c>
      <c r="D3179">
        <f>16.12</f>
        <v>16.12</v>
      </c>
      <c r="E3179">
        <f>21.29</f>
        <v>21.29</v>
      </c>
    </row>
    <row r="3180" spans="1:5" x14ac:dyDescent="0.2">
      <c r="A3180" s="1">
        <v>40693</v>
      </c>
      <c r="B3180" t="e">
        <f>NA()</f>
        <v>#N/A</v>
      </c>
      <c r="C3180">
        <f>21.7424</f>
        <v>21.7424</v>
      </c>
      <c r="D3180" t="e">
        <f>NA()</f>
        <v>#N/A</v>
      </c>
      <c r="E3180">
        <f>21.55</f>
        <v>21.55</v>
      </c>
    </row>
    <row r="3181" spans="1:5" x14ac:dyDescent="0.2">
      <c r="A3181" s="1">
        <v>40690</v>
      </c>
      <c r="B3181">
        <f>15.98</f>
        <v>15.98</v>
      </c>
      <c r="C3181">
        <f>21.4688</f>
        <v>21.468800000000002</v>
      </c>
      <c r="D3181">
        <f>16.73</f>
        <v>16.73</v>
      </c>
      <c r="E3181">
        <f>21.56</f>
        <v>21.56</v>
      </c>
    </row>
    <row r="3182" spans="1:5" x14ac:dyDescent="0.2">
      <c r="A3182" s="1">
        <v>40689</v>
      </c>
      <c r="B3182">
        <f>16.09</f>
        <v>16.09</v>
      </c>
      <c r="C3182">
        <f>22.7415</f>
        <v>22.741499999999998</v>
      </c>
      <c r="D3182">
        <f>18.34</f>
        <v>18.34</v>
      </c>
      <c r="E3182">
        <f>21.81</f>
        <v>21.81</v>
      </c>
    </row>
    <row r="3183" spans="1:5" x14ac:dyDescent="0.2">
      <c r="A3183" s="1">
        <v>40688</v>
      </c>
      <c r="B3183">
        <f>17.07</f>
        <v>17.07</v>
      </c>
      <c r="C3183">
        <f>22.6511</f>
        <v>22.6511</v>
      </c>
      <c r="D3183">
        <f>18.79</f>
        <v>18.79</v>
      </c>
      <c r="E3183">
        <f>22.3</f>
        <v>22.3</v>
      </c>
    </row>
    <row r="3184" spans="1:5" x14ac:dyDescent="0.2">
      <c r="A3184" s="1">
        <v>40687</v>
      </c>
      <c r="B3184">
        <f>17.82</f>
        <v>17.82</v>
      </c>
      <c r="C3184">
        <f>23.767</f>
        <v>23.766999999999999</v>
      </c>
      <c r="D3184">
        <f>19.71</f>
        <v>19.71</v>
      </c>
      <c r="E3184">
        <f>22.31</f>
        <v>22.31</v>
      </c>
    </row>
    <row r="3185" spans="1:5" x14ac:dyDescent="0.2">
      <c r="A3185" s="1">
        <v>40686</v>
      </c>
      <c r="B3185">
        <f>18.27</f>
        <v>18.27</v>
      </c>
      <c r="C3185">
        <f>24.7811</f>
        <v>24.781099999999999</v>
      </c>
      <c r="D3185">
        <f>20.47</f>
        <v>20.47</v>
      </c>
      <c r="E3185">
        <f>22.48</f>
        <v>22.48</v>
      </c>
    </row>
    <row r="3186" spans="1:5" x14ac:dyDescent="0.2">
      <c r="A3186" s="1">
        <v>40683</v>
      </c>
      <c r="B3186">
        <f>17.43</f>
        <v>17.43</v>
      </c>
      <c r="C3186">
        <f>22.3836</f>
        <v>22.383600000000001</v>
      </c>
      <c r="D3186">
        <f>17.93</f>
        <v>17.93</v>
      </c>
      <c r="E3186">
        <f>21.73</f>
        <v>21.73</v>
      </c>
    </row>
    <row r="3187" spans="1:5" x14ac:dyDescent="0.2">
      <c r="A3187" s="1">
        <v>40682</v>
      </c>
      <c r="B3187">
        <f>15.52</f>
        <v>15.52</v>
      </c>
      <c r="C3187">
        <f>21.0276</f>
        <v>21.0276</v>
      </c>
      <c r="D3187">
        <f>17.62</f>
        <v>17.62</v>
      </c>
      <c r="E3187">
        <f>21.71</f>
        <v>21.71</v>
      </c>
    </row>
    <row r="3188" spans="1:5" x14ac:dyDescent="0.2">
      <c r="A3188" s="1">
        <v>40681</v>
      </c>
      <c r="B3188">
        <f>16.23</f>
        <v>16.23</v>
      </c>
      <c r="C3188">
        <f>22.356</f>
        <v>22.356000000000002</v>
      </c>
      <c r="D3188">
        <f>18.26</f>
        <v>18.260000000000002</v>
      </c>
      <c r="E3188" t="e">
        <f>NA()</f>
        <v>#N/A</v>
      </c>
    </row>
    <row r="3189" spans="1:5" x14ac:dyDescent="0.2">
      <c r="A3189" s="1">
        <v>40680</v>
      </c>
      <c r="B3189">
        <f>17.55</f>
        <v>17.55</v>
      </c>
      <c r="C3189">
        <f>23.103</f>
        <v>23.103000000000002</v>
      </c>
      <c r="D3189">
        <f>19.15</f>
        <v>19.149999999999999</v>
      </c>
      <c r="E3189">
        <f>21.72</f>
        <v>21.72</v>
      </c>
    </row>
    <row r="3190" spans="1:5" x14ac:dyDescent="0.2">
      <c r="A3190" s="1">
        <v>40679</v>
      </c>
      <c r="B3190">
        <f>18.24</f>
        <v>18.239999999999998</v>
      </c>
      <c r="C3190">
        <f>22.3774</f>
        <v>22.377400000000002</v>
      </c>
      <c r="D3190">
        <f>18.3</f>
        <v>18.3</v>
      </c>
      <c r="E3190">
        <f>21.43</f>
        <v>21.43</v>
      </c>
    </row>
    <row r="3191" spans="1:5" x14ac:dyDescent="0.2">
      <c r="A3191" s="1">
        <v>40676</v>
      </c>
      <c r="B3191">
        <f>17.07</f>
        <v>17.07</v>
      </c>
      <c r="C3191">
        <f>22.0822</f>
        <v>22.0822</v>
      </c>
      <c r="D3191">
        <f>18.78</f>
        <v>18.78</v>
      </c>
      <c r="E3191">
        <f>21.69</f>
        <v>21.69</v>
      </c>
    </row>
    <row r="3192" spans="1:5" x14ac:dyDescent="0.2">
      <c r="A3192" s="1">
        <v>40675</v>
      </c>
      <c r="B3192">
        <f>16.03</f>
        <v>16.03</v>
      </c>
      <c r="C3192">
        <f>21.8671</f>
        <v>21.867100000000001</v>
      </c>
      <c r="D3192">
        <f>17.7</f>
        <v>17.7</v>
      </c>
      <c r="E3192">
        <f>21.95</f>
        <v>21.95</v>
      </c>
    </row>
    <row r="3193" spans="1:5" x14ac:dyDescent="0.2">
      <c r="A3193" s="1">
        <v>40674</v>
      </c>
      <c r="B3193">
        <f>16.95</f>
        <v>16.95</v>
      </c>
      <c r="C3193">
        <f>21.0675</f>
        <v>21.067499999999999</v>
      </c>
      <c r="D3193">
        <f>17.03</f>
        <v>17.03</v>
      </c>
      <c r="E3193">
        <f>21.43</f>
        <v>21.43</v>
      </c>
    </row>
    <row r="3194" spans="1:5" x14ac:dyDescent="0.2">
      <c r="A3194" s="1">
        <v>40673</v>
      </c>
      <c r="B3194">
        <f>15.91</f>
        <v>15.91</v>
      </c>
      <c r="C3194">
        <f>21.5022</f>
        <v>21.502199999999998</v>
      </c>
      <c r="D3194">
        <f>16.83</f>
        <v>16.829999999999998</v>
      </c>
      <c r="E3194">
        <f>21.4</f>
        <v>21.4</v>
      </c>
    </row>
    <row r="3195" spans="1:5" x14ac:dyDescent="0.2">
      <c r="A3195" s="1">
        <v>40672</v>
      </c>
      <c r="B3195">
        <f>17.16</f>
        <v>17.16</v>
      </c>
      <c r="C3195">
        <f>22.5141</f>
        <v>22.514099999999999</v>
      </c>
      <c r="D3195">
        <f>18.18</f>
        <v>18.18</v>
      </c>
      <c r="E3195">
        <f>21.98</f>
        <v>21.98</v>
      </c>
    </row>
    <row r="3196" spans="1:5" x14ac:dyDescent="0.2">
      <c r="A3196" s="1">
        <v>40669</v>
      </c>
      <c r="B3196">
        <f>18.4</f>
        <v>18.399999999999999</v>
      </c>
      <c r="C3196">
        <f>19.9772</f>
        <v>19.9772</v>
      </c>
      <c r="D3196">
        <f>16.56</f>
        <v>16.559999999999999</v>
      </c>
      <c r="E3196">
        <f>21.48</f>
        <v>21.48</v>
      </c>
    </row>
    <row r="3197" spans="1:5" x14ac:dyDescent="0.2">
      <c r="A3197" s="1">
        <v>40668</v>
      </c>
      <c r="B3197">
        <f>18.2</f>
        <v>18.2</v>
      </c>
      <c r="C3197">
        <f>22.5461</f>
        <v>22.546099999999999</v>
      </c>
      <c r="D3197">
        <f>18.49</f>
        <v>18.489999999999998</v>
      </c>
      <c r="E3197">
        <f>21.98</f>
        <v>21.98</v>
      </c>
    </row>
    <row r="3198" spans="1:5" x14ac:dyDescent="0.2">
      <c r="A3198" s="1">
        <v>40667</v>
      </c>
      <c r="B3198">
        <f>17.08</f>
        <v>17.079999999999998</v>
      </c>
      <c r="C3198">
        <f>21.8564</f>
        <v>21.856400000000001</v>
      </c>
      <c r="D3198">
        <f>17.93</f>
        <v>17.93</v>
      </c>
      <c r="E3198">
        <f>21.7</f>
        <v>21.7</v>
      </c>
    </row>
    <row r="3199" spans="1:5" x14ac:dyDescent="0.2">
      <c r="A3199" s="1">
        <v>40666</v>
      </c>
      <c r="B3199">
        <f>16.7</f>
        <v>16.7</v>
      </c>
      <c r="C3199">
        <f>20.7988</f>
        <v>20.7988</v>
      </c>
      <c r="D3199">
        <f>16.18</f>
        <v>16.18</v>
      </c>
      <c r="E3199">
        <f>21.19</f>
        <v>21.19</v>
      </c>
    </row>
    <row r="3200" spans="1:5" x14ac:dyDescent="0.2">
      <c r="A3200" s="1">
        <v>40665</v>
      </c>
      <c r="B3200">
        <f>15.99</f>
        <v>15.99</v>
      </c>
      <c r="C3200">
        <f>19.6212</f>
        <v>19.621200000000002</v>
      </c>
      <c r="D3200" t="e">
        <f>NA()</f>
        <v>#N/A</v>
      </c>
      <c r="E3200" t="e">
        <f>NA()</f>
        <v>#N/A</v>
      </c>
    </row>
    <row r="3201" spans="1:5" x14ac:dyDescent="0.2">
      <c r="A3201" s="1">
        <v>40662</v>
      </c>
      <c r="B3201">
        <f>14.75</f>
        <v>14.75</v>
      </c>
      <c r="C3201">
        <f>18.4785</f>
        <v>18.4785</v>
      </c>
      <c r="D3201" t="e">
        <f>NA()</f>
        <v>#N/A</v>
      </c>
      <c r="E3201">
        <f>20.43</f>
        <v>20.43</v>
      </c>
    </row>
    <row r="3202" spans="1:5" x14ac:dyDescent="0.2">
      <c r="A3202" s="1">
        <v>40661</v>
      </c>
      <c r="B3202">
        <f>14.62</f>
        <v>14.62</v>
      </c>
      <c r="C3202">
        <f>18.8269</f>
        <v>18.826899999999998</v>
      </c>
      <c r="D3202">
        <f>15.28</f>
        <v>15.28</v>
      </c>
      <c r="E3202">
        <f>20.43</f>
        <v>20.43</v>
      </c>
    </row>
    <row r="3203" spans="1:5" x14ac:dyDescent="0.2">
      <c r="A3203" s="1">
        <v>40660</v>
      </c>
      <c r="B3203">
        <f>15.35</f>
        <v>15.35</v>
      </c>
      <c r="C3203">
        <f>19.8336</f>
        <v>19.833600000000001</v>
      </c>
      <c r="D3203">
        <f>15.17</f>
        <v>15.17</v>
      </c>
      <c r="E3203" t="e">
        <f>NA()</f>
        <v>#N/A</v>
      </c>
    </row>
    <row r="3204" spans="1:5" x14ac:dyDescent="0.2">
      <c r="A3204" s="1">
        <v>40659</v>
      </c>
      <c r="B3204">
        <f>15.62</f>
        <v>15.62</v>
      </c>
      <c r="C3204">
        <f>19.4866</f>
        <v>19.486599999999999</v>
      </c>
      <c r="D3204" t="e">
        <f>NA()</f>
        <v>#N/A</v>
      </c>
      <c r="E3204">
        <f>20.43</f>
        <v>20.43</v>
      </c>
    </row>
    <row r="3205" spans="1:5" x14ac:dyDescent="0.2">
      <c r="A3205" s="1">
        <v>40658</v>
      </c>
      <c r="B3205">
        <f>15.77</f>
        <v>15.77</v>
      </c>
      <c r="C3205" t="e">
        <f>NA()</f>
        <v>#N/A</v>
      </c>
      <c r="D3205" t="e">
        <f>NA()</f>
        <v>#N/A</v>
      </c>
      <c r="E3205" t="e">
        <f>NA()</f>
        <v>#N/A</v>
      </c>
    </row>
    <row r="3206" spans="1:5" x14ac:dyDescent="0.2">
      <c r="A3206" s="1">
        <v>40654</v>
      </c>
      <c r="B3206">
        <f>14.69</f>
        <v>14.69</v>
      </c>
      <c r="C3206">
        <f>18.9266</f>
        <v>18.926600000000001</v>
      </c>
      <c r="D3206" t="e">
        <f>NA()</f>
        <v>#N/A</v>
      </c>
      <c r="E3206">
        <f>20.44</f>
        <v>20.440000000000001</v>
      </c>
    </row>
    <row r="3207" spans="1:5" x14ac:dyDescent="0.2">
      <c r="A3207" s="1">
        <v>40653</v>
      </c>
      <c r="B3207">
        <f>15.07</f>
        <v>15.07</v>
      </c>
      <c r="C3207">
        <f>19.0849</f>
        <v>19.084900000000001</v>
      </c>
      <c r="D3207">
        <f>14.3</f>
        <v>14.3</v>
      </c>
      <c r="E3207">
        <f>20.69</f>
        <v>20.69</v>
      </c>
    </row>
    <row r="3208" spans="1:5" x14ac:dyDescent="0.2">
      <c r="A3208" s="1">
        <v>40652</v>
      </c>
      <c r="B3208">
        <f>15.83</f>
        <v>15.83</v>
      </c>
      <c r="C3208">
        <f>20.8171</f>
        <v>20.8171</v>
      </c>
      <c r="D3208">
        <f>15.15</f>
        <v>15.15</v>
      </c>
      <c r="E3208">
        <f>22.56</f>
        <v>22.56</v>
      </c>
    </row>
    <row r="3209" spans="1:5" x14ac:dyDescent="0.2">
      <c r="A3209" s="1">
        <v>40651</v>
      </c>
      <c r="B3209">
        <f>16.96</f>
        <v>16.96</v>
      </c>
      <c r="C3209">
        <f>22.7879</f>
        <v>22.7879</v>
      </c>
      <c r="D3209">
        <f>16.51</f>
        <v>16.510000000000002</v>
      </c>
      <c r="E3209">
        <f>23.58</f>
        <v>23.58</v>
      </c>
    </row>
    <row r="3210" spans="1:5" x14ac:dyDescent="0.2">
      <c r="A3210" s="1">
        <v>40648</v>
      </c>
      <c r="B3210">
        <f>15.32</f>
        <v>15.32</v>
      </c>
      <c r="C3210">
        <f>18.8037</f>
        <v>18.803699999999999</v>
      </c>
      <c r="D3210">
        <f>13.37</f>
        <v>13.37</v>
      </c>
      <c r="E3210">
        <f>21.73</f>
        <v>21.73</v>
      </c>
    </row>
    <row r="3211" spans="1:5" x14ac:dyDescent="0.2">
      <c r="A3211" s="1">
        <v>40647</v>
      </c>
      <c r="B3211">
        <f>16.27</f>
        <v>16.27</v>
      </c>
      <c r="C3211">
        <f>20.7375</f>
        <v>20.737500000000001</v>
      </c>
      <c r="D3211">
        <f>14.9</f>
        <v>14.9</v>
      </c>
      <c r="E3211">
        <f>21.45</f>
        <v>21.45</v>
      </c>
    </row>
    <row r="3212" spans="1:5" x14ac:dyDescent="0.2">
      <c r="A3212" s="1">
        <v>40646</v>
      </c>
      <c r="B3212">
        <f>16.92</f>
        <v>16.920000000000002</v>
      </c>
      <c r="C3212">
        <f>21.1973</f>
        <v>21.197299999999998</v>
      </c>
      <c r="D3212">
        <f>14.28</f>
        <v>14.28</v>
      </c>
      <c r="E3212">
        <f>21.44</f>
        <v>21.44</v>
      </c>
    </row>
    <row r="3213" spans="1:5" x14ac:dyDescent="0.2">
      <c r="A3213" s="1">
        <v>40645</v>
      </c>
      <c r="B3213">
        <f>17.09</f>
        <v>17.09</v>
      </c>
      <c r="C3213">
        <f>22.4991</f>
        <v>22.499099999999999</v>
      </c>
      <c r="D3213">
        <f>15.26</f>
        <v>15.26</v>
      </c>
      <c r="E3213">
        <f>21.44</f>
        <v>21.44</v>
      </c>
    </row>
    <row r="3214" spans="1:5" x14ac:dyDescent="0.2">
      <c r="A3214" s="1">
        <v>40644</v>
      </c>
      <c r="B3214">
        <f>16.59</f>
        <v>16.59</v>
      </c>
      <c r="C3214">
        <f>19.98</f>
        <v>19.98</v>
      </c>
      <c r="D3214">
        <f>12.98</f>
        <v>12.98</v>
      </c>
      <c r="E3214">
        <f>20.88</f>
        <v>20.88</v>
      </c>
    </row>
    <row r="3215" spans="1:5" x14ac:dyDescent="0.2">
      <c r="A3215" s="1">
        <v>40641</v>
      </c>
      <c r="B3215">
        <f>17.87</f>
        <v>17.87</v>
      </c>
      <c r="C3215">
        <f>19.9611</f>
        <v>19.961099999999998</v>
      </c>
      <c r="D3215">
        <f>12.35</f>
        <v>12.35</v>
      </c>
      <c r="E3215">
        <f>20.89</f>
        <v>20.89</v>
      </c>
    </row>
    <row r="3216" spans="1:5" x14ac:dyDescent="0.2">
      <c r="A3216" s="1">
        <v>40640</v>
      </c>
      <c r="B3216">
        <f>17.11</f>
        <v>17.11</v>
      </c>
      <c r="C3216">
        <f>21.0214</f>
        <v>21.0214</v>
      </c>
      <c r="D3216">
        <f>12.5</f>
        <v>12.5</v>
      </c>
      <c r="E3216">
        <f>21.12</f>
        <v>21.12</v>
      </c>
    </row>
    <row r="3217" spans="1:5" x14ac:dyDescent="0.2">
      <c r="A3217" s="1">
        <v>40639</v>
      </c>
      <c r="B3217">
        <f>16.9</f>
        <v>16.899999999999999</v>
      </c>
      <c r="C3217">
        <f>20.155</f>
        <v>20.155000000000001</v>
      </c>
      <c r="D3217">
        <f>15.1</f>
        <v>15.1</v>
      </c>
      <c r="E3217">
        <f>21</f>
        <v>21</v>
      </c>
    </row>
    <row r="3218" spans="1:5" x14ac:dyDescent="0.2">
      <c r="A3218" s="1">
        <v>40638</v>
      </c>
      <c r="B3218">
        <f>17.25</f>
        <v>17.25</v>
      </c>
      <c r="C3218">
        <f>20.5154</f>
        <v>20.5154</v>
      </c>
      <c r="D3218" t="e">
        <f>NA()</f>
        <v>#N/A</v>
      </c>
      <c r="E3218">
        <f>21.12</f>
        <v>21.12</v>
      </c>
    </row>
    <row r="3219" spans="1:5" x14ac:dyDescent="0.2">
      <c r="A3219" s="1">
        <v>40637</v>
      </c>
      <c r="B3219">
        <f>17.5</f>
        <v>17.5</v>
      </c>
      <c r="C3219">
        <f>20.6621</f>
        <v>20.662099999999999</v>
      </c>
      <c r="D3219">
        <f>14.9</f>
        <v>14.9</v>
      </c>
      <c r="E3219">
        <f>22.27</f>
        <v>22.27</v>
      </c>
    </row>
    <row r="3220" spans="1:5" x14ac:dyDescent="0.2">
      <c r="A3220" s="1">
        <v>40634</v>
      </c>
      <c r="B3220">
        <f>17.4</f>
        <v>17.399999999999999</v>
      </c>
      <c r="C3220">
        <f>20.4234</f>
        <v>20.423400000000001</v>
      </c>
      <c r="D3220">
        <f>15.05</f>
        <v>15.05</v>
      </c>
      <c r="E3220">
        <f>22.28</f>
        <v>22.28</v>
      </c>
    </row>
    <row r="3221" spans="1:5" x14ac:dyDescent="0.2">
      <c r="A3221" s="1">
        <v>40633</v>
      </c>
      <c r="B3221">
        <f>17.74</f>
        <v>17.739999999999998</v>
      </c>
      <c r="C3221">
        <f>22.08</f>
        <v>22.08</v>
      </c>
      <c r="D3221">
        <f>16.62</f>
        <v>16.62</v>
      </c>
      <c r="E3221">
        <f>22.52</f>
        <v>22.52</v>
      </c>
    </row>
    <row r="3222" spans="1:5" x14ac:dyDescent="0.2">
      <c r="A3222" s="1">
        <v>40632</v>
      </c>
      <c r="B3222">
        <f>17.71</f>
        <v>17.71</v>
      </c>
      <c r="C3222">
        <f>21.4727</f>
        <v>21.4727</v>
      </c>
      <c r="D3222">
        <f>16.5</f>
        <v>16.5</v>
      </c>
      <c r="E3222">
        <f>22.52</f>
        <v>22.52</v>
      </c>
    </row>
    <row r="3223" spans="1:5" x14ac:dyDescent="0.2">
      <c r="A3223" s="1">
        <v>40631</v>
      </c>
      <c r="B3223">
        <f>18.16</f>
        <v>18.16</v>
      </c>
      <c r="C3223">
        <f>22.4978</f>
        <v>22.497800000000002</v>
      </c>
      <c r="D3223">
        <f>16.88</f>
        <v>16.88</v>
      </c>
      <c r="E3223">
        <f>23.03</f>
        <v>23.03</v>
      </c>
    </row>
    <row r="3224" spans="1:5" x14ac:dyDescent="0.2">
      <c r="A3224" s="1">
        <v>40630</v>
      </c>
      <c r="B3224">
        <f>19.44</f>
        <v>19.440000000000001</v>
      </c>
      <c r="C3224">
        <f>22.4799</f>
        <v>22.479900000000001</v>
      </c>
      <c r="D3224">
        <f>17.05</f>
        <v>17.05</v>
      </c>
      <c r="E3224">
        <f>23.29</f>
        <v>23.29</v>
      </c>
    </row>
    <row r="3225" spans="1:5" x14ac:dyDescent="0.2">
      <c r="A3225" s="1">
        <v>40627</v>
      </c>
      <c r="B3225">
        <f>17.91</f>
        <v>17.91</v>
      </c>
      <c r="C3225">
        <f>22.0837</f>
        <v>22.0837</v>
      </c>
      <c r="D3225">
        <f>16.6</f>
        <v>16.600000000000001</v>
      </c>
      <c r="E3225">
        <f>23.04</f>
        <v>23.04</v>
      </c>
    </row>
    <row r="3226" spans="1:5" x14ac:dyDescent="0.2">
      <c r="A3226" s="1">
        <v>40626</v>
      </c>
      <c r="B3226">
        <f>18</f>
        <v>18</v>
      </c>
      <c r="C3226">
        <f>22.1</f>
        <v>22.1</v>
      </c>
      <c r="D3226">
        <f>16.35</f>
        <v>16.350000000000001</v>
      </c>
      <c r="E3226">
        <f>23.1</f>
        <v>23.1</v>
      </c>
    </row>
    <row r="3227" spans="1:5" x14ac:dyDescent="0.2">
      <c r="A3227" s="1">
        <v>40625</v>
      </c>
      <c r="B3227">
        <f>19.17</f>
        <v>19.170000000000002</v>
      </c>
      <c r="C3227">
        <f>23.9226</f>
        <v>23.922599999999999</v>
      </c>
      <c r="D3227">
        <f>17.99</f>
        <v>17.989999999999998</v>
      </c>
      <c r="E3227">
        <f>23.31</f>
        <v>23.31</v>
      </c>
    </row>
    <row r="3228" spans="1:5" x14ac:dyDescent="0.2">
      <c r="A3228" s="1">
        <v>40624</v>
      </c>
      <c r="B3228">
        <f>20.21</f>
        <v>20.21</v>
      </c>
      <c r="C3228">
        <f>24.3914</f>
        <v>24.391400000000001</v>
      </c>
      <c r="D3228">
        <f>18.44</f>
        <v>18.440000000000001</v>
      </c>
      <c r="E3228">
        <f>25.8</f>
        <v>25.8</v>
      </c>
    </row>
    <row r="3229" spans="1:5" x14ac:dyDescent="0.2">
      <c r="A3229" s="1">
        <v>40623</v>
      </c>
      <c r="B3229">
        <f>20.61</f>
        <v>20.61</v>
      </c>
      <c r="C3229">
        <f>25.2355</f>
        <v>25.235499999999998</v>
      </c>
      <c r="D3229">
        <f>19.29</f>
        <v>19.29</v>
      </c>
      <c r="E3229" t="e">
        <f>NA()</f>
        <v>#N/A</v>
      </c>
    </row>
    <row r="3230" spans="1:5" x14ac:dyDescent="0.2">
      <c r="A3230" s="1">
        <v>40620</v>
      </c>
      <c r="B3230">
        <f>24.44</f>
        <v>24.44</v>
      </c>
      <c r="C3230">
        <f>28.5337</f>
        <v>28.5337</v>
      </c>
      <c r="D3230">
        <f>21.94</f>
        <v>21.94</v>
      </c>
      <c r="E3230">
        <f>26.17</f>
        <v>26.17</v>
      </c>
    </row>
    <row r="3231" spans="1:5" x14ac:dyDescent="0.2">
      <c r="A3231" s="1">
        <v>40619</v>
      </c>
      <c r="B3231">
        <f>26.37</f>
        <v>26.37</v>
      </c>
      <c r="C3231">
        <f>30.6133</f>
        <v>30.613299999999999</v>
      </c>
      <c r="D3231">
        <f>23.8</f>
        <v>23.8</v>
      </c>
      <c r="E3231">
        <f>25.9</f>
        <v>25.9</v>
      </c>
    </row>
    <row r="3232" spans="1:5" x14ac:dyDescent="0.2">
      <c r="A3232" s="1">
        <v>40618</v>
      </c>
      <c r="B3232">
        <f>29.4</f>
        <v>29.4</v>
      </c>
      <c r="C3232">
        <f>35.2293</f>
        <v>35.229300000000002</v>
      </c>
      <c r="D3232">
        <f>28.02</f>
        <v>28.02</v>
      </c>
      <c r="E3232">
        <f>26.88</f>
        <v>26.88</v>
      </c>
    </row>
    <row r="3233" spans="1:5" x14ac:dyDescent="0.2">
      <c r="A3233" s="1">
        <v>40617</v>
      </c>
      <c r="B3233">
        <f>24.32</f>
        <v>24.32</v>
      </c>
      <c r="C3233">
        <f>31.0104</f>
        <v>31.010400000000001</v>
      </c>
      <c r="D3233">
        <f>25.29</f>
        <v>25.29</v>
      </c>
      <c r="E3233">
        <f>27.34</f>
        <v>27.34</v>
      </c>
    </row>
    <row r="3234" spans="1:5" x14ac:dyDescent="0.2">
      <c r="A3234" s="1">
        <v>40616</v>
      </c>
      <c r="B3234">
        <f>21.13</f>
        <v>21.13</v>
      </c>
      <c r="C3234">
        <f>26.7431</f>
        <v>26.743099999999998</v>
      </c>
      <c r="D3234">
        <f>21.9</f>
        <v>21.9</v>
      </c>
      <c r="E3234">
        <f>25.39</f>
        <v>25.39</v>
      </c>
    </row>
    <row r="3235" spans="1:5" x14ac:dyDescent="0.2">
      <c r="A3235" s="1">
        <v>40613</v>
      </c>
      <c r="B3235">
        <f>20.08</f>
        <v>20.079999999999998</v>
      </c>
      <c r="C3235">
        <f>24.7086</f>
        <v>24.708600000000001</v>
      </c>
      <c r="D3235">
        <f>20.18</f>
        <v>20.18</v>
      </c>
      <c r="E3235">
        <f>24.08</f>
        <v>24.08</v>
      </c>
    </row>
    <row r="3236" spans="1:5" x14ac:dyDescent="0.2">
      <c r="A3236" s="1">
        <v>40612</v>
      </c>
      <c r="B3236">
        <f>21.88</f>
        <v>21.88</v>
      </c>
      <c r="C3236">
        <f>24.1369</f>
        <v>24.136900000000001</v>
      </c>
      <c r="D3236">
        <f>20.45</f>
        <v>20.45</v>
      </c>
      <c r="E3236">
        <f>24.57</f>
        <v>24.57</v>
      </c>
    </row>
    <row r="3237" spans="1:5" x14ac:dyDescent="0.2">
      <c r="A3237" s="1">
        <v>40611</v>
      </c>
      <c r="B3237">
        <f>20.22</f>
        <v>20.22</v>
      </c>
      <c r="C3237">
        <f>23.4775</f>
        <v>23.477499999999999</v>
      </c>
      <c r="D3237">
        <f>19.13</f>
        <v>19.13</v>
      </c>
      <c r="E3237">
        <f>23.31</f>
        <v>23.31</v>
      </c>
    </row>
    <row r="3238" spans="1:5" x14ac:dyDescent="0.2">
      <c r="A3238" s="1">
        <v>40610</v>
      </c>
      <c r="B3238">
        <f>19.82</f>
        <v>19.82</v>
      </c>
      <c r="C3238">
        <f>23.4535</f>
        <v>23.453499999999998</v>
      </c>
      <c r="D3238">
        <f>19.08</f>
        <v>19.079999999999998</v>
      </c>
      <c r="E3238">
        <f>23.06</f>
        <v>23.06</v>
      </c>
    </row>
    <row r="3239" spans="1:5" x14ac:dyDescent="0.2">
      <c r="A3239" s="1">
        <v>40609</v>
      </c>
      <c r="B3239">
        <f>20.66</f>
        <v>20.66</v>
      </c>
      <c r="C3239">
        <f>24.4135</f>
        <v>24.413499999999999</v>
      </c>
      <c r="D3239">
        <f>19.36</f>
        <v>19.36</v>
      </c>
      <c r="E3239">
        <f>22.68</f>
        <v>22.68</v>
      </c>
    </row>
    <row r="3240" spans="1:5" x14ac:dyDescent="0.2">
      <c r="A3240" s="1">
        <v>40606</v>
      </c>
      <c r="B3240">
        <f>19.06</f>
        <v>19.059999999999999</v>
      </c>
      <c r="C3240">
        <f>23.6358</f>
        <v>23.6358</v>
      </c>
      <c r="D3240">
        <f>18.74</f>
        <v>18.739999999999998</v>
      </c>
      <c r="E3240">
        <f>22.68</f>
        <v>22.68</v>
      </c>
    </row>
    <row r="3241" spans="1:5" x14ac:dyDescent="0.2">
      <c r="A3241" s="1">
        <v>40605</v>
      </c>
      <c r="B3241">
        <f>18.6</f>
        <v>18.600000000000001</v>
      </c>
      <c r="C3241">
        <f>23.9314</f>
        <v>23.9314</v>
      </c>
      <c r="D3241">
        <f>19.45</f>
        <v>19.45</v>
      </c>
      <c r="E3241">
        <f>22.68</f>
        <v>22.68</v>
      </c>
    </row>
    <row r="3242" spans="1:5" x14ac:dyDescent="0.2">
      <c r="A3242" s="1">
        <v>40604</v>
      </c>
      <c r="B3242">
        <f>20.7</f>
        <v>20.7</v>
      </c>
      <c r="C3242">
        <f>24.5965</f>
        <v>24.596499999999999</v>
      </c>
      <c r="D3242">
        <f>20.6</f>
        <v>20.6</v>
      </c>
      <c r="E3242">
        <f>23.19</f>
        <v>23.19</v>
      </c>
    </row>
    <row r="3243" spans="1:5" x14ac:dyDescent="0.2">
      <c r="A3243" s="1">
        <v>40603</v>
      </c>
      <c r="B3243">
        <f>21.01</f>
        <v>21.01</v>
      </c>
      <c r="C3243">
        <f>23.82</f>
        <v>23.82</v>
      </c>
      <c r="D3243">
        <f>20.56</f>
        <v>20.56</v>
      </c>
      <c r="E3243">
        <f>23.45</f>
        <v>23.45</v>
      </c>
    </row>
    <row r="3244" spans="1:5" x14ac:dyDescent="0.2">
      <c r="A3244" s="1">
        <v>40602</v>
      </c>
      <c r="B3244">
        <f>18.35</f>
        <v>18.350000000000001</v>
      </c>
      <c r="C3244">
        <f>22.7141</f>
        <v>22.714099999999998</v>
      </c>
      <c r="D3244">
        <f>19.38</f>
        <v>19.38</v>
      </c>
      <c r="E3244">
        <f>23.19</f>
        <v>23.19</v>
      </c>
    </row>
    <row r="3245" spans="1:5" x14ac:dyDescent="0.2">
      <c r="A3245" s="1">
        <v>40599</v>
      </c>
      <c r="B3245">
        <f>19.22</f>
        <v>19.22</v>
      </c>
      <c r="C3245">
        <f>23.1032</f>
        <v>23.103200000000001</v>
      </c>
      <c r="D3245">
        <f>19.55</f>
        <v>19.55</v>
      </c>
      <c r="E3245">
        <f>23.47</f>
        <v>23.47</v>
      </c>
    </row>
    <row r="3246" spans="1:5" x14ac:dyDescent="0.2">
      <c r="A3246" s="1">
        <v>40598</v>
      </c>
      <c r="B3246">
        <f>21.32</f>
        <v>21.32</v>
      </c>
      <c r="C3246">
        <f>24.9885</f>
        <v>24.988499999999998</v>
      </c>
      <c r="D3246">
        <f>22.51</f>
        <v>22.51</v>
      </c>
      <c r="E3246">
        <f>22.94</f>
        <v>22.94</v>
      </c>
    </row>
    <row r="3247" spans="1:5" x14ac:dyDescent="0.2">
      <c r="A3247" s="1">
        <v>40597</v>
      </c>
      <c r="B3247">
        <f>22.13</f>
        <v>22.13</v>
      </c>
      <c r="C3247">
        <f>24.9891</f>
        <v>24.989100000000001</v>
      </c>
      <c r="D3247">
        <f>22.65</f>
        <v>22.65</v>
      </c>
      <c r="E3247">
        <f>21.91</f>
        <v>21.91</v>
      </c>
    </row>
    <row r="3248" spans="1:5" x14ac:dyDescent="0.2">
      <c r="A3248" s="1">
        <v>40596</v>
      </c>
      <c r="B3248">
        <f>20.8</f>
        <v>20.8</v>
      </c>
      <c r="C3248">
        <f>23.9321</f>
        <v>23.932099999999998</v>
      </c>
      <c r="D3248">
        <f>20.31</f>
        <v>20.309999999999999</v>
      </c>
      <c r="E3248">
        <f>21.12</f>
        <v>21.12</v>
      </c>
    </row>
    <row r="3249" spans="1:5" x14ac:dyDescent="0.2">
      <c r="A3249" s="1">
        <v>40595</v>
      </c>
      <c r="B3249" t="e">
        <f>NA()</f>
        <v>#N/A</v>
      </c>
      <c r="C3249">
        <f>22.1446</f>
        <v>22.144600000000001</v>
      </c>
      <c r="D3249" t="e">
        <f>NA()</f>
        <v>#N/A</v>
      </c>
      <c r="E3249">
        <f>20.67</f>
        <v>20.67</v>
      </c>
    </row>
    <row r="3250" spans="1:5" x14ac:dyDescent="0.2">
      <c r="A3250" s="1">
        <v>40592</v>
      </c>
      <c r="B3250">
        <f>16.43</f>
        <v>16.43</v>
      </c>
      <c r="C3250">
        <f>19.6952</f>
        <v>19.6952</v>
      </c>
      <c r="D3250" t="e">
        <f>NA()</f>
        <v>#N/A</v>
      </c>
      <c r="E3250">
        <f>20.92</f>
        <v>20.92</v>
      </c>
    </row>
    <row r="3251" spans="1:5" x14ac:dyDescent="0.2">
      <c r="A3251" s="1">
        <v>40591</v>
      </c>
      <c r="B3251">
        <f>16.59</f>
        <v>16.59</v>
      </c>
      <c r="C3251">
        <f>19.9957</f>
        <v>19.995699999999999</v>
      </c>
      <c r="D3251" t="e">
        <f>NA()</f>
        <v>#N/A</v>
      </c>
      <c r="E3251">
        <f>20.66</f>
        <v>20.66</v>
      </c>
    </row>
    <row r="3252" spans="1:5" x14ac:dyDescent="0.2">
      <c r="A3252" s="1">
        <v>40590</v>
      </c>
      <c r="B3252">
        <f>16.72</f>
        <v>16.72</v>
      </c>
      <c r="C3252">
        <f>19.1885</f>
        <v>19.188500000000001</v>
      </c>
      <c r="D3252">
        <f>16.38</f>
        <v>16.38</v>
      </c>
      <c r="E3252">
        <f>20.66</f>
        <v>20.66</v>
      </c>
    </row>
    <row r="3253" spans="1:5" x14ac:dyDescent="0.2">
      <c r="A3253" s="1">
        <v>40589</v>
      </c>
      <c r="B3253">
        <f>16.37</f>
        <v>16.37</v>
      </c>
      <c r="C3253">
        <f>20.4386</f>
        <v>20.438600000000001</v>
      </c>
      <c r="D3253">
        <f>16.48</f>
        <v>16.48</v>
      </c>
      <c r="E3253">
        <f>21.13</f>
        <v>21.13</v>
      </c>
    </row>
    <row r="3254" spans="1:5" x14ac:dyDescent="0.2">
      <c r="A3254" s="1">
        <v>40588</v>
      </c>
      <c r="B3254">
        <f>15.95</f>
        <v>15.95</v>
      </c>
      <c r="C3254">
        <f>20.7408</f>
        <v>20.7408</v>
      </c>
      <c r="D3254" t="e">
        <f>NA()</f>
        <v>#N/A</v>
      </c>
      <c r="E3254">
        <f>21.13</f>
        <v>21.13</v>
      </c>
    </row>
    <row r="3255" spans="1:5" x14ac:dyDescent="0.2">
      <c r="A3255" s="1">
        <v>40585</v>
      </c>
      <c r="B3255">
        <f>15.69</f>
        <v>15.69</v>
      </c>
      <c r="C3255">
        <f>19.946</f>
        <v>19.946000000000002</v>
      </c>
      <c r="D3255">
        <f>15.84</f>
        <v>15.84</v>
      </c>
      <c r="E3255">
        <f>21.88</f>
        <v>21.88</v>
      </c>
    </row>
    <row r="3256" spans="1:5" x14ac:dyDescent="0.2">
      <c r="A3256" s="1">
        <v>40584</v>
      </c>
      <c r="B3256">
        <f>16.09</f>
        <v>16.09</v>
      </c>
      <c r="C3256">
        <f>19.7522</f>
        <v>19.752199999999998</v>
      </c>
      <c r="D3256">
        <f>15.91</f>
        <v>15.91</v>
      </c>
      <c r="E3256">
        <f>22.65</f>
        <v>22.65</v>
      </c>
    </row>
    <row r="3257" spans="1:5" x14ac:dyDescent="0.2">
      <c r="A3257" s="1">
        <v>40583</v>
      </c>
      <c r="B3257">
        <f>15.87</f>
        <v>15.87</v>
      </c>
      <c r="C3257">
        <f>19.7493</f>
        <v>19.749300000000002</v>
      </c>
      <c r="D3257">
        <f>16.28</f>
        <v>16.28</v>
      </c>
      <c r="E3257">
        <f>22.38</f>
        <v>22.38</v>
      </c>
    </row>
    <row r="3258" spans="1:5" x14ac:dyDescent="0.2">
      <c r="A3258" s="1">
        <v>40582</v>
      </c>
      <c r="B3258">
        <f>15.81</f>
        <v>15.81</v>
      </c>
      <c r="C3258">
        <f>20.206</f>
        <v>20.206</v>
      </c>
      <c r="D3258">
        <f>15.85</f>
        <v>15.85</v>
      </c>
      <c r="E3258">
        <f>22.12</f>
        <v>22.12</v>
      </c>
    </row>
    <row r="3259" spans="1:5" x14ac:dyDescent="0.2">
      <c r="A3259" s="1">
        <v>40581</v>
      </c>
      <c r="B3259">
        <f>16.28</f>
        <v>16.28</v>
      </c>
      <c r="C3259">
        <f>20.3702</f>
        <v>20.370200000000001</v>
      </c>
      <c r="D3259">
        <f>17.28</f>
        <v>17.28</v>
      </c>
      <c r="E3259">
        <f>22.43</f>
        <v>22.43</v>
      </c>
    </row>
    <row r="3260" spans="1:5" x14ac:dyDescent="0.2">
      <c r="A3260" s="1">
        <v>40578</v>
      </c>
      <c r="B3260">
        <f>15.93</f>
        <v>15.93</v>
      </c>
      <c r="C3260">
        <f>20.8982</f>
        <v>20.898199999999999</v>
      </c>
      <c r="D3260">
        <f>17.72</f>
        <v>17.72</v>
      </c>
      <c r="E3260">
        <f>22.16</f>
        <v>22.16</v>
      </c>
    </row>
    <row r="3261" spans="1:5" x14ac:dyDescent="0.2">
      <c r="A3261" s="1">
        <v>40577</v>
      </c>
      <c r="B3261">
        <f>16.69</f>
        <v>16.690000000000001</v>
      </c>
      <c r="C3261">
        <f>22.0919</f>
        <v>22.091899999999999</v>
      </c>
      <c r="D3261">
        <f>18.69</f>
        <v>18.690000000000001</v>
      </c>
      <c r="E3261">
        <f>22.41</f>
        <v>22.41</v>
      </c>
    </row>
    <row r="3262" spans="1:5" x14ac:dyDescent="0.2">
      <c r="A3262" s="1">
        <v>40576</v>
      </c>
      <c r="B3262">
        <f>17.3</f>
        <v>17.3</v>
      </c>
      <c r="C3262">
        <f>21.6554</f>
        <v>21.6554</v>
      </c>
      <c r="D3262">
        <f>18.65</f>
        <v>18.649999999999999</v>
      </c>
      <c r="E3262">
        <f>22.92</f>
        <v>22.92</v>
      </c>
    </row>
    <row r="3263" spans="1:5" x14ac:dyDescent="0.2">
      <c r="A3263" s="1">
        <v>40575</v>
      </c>
      <c r="B3263">
        <f>17.63</f>
        <v>17.63</v>
      </c>
      <c r="C3263">
        <f>22.1521</f>
        <v>22.152100000000001</v>
      </c>
      <c r="D3263">
        <f>18.61</f>
        <v>18.61</v>
      </c>
      <c r="E3263">
        <f>23.76</f>
        <v>23.76</v>
      </c>
    </row>
    <row r="3264" spans="1:5" x14ac:dyDescent="0.2">
      <c r="A3264" s="1">
        <v>40574</v>
      </c>
      <c r="B3264">
        <f>19.53</f>
        <v>19.53</v>
      </c>
      <c r="C3264">
        <f>22.7339</f>
        <v>22.733899999999998</v>
      </c>
      <c r="D3264">
        <f>19.08</f>
        <v>19.079999999999998</v>
      </c>
      <c r="E3264">
        <f>24.62</f>
        <v>24.62</v>
      </c>
    </row>
    <row r="3265" spans="1:5" x14ac:dyDescent="0.2">
      <c r="A3265" s="1">
        <v>40571</v>
      </c>
      <c r="B3265">
        <f>20.04</f>
        <v>20.04</v>
      </c>
      <c r="C3265">
        <f>22.1322</f>
        <v>22.132200000000001</v>
      </c>
      <c r="D3265">
        <f>18.26</f>
        <v>18.260000000000002</v>
      </c>
      <c r="E3265">
        <f>24.32</f>
        <v>24.32</v>
      </c>
    </row>
    <row r="3266" spans="1:5" x14ac:dyDescent="0.2">
      <c r="A3266" s="1">
        <v>40570</v>
      </c>
      <c r="B3266">
        <f>16.15</f>
        <v>16.149999999999999</v>
      </c>
      <c r="C3266">
        <f>21.1087</f>
        <v>21.108699999999999</v>
      </c>
      <c r="D3266">
        <f>17.79</f>
        <v>17.79</v>
      </c>
      <c r="E3266">
        <f>23.31</f>
        <v>23.31</v>
      </c>
    </row>
    <row r="3267" spans="1:5" x14ac:dyDescent="0.2">
      <c r="A3267" s="1">
        <v>40569</v>
      </c>
      <c r="B3267">
        <f>16.64</f>
        <v>16.64</v>
      </c>
      <c r="C3267">
        <f>21.5269</f>
        <v>21.526900000000001</v>
      </c>
      <c r="D3267">
        <f>17.85</f>
        <v>17.850000000000001</v>
      </c>
      <c r="E3267">
        <f>23.56</f>
        <v>23.56</v>
      </c>
    </row>
    <row r="3268" spans="1:5" x14ac:dyDescent="0.2">
      <c r="A3268" s="1">
        <v>40568</v>
      </c>
      <c r="B3268">
        <f>17.59</f>
        <v>17.59</v>
      </c>
      <c r="C3268">
        <f>21.5594</f>
        <v>21.5594</v>
      </c>
      <c r="D3268">
        <f>17.89</f>
        <v>17.89</v>
      </c>
      <c r="E3268">
        <f>23.88</f>
        <v>23.88</v>
      </c>
    </row>
    <row r="3269" spans="1:5" x14ac:dyDescent="0.2">
      <c r="A3269" s="1">
        <v>40567</v>
      </c>
      <c r="B3269">
        <f>17.65</f>
        <v>17.649999999999999</v>
      </c>
      <c r="C3269">
        <f>20.3845</f>
        <v>20.384499999999999</v>
      </c>
      <c r="D3269">
        <f>17.27</f>
        <v>17.27</v>
      </c>
      <c r="E3269">
        <f>23.44</f>
        <v>23.44</v>
      </c>
    </row>
    <row r="3270" spans="1:5" x14ac:dyDescent="0.2">
      <c r="A3270" s="1">
        <v>40564</v>
      </c>
      <c r="B3270">
        <f>18.47</f>
        <v>18.47</v>
      </c>
      <c r="C3270">
        <f>19.8027</f>
        <v>19.802700000000002</v>
      </c>
      <c r="D3270">
        <f>17.26</f>
        <v>17.260000000000002</v>
      </c>
      <c r="E3270">
        <f>22.47</f>
        <v>22.47</v>
      </c>
    </row>
    <row r="3271" spans="1:5" x14ac:dyDescent="0.2">
      <c r="A3271" s="1">
        <v>40563</v>
      </c>
      <c r="B3271">
        <f>17.99</f>
        <v>17.989999999999998</v>
      </c>
      <c r="C3271">
        <f>21.1074</f>
        <v>21.107399999999998</v>
      </c>
      <c r="D3271">
        <f>18.77</f>
        <v>18.77</v>
      </c>
      <c r="E3271">
        <f>22.7</f>
        <v>22.7</v>
      </c>
    </row>
    <row r="3272" spans="1:5" x14ac:dyDescent="0.2">
      <c r="A3272" s="1">
        <v>40562</v>
      </c>
      <c r="B3272">
        <f>17.31</f>
        <v>17.309999999999999</v>
      </c>
      <c r="C3272">
        <f>21.2715</f>
        <v>21.2715</v>
      </c>
      <c r="D3272" t="e">
        <f>NA()</f>
        <v>#N/A</v>
      </c>
      <c r="E3272">
        <f>21.86</f>
        <v>21.86</v>
      </c>
    </row>
    <row r="3273" spans="1:5" x14ac:dyDescent="0.2">
      <c r="A3273" s="1">
        <v>40561</v>
      </c>
      <c r="B3273">
        <f>15.87</f>
        <v>15.87</v>
      </c>
      <c r="C3273">
        <f>20.1918</f>
        <v>20.191800000000001</v>
      </c>
      <c r="D3273">
        <f>16.17</f>
        <v>16.170000000000002</v>
      </c>
      <c r="E3273">
        <f>21.59</f>
        <v>21.59</v>
      </c>
    </row>
    <row r="3274" spans="1:5" x14ac:dyDescent="0.2">
      <c r="A3274" s="1">
        <v>40560</v>
      </c>
      <c r="B3274" t="e">
        <f>NA()</f>
        <v>#N/A</v>
      </c>
      <c r="C3274">
        <f>21.1731</f>
        <v>21.173100000000002</v>
      </c>
      <c r="D3274">
        <f>17.07</f>
        <v>17.07</v>
      </c>
      <c r="E3274">
        <f>22.77</f>
        <v>22.77</v>
      </c>
    </row>
    <row r="3275" spans="1:5" x14ac:dyDescent="0.2">
      <c r="A3275" s="1">
        <v>40557</v>
      </c>
      <c r="B3275">
        <f>15.46</f>
        <v>15.46</v>
      </c>
      <c r="C3275">
        <f>20.4446</f>
        <v>20.444600000000001</v>
      </c>
      <c r="D3275">
        <f>16.35</f>
        <v>16.350000000000001</v>
      </c>
      <c r="E3275">
        <f>21.02</f>
        <v>21.02</v>
      </c>
    </row>
    <row r="3276" spans="1:5" x14ac:dyDescent="0.2">
      <c r="A3276" s="1">
        <v>40556</v>
      </c>
      <c r="B3276">
        <f>16.39</f>
        <v>16.39</v>
      </c>
      <c r="C3276">
        <f>21.4741</f>
        <v>21.4741</v>
      </c>
      <c r="D3276">
        <f>18.04</f>
        <v>18.04</v>
      </c>
      <c r="E3276">
        <f>21.06</f>
        <v>21.06</v>
      </c>
    </row>
    <row r="3277" spans="1:5" x14ac:dyDescent="0.2">
      <c r="A3277" s="1">
        <v>40555</v>
      </c>
      <c r="B3277">
        <f>16.24</f>
        <v>16.239999999999998</v>
      </c>
      <c r="C3277">
        <f>22.2715</f>
        <v>22.2715</v>
      </c>
      <c r="D3277">
        <f>17.47</f>
        <v>17.47</v>
      </c>
      <c r="E3277">
        <f>21.3</f>
        <v>21.3</v>
      </c>
    </row>
    <row r="3278" spans="1:5" x14ac:dyDescent="0.2">
      <c r="A3278" s="1">
        <v>40554</v>
      </c>
      <c r="B3278">
        <f>16.89</f>
        <v>16.89</v>
      </c>
      <c r="C3278">
        <f>23.8595</f>
        <v>23.859500000000001</v>
      </c>
      <c r="D3278">
        <f>18.15</f>
        <v>18.149999999999999</v>
      </c>
      <c r="E3278">
        <f>21.8</f>
        <v>21.8</v>
      </c>
    </row>
    <row r="3279" spans="1:5" x14ac:dyDescent="0.2">
      <c r="A3279" s="1">
        <v>40553</v>
      </c>
      <c r="B3279">
        <f>17.54</f>
        <v>17.54</v>
      </c>
      <c r="C3279">
        <f>25.7194</f>
        <v>25.7194</v>
      </c>
      <c r="D3279">
        <f>19.22</f>
        <v>19.22</v>
      </c>
      <c r="E3279">
        <f>22.69</f>
        <v>22.69</v>
      </c>
    </row>
    <row r="3280" spans="1:5" x14ac:dyDescent="0.2">
      <c r="A3280" s="1">
        <v>40550</v>
      </c>
      <c r="B3280">
        <f>17.14</f>
        <v>17.14</v>
      </c>
      <c r="C3280">
        <f>23.9501</f>
        <v>23.950099999999999</v>
      </c>
      <c r="D3280">
        <f>18.27</f>
        <v>18.27</v>
      </c>
      <c r="E3280">
        <f>22.3</f>
        <v>22.3</v>
      </c>
    </row>
    <row r="3281" spans="1:5" x14ac:dyDescent="0.2">
      <c r="A3281" s="1">
        <v>40549</v>
      </c>
      <c r="B3281">
        <f>17.4</f>
        <v>17.399999999999999</v>
      </c>
      <c r="C3281">
        <f>23.3018</f>
        <v>23.3018</v>
      </c>
      <c r="D3281">
        <f>17.44</f>
        <v>17.440000000000001</v>
      </c>
      <c r="E3281">
        <f>21.97</f>
        <v>21.97</v>
      </c>
    </row>
    <row r="3282" spans="1:5" x14ac:dyDescent="0.2">
      <c r="A3282" s="1">
        <v>40548</v>
      </c>
      <c r="B3282">
        <f>17.02</f>
        <v>17.02</v>
      </c>
      <c r="C3282">
        <f>23.0796</f>
        <v>23.079599999999999</v>
      </c>
      <c r="D3282">
        <f>16.69</f>
        <v>16.690000000000001</v>
      </c>
      <c r="E3282">
        <f>21.96</f>
        <v>21.96</v>
      </c>
    </row>
    <row r="3283" spans="1:5" x14ac:dyDescent="0.2">
      <c r="A3283" s="1">
        <v>40547</v>
      </c>
      <c r="B3283">
        <f>17.38</f>
        <v>17.38</v>
      </c>
      <c r="C3283">
        <f>23.156</f>
        <v>23.155999999999999</v>
      </c>
      <c r="D3283">
        <f>18.36</f>
        <v>18.36</v>
      </c>
      <c r="E3283">
        <f>21.27</f>
        <v>21.27</v>
      </c>
    </row>
    <row r="3284" spans="1:5" x14ac:dyDescent="0.2">
      <c r="A3284" s="1">
        <v>40546</v>
      </c>
      <c r="B3284">
        <f>17.61</f>
        <v>17.61</v>
      </c>
      <c r="C3284">
        <f>23.6239</f>
        <v>23.623899999999999</v>
      </c>
      <c r="D3284" t="e">
        <f>NA()</f>
        <v>#N/A</v>
      </c>
      <c r="E3284">
        <f>21.5</f>
        <v>21.5</v>
      </c>
    </row>
    <row r="3285" spans="1:5" x14ac:dyDescent="0.2">
      <c r="A3285" s="1">
        <v>40543</v>
      </c>
      <c r="B3285">
        <f>17.75</f>
        <v>17.75</v>
      </c>
      <c r="C3285" t="e">
        <f>NA()</f>
        <v>#N/A</v>
      </c>
      <c r="D3285">
        <f>18.78</f>
        <v>18.78</v>
      </c>
      <c r="E3285">
        <f>21.66</f>
        <v>21.66</v>
      </c>
    </row>
    <row r="3286" spans="1:5" x14ac:dyDescent="0.2">
      <c r="A3286" s="1">
        <v>40542</v>
      </c>
      <c r="B3286">
        <f>17.52</f>
        <v>17.52</v>
      </c>
      <c r="C3286">
        <f>23.9165</f>
        <v>23.916499999999999</v>
      </c>
      <c r="D3286">
        <f>18.16</f>
        <v>18.16</v>
      </c>
      <c r="E3286">
        <f>21.4</f>
        <v>21.4</v>
      </c>
    </row>
    <row r="3287" spans="1:5" x14ac:dyDescent="0.2">
      <c r="A3287" s="1">
        <v>40541</v>
      </c>
      <c r="B3287">
        <f>17.28</f>
        <v>17.28</v>
      </c>
      <c r="C3287">
        <f>22.009</f>
        <v>22.009</v>
      </c>
      <c r="D3287">
        <f>16.89</f>
        <v>16.89</v>
      </c>
      <c r="E3287">
        <f>21.56</f>
        <v>21.56</v>
      </c>
    </row>
    <row r="3288" spans="1:5" x14ac:dyDescent="0.2">
      <c r="A3288" s="1">
        <v>40540</v>
      </c>
      <c r="B3288">
        <f>17.52</f>
        <v>17.52</v>
      </c>
      <c r="C3288">
        <f>22.5709</f>
        <v>22.570900000000002</v>
      </c>
      <c r="D3288" t="e">
        <f>NA()</f>
        <v>#N/A</v>
      </c>
      <c r="E3288">
        <f>21.8</f>
        <v>21.8</v>
      </c>
    </row>
    <row r="3289" spans="1:5" x14ac:dyDescent="0.2">
      <c r="A3289" s="1">
        <v>40539</v>
      </c>
      <c r="B3289">
        <f>17.67</f>
        <v>17.670000000000002</v>
      </c>
      <c r="C3289">
        <f>22.5773</f>
        <v>22.577300000000001</v>
      </c>
      <c r="D3289" t="e">
        <f>NA()</f>
        <v>#N/A</v>
      </c>
      <c r="E3289" t="e">
        <f>NA()</f>
        <v>#N/A</v>
      </c>
    </row>
    <row r="3290" spans="1:5" x14ac:dyDescent="0.2">
      <c r="A3290" s="1">
        <v>40536</v>
      </c>
      <c r="B3290" t="e">
        <f>NA()</f>
        <v>#N/A</v>
      </c>
      <c r="C3290" t="e">
        <f>NA()</f>
        <v>#N/A</v>
      </c>
      <c r="D3290">
        <f>15.21</f>
        <v>15.21</v>
      </c>
      <c r="E3290">
        <f>21.55</f>
        <v>21.55</v>
      </c>
    </row>
    <row r="3291" spans="1:5" x14ac:dyDescent="0.2">
      <c r="A3291" s="1">
        <v>40535</v>
      </c>
      <c r="B3291">
        <f>16.47</f>
        <v>16.47</v>
      </c>
      <c r="C3291">
        <f>19.5693</f>
        <v>19.569299999999998</v>
      </c>
      <c r="D3291">
        <f>14.8</f>
        <v>14.8</v>
      </c>
      <c r="E3291">
        <f>21.53</f>
        <v>21.53</v>
      </c>
    </row>
    <row r="3292" spans="1:5" x14ac:dyDescent="0.2">
      <c r="A3292" s="1">
        <v>40534</v>
      </c>
      <c r="B3292">
        <f>15.45</f>
        <v>15.45</v>
      </c>
      <c r="C3292">
        <f>18.5947</f>
        <v>18.5947</v>
      </c>
      <c r="D3292">
        <f>14.32</f>
        <v>14.32</v>
      </c>
      <c r="E3292">
        <f>21.45</f>
        <v>21.45</v>
      </c>
    </row>
    <row r="3293" spans="1:5" x14ac:dyDescent="0.2">
      <c r="A3293" s="1">
        <v>40533</v>
      </c>
      <c r="B3293">
        <f>16.49</f>
        <v>16.489999999999998</v>
      </c>
      <c r="C3293">
        <f>18.4719</f>
        <v>18.471900000000002</v>
      </c>
      <c r="D3293">
        <f>14.64</f>
        <v>14.64</v>
      </c>
      <c r="E3293">
        <f>20.99</f>
        <v>20.99</v>
      </c>
    </row>
    <row r="3294" spans="1:5" x14ac:dyDescent="0.2">
      <c r="A3294" s="1">
        <v>40532</v>
      </c>
      <c r="B3294">
        <f>16.41</f>
        <v>16.41</v>
      </c>
      <c r="C3294">
        <f>18.68</f>
        <v>18.68</v>
      </c>
      <c r="D3294">
        <f>14.56</f>
        <v>14.56</v>
      </c>
      <c r="E3294">
        <f>22.83</f>
        <v>22.83</v>
      </c>
    </row>
    <row r="3295" spans="1:5" x14ac:dyDescent="0.2">
      <c r="A3295" s="1">
        <v>40529</v>
      </c>
      <c r="B3295">
        <f>16.11</f>
        <v>16.11</v>
      </c>
      <c r="C3295">
        <f>19.2522</f>
        <v>19.252199999999998</v>
      </c>
      <c r="D3295">
        <f>14.76</f>
        <v>14.76</v>
      </c>
      <c r="E3295">
        <f>23.83</f>
        <v>23.83</v>
      </c>
    </row>
    <row r="3296" spans="1:5" x14ac:dyDescent="0.2">
      <c r="A3296" s="1">
        <v>40528</v>
      </c>
      <c r="B3296">
        <f>17.39</f>
        <v>17.39</v>
      </c>
      <c r="C3296">
        <f>18.3588</f>
        <v>18.358799999999999</v>
      </c>
      <c r="D3296">
        <f>15.15</f>
        <v>15.15</v>
      </c>
      <c r="E3296" t="e">
        <f>NA()</f>
        <v>#N/A</v>
      </c>
    </row>
    <row r="3297" spans="1:5" x14ac:dyDescent="0.2">
      <c r="A3297" s="1">
        <v>40527</v>
      </c>
      <c r="B3297">
        <f>17.94</f>
        <v>17.940000000000001</v>
      </c>
      <c r="C3297">
        <f>19.8565</f>
        <v>19.8565</v>
      </c>
      <c r="D3297">
        <f>14.09</f>
        <v>14.09</v>
      </c>
      <c r="E3297">
        <f>23.6</f>
        <v>23.6</v>
      </c>
    </row>
    <row r="3298" spans="1:5" x14ac:dyDescent="0.2">
      <c r="A3298" s="1">
        <v>40526</v>
      </c>
      <c r="B3298">
        <f>17.61</f>
        <v>17.61</v>
      </c>
      <c r="C3298">
        <f>19.7225</f>
        <v>19.7225</v>
      </c>
      <c r="D3298">
        <f>13.84</f>
        <v>13.84</v>
      </c>
      <c r="E3298">
        <f>23.57</f>
        <v>23.57</v>
      </c>
    </row>
    <row r="3299" spans="1:5" x14ac:dyDescent="0.2">
      <c r="A3299" s="1">
        <v>40525</v>
      </c>
      <c r="B3299">
        <f>17.55</f>
        <v>17.55</v>
      </c>
      <c r="C3299">
        <f>20.4241</f>
        <v>20.424099999999999</v>
      </c>
      <c r="D3299">
        <f>14.2</f>
        <v>14.2</v>
      </c>
      <c r="E3299">
        <f>23.57</f>
        <v>23.57</v>
      </c>
    </row>
    <row r="3300" spans="1:5" x14ac:dyDescent="0.2">
      <c r="A3300" s="1">
        <v>40522</v>
      </c>
      <c r="B3300">
        <f>17.61</f>
        <v>17.61</v>
      </c>
      <c r="C3300">
        <f>21.1483</f>
        <v>21.148299999999999</v>
      </c>
      <c r="D3300">
        <f>14.88</f>
        <v>14.88</v>
      </c>
      <c r="E3300">
        <f>24.09</f>
        <v>24.09</v>
      </c>
    </row>
    <row r="3301" spans="1:5" x14ac:dyDescent="0.2">
      <c r="A3301" s="1">
        <v>40521</v>
      </c>
      <c r="B3301">
        <f>17.25</f>
        <v>17.25</v>
      </c>
      <c r="C3301">
        <f>21.6528</f>
        <v>21.652799999999999</v>
      </c>
      <c r="D3301">
        <f>14.78</f>
        <v>14.78</v>
      </c>
      <c r="E3301">
        <f>23.59</f>
        <v>23.59</v>
      </c>
    </row>
    <row r="3302" spans="1:5" x14ac:dyDescent="0.2">
      <c r="A3302" s="1">
        <v>40520</v>
      </c>
      <c r="B3302">
        <f>17.74</f>
        <v>17.739999999999998</v>
      </c>
      <c r="C3302">
        <f>22.4882</f>
        <v>22.488199999999999</v>
      </c>
      <c r="D3302">
        <f>18.39</f>
        <v>18.39</v>
      </c>
      <c r="E3302">
        <f>23.57</f>
        <v>23.57</v>
      </c>
    </row>
    <row r="3303" spans="1:5" x14ac:dyDescent="0.2">
      <c r="A3303" s="1">
        <v>40519</v>
      </c>
      <c r="B3303">
        <f>17.99</f>
        <v>17.989999999999998</v>
      </c>
      <c r="C3303">
        <f>23.3351</f>
        <v>23.335100000000001</v>
      </c>
      <c r="D3303">
        <f>18.33</f>
        <v>18.329999999999998</v>
      </c>
      <c r="E3303">
        <f>23.32</f>
        <v>23.32</v>
      </c>
    </row>
    <row r="3304" spans="1:5" x14ac:dyDescent="0.2">
      <c r="A3304" s="1">
        <v>40518</v>
      </c>
      <c r="B3304">
        <f>18.02</f>
        <v>18.02</v>
      </c>
      <c r="C3304">
        <f>24.7228</f>
        <v>24.722799999999999</v>
      </c>
      <c r="D3304">
        <f>18.99</f>
        <v>18.989999999999998</v>
      </c>
      <c r="E3304">
        <f>23.8</f>
        <v>23.8</v>
      </c>
    </row>
    <row r="3305" spans="1:5" x14ac:dyDescent="0.2">
      <c r="A3305" s="1">
        <v>40515</v>
      </c>
      <c r="B3305">
        <f>18.01</f>
        <v>18.010000000000002</v>
      </c>
      <c r="C3305">
        <f>23.8826</f>
        <v>23.8826</v>
      </c>
      <c r="D3305">
        <f>18.98</f>
        <v>18.98</v>
      </c>
      <c r="E3305">
        <f>23.82</f>
        <v>23.82</v>
      </c>
    </row>
    <row r="3306" spans="1:5" x14ac:dyDescent="0.2">
      <c r="A3306" s="1">
        <v>40514</v>
      </c>
      <c r="B3306">
        <f>19.39</f>
        <v>19.39</v>
      </c>
      <c r="C3306">
        <f>25.3572</f>
        <v>25.357199999999999</v>
      </c>
      <c r="D3306">
        <f>19.63</f>
        <v>19.63</v>
      </c>
      <c r="E3306">
        <f>23.31</f>
        <v>23.31</v>
      </c>
    </row>
    <row r="3307" spans="1:5" x14ac:dyDescent="0.2">
      <c r="A3307" s="1">
        <v>40513</v>
      </c>
      <c r="B3307">
        <f>21.36</f>
        <v>21.36</v>
      </c>
      <c r="C3307">
        <f>28.1338</f>
        <v>28.133800000000001</v>
      </c>
      <c r="D3307">
        <f>22.25</f>
        <v>22.25</v>
      </c>
      <c r="E3307">
        <f>22.78</f>
        <v>22.78</v>
      </c>
    </row>
    <row r="3308" spans="1:5" x14ac:dyDescent="0.2">
      <c r="A3308" s="1">
        <v>40512</v>
      </c>
      <c r="B3308">
        <f>23.54</f>
        <v>23.54</v>
      </c>
      <c r="C3308">
        <f>31.0728</f>
        <v>31.072800000000001</v>
      </c>
      <c r="D3308">
        <f>24.59</f>
        <v>24.59</v>
      </c>
      <c r="E3308">
        <f>23.54</f>
        <v>23.54</v>
      </c>
    </row>
    <row r="3309" spans="1:5" x14ac:dyDescent="0.2">
      <c r="A3309" s="1">
        <v>40511</v>
      </c>
      <c r="B3309">
        <f>21.53</f>
        <v>21.53</v>
      </c>
      <c r="C3309">
        <f>30.6685</f>
        <v>30.668500000000002</v>
      </c>
      <c r="D3309">
        <f>24.19</f>
        <v>24.19</v>
      </c>
      <c r="E3309">
        <f>23.02</f>
        <v>23.02</v>
      </c>
    </row>
    <row r="3310" spans="1:5" x14ac:dyDescent="0.2">
      <c r="A3310" s="1">
        <v>40508</v>
      </c>
      <c r="B3310">
        <f>22.22</f>
        <v>22.22</v>
      </c>
      <c r="C3310">
        <f>28.4384</f>
        <v>28.438400000000001</v>
      </c>
      <c r="D3310">
        <f>22.21</f>
        <v>22.21</v>
      </c>
      <c r="E3310">
        <f>22.27</f>
        <v>22.27</v>
      </c>
    </row>
    <row r="3311" spans="1:5" x14ac:dyDescent="0.2">
      <c r="A3311" s="1">
        <v>40507</v>
      </c>
      <c r="B3311" t="e">
        <f>NA()</f>
        <v>#N/A</v>
      </c>
      <c r="C3311">
        <f>25.4157</f>
        <v>25.415700000000001</v>
      </c>
      <c r="D3311">
        <f>20.23</f>
        <v>20.23</v>
      </c>
      <c r="E3311">
        <f>22.01</f>
        <v>22.01</v>
      </c>
    </row>
    <row r="3312" spans="1:5" x14ac:dyDescent="0.2">
      <c r="A3312" s="1">
        <v>40506</v>
      </c>
      <c r="B3312">
        <f>19.56</f>
        <v>19.559999999999999</v>
      </c>
      <c r="C3312">
        <f>26.378</f>
        <v>26.378</v>
      </c>
      <c r="D3312">
        <f>20.8</f>
        <v>20.8</v>
      </c>
      <c r="E3312">
        <f>22</f>
        <v>22</v>
      </c>
    </row>
    <row r="3313" spans="1:5" x14ac:dyDescent="0.2">
      <c r="A3313" s="1">
        <v>40505</v>
      </c>
      <c r="B3313">
        <f>20.63</f>
        <v>20.63</v>
      </c>
      <c r="C3313">
        <f>27.629</f>
        <v>27.629000000000001</v>
      </c>
      <c r="D3313">
        <f>22.92</f>
        <v>22.92</v>
      </c>
      <c r="E3313">
        <f>22.03</f>
        <v>22.03</v>
      </c>
    </row>
    <row r="3314" spans="1:5" x14ac:dyDescent="0.2">
      <c r="A3314" s="1">
        <v>40504</v>
      </c>
      <c r="B3314">
        <f>18.37</f>
        <v>18.37</v>
      </c>
      <c r="C3314">
        <f>23.3719</f>
        <v>23.3719</v>
      </c>
      <c r="D3314">
        <f>20.38</f>
        <v>20.38</v>
      </c>
      <c r="E3314">
        <f>21.25</f>
        <v>21.25</v>
      </c>
    </row>
    <row r="3315" spans="1:5" x14ac:dyDescent="0.2">
      <c r="A3315" s="1">
        <v>40501</v>
      </c>
      <c r="B3315">
        <f>18.04</f>
        <v>18.04</v>
      </c>
      <c r="C3315">
        <f>22.0588</f>
        <v>22.058800000000002</v>
      </c>
      <c r="D3315">
        <f>19.18</f>
        <v>19.18</v>
      </c>
      <c r="E3315">
        <f>21.25</f>
        <v>21.25</v>
      </c>
    </row>
    <row r="3316" spans="1:5" x14ac:dyDescent="0.2">
      <c r="A3316" s="1">
        <v>40500</v>
      </c>
      <c r="B3316">
        <f>18.75</f>
        <v>18.75</v>
      </c>
      <c r="C3316">
        <f>22.9185</f>
        <v>22.918500000000002</v>
      </c>
      <c r="D3316">
        <f>19.63</f>
        <v>19.63</v>
      </c>
      <c r="E3316">
        <f>20.99</f>
        <v>20.99</v>
      </c>
    </row>
    <row r="3317" spans="1:5" x14ac:dyDescent="0.2">
      <c r="A3317" s="1">
        <v>40499</v>
      </c>
      <c r="B3317">
        <f>21.76</f>
        <v>21.76</v>
      </c>
      <c r="C3317">
        <f>24.7764</f>
        <v>24.776399999999999</v>
      </c>
      <c r="D3317">
        <f>21.21</f>
        <v>21.21</v>
      </c>
      <c r="E3317">
        <f>21.48</f>
        <v>21.48</v>
      </c>
    </row>
    <row r="3318" spans="1:5" x14ac:dyDescent="0.2">
      <c r="A3318" s="1">
        <v>40498</v>
      </c>
      <c r="B3318">
        <f>22.58</f>
        <v>22.58</v>
      </c>
      <c r="C3318">
        <f>26.3614</f>
        <v>26.3614</v>
      </c>
      <c r="D3318">
        <f>21.8</f>
        <v>21.8</v>
      </c>
      <c r="E3318">
        <f>21.22</f>
        <v>21.22</v>
      </c>
    </row>
    <row r="3319" spans="1:5" x14ac:dyDescent="0.2">
      <c r="A3319" s="1">
        <v>40497</v>
      </c>
      <c r="B3319">
        <f>20.2</f>
        <v>20.2</v>
      </c>
      <c r="C3319">
        <f>23.6229</f>
        <v>23.622900000000001</v>
      </c>
      <c r="D3319">
        <f>27.74</f>
        <v>27.74</v>
      </c>
      <c r="E3319">
        <f>20.7</f>
        <v>20.7</v>
      </c>
    </row>
    <row r="3320" spans="1:5" x14ac:dyDescent="0.2">
      <c r="A3320" s="1">
        <v>40494</v>
      </c>
      <c r="B3320">
        <f>20.61</f>
        <v>20.61</v>
      </c>
      <c r="C3320">
        <f>24.6155</f>
        <v>24.615500000000001</v>
      </c>
      <c r="D3320">
        <f>28.8</f>
        <v>28.8</v>
      </c>
      <c r="E3320">
        <f>20.95</f>
        <v>20.95</v>
      </c>
    </row>
    <row r="3321" spans="1:5" x14ac:dyDescent="0.2">
      <c r="A3321" s="1">
        <v>40493</v>
      </c>
      <c r="B3321">
        <f>18.64</f>
        <v>18.64</v>
      </c>
      <c r="C3321">
        <f>23.4862</f>
        <v>23.4862</v>
      </c>
      <c r="D3321">
        <f>27.63</f>
        <v>27.63</v>
      </c>
      <c r="E3321">
        <f>20.97</f>
        <v>20.97</v>
      </c>
    </row>
    <row r="3322" spans="1:5" x14ac:dyDescent="0.2">
      <c r="A3322" s="1">
        <v>40492</v>
      </c>
      <c r="B3322">
        <f>18.47</f>
        <v>18.47</v>
      </c>
      <c r="C3322">
        <f>22.6167</f>
        <v>22.616700000000002</v>
      </c>
      <c r="D3322">
        <f>25.82</f>
        <v>25.82</v>
      </c>
      <c r="E3322">
        <f>21.2</f>
        <v>21.2</v>
      </c>
    </row>
    <row r="3323" spans="1:5" x14ac:dyDescent="0.2">
      <c r="A3323" s="1">
        <v>40491</v>
      </c>
      <c r="B3323">
        <f>19.08</f>
        <v>19.079999999999998</v>
      </c>
      <c r="C3323">
        <f>20.6317</f>
        <v>20.631699999999999</v>
      </c>
      <c r="D3323">
        <f>24.59</f>
        <v>24.59</v>
      </c>
      <c r="E3323">
        <f>20.68</f>
        <v>20.68</v>
      </c>
    </row>
    <row r="3324" spans="1:5" x14ac:dyDescent="0.2">
      <c r="A3324" s="1">
        <v>40490</v>
      </c>
      <c r="B3324">
        <f>18.29</f>
        <v>18.29</v>
      </c>
      <c r="C3324">
        <f>21.7672</f>
        <v>21.767199999999999</v>
      </c>
      <c r="D3324">
        <f>27.06</f>
        <v>27.06</v>
      </c>
      <c r="E3324">
        <f>21.41</f>
        <v>21.41</v>
      </c>
    </row>
    <row r="3325" spans="1:5" x14ac:dyDescent="0.2">
      <c r="A3325" s="1">
        <v>40487</v>
      </c>
      <c r="B3325">
        <f>18.26</f>
        <v>18.260000000000002</v>
      </c>
      <c r="C3325">
        <f>21.8485</f>
        <v>21.848500000000001</v>
      </c>
      <c r="D3325">
        <f>27.64</f>
        <v>27.64</v>
      </c>
      <c r="E3325">
        <f>21.43</f>
        <v>21.43</v>
      </c>
    </row>
    <row r="3326" spans="1:5" x14ac:dyDescent="0.2">
      <c r="A3326" s="1">
        <v>40486</v>
      </c>
      <c r="B3326">
        <f>18.52</f>
        <v>18.52</v>
      </c>
      <c r="C3326">
        <f>21.5165</f>
        <v>21.516500000000001</v>
      </c>
      <c r="D3326">
        <f>26.68</f>
        <v>26.68</v>
      </c>
      <c r="E3326">
        <f>21.38</f>
        <v>21.38</v>
      </c>
    </row>
    <row r="3327" spans="1:5" x14ac:dyDescent="0.2">
      <c r="A3327" s="1">
        <v>40485</v>
      </c>
      <c r="B3327">
        <f>19.56</f>
        <v>19.559999999999999</v>
      </c>
      <c r="C3327">
        <f>25.4353</f>
        <v>25.435300000000002</v>
      </c>
      <c r="D3327">
        <f>29.93</f>
        <v>29.93</v>
      </c>
      <c r="E3327">
        <f>22.12</f>
        <v>22.12</v>
      </c>
    </row>
    <row r="3328" spans="1:5" x14ac:dyDescent="0.2">
      <c r="A3328" s="1">
        <v>40484</v>
      </c>
      <c r="B3328">
        <f>21.57</f>
        <v>21.57</v>
      </c>
      <c r="C3328">
        <f>23.8859</f>
        <v>23.885899999999999</v>
      </c>
      <c r="D3328">
        <f>29.01</f>
        <v>29.01</v>
      </c>
      <c r="E3328">
        <f>22.37</f>
        <v>22.37</v>
      </c>
    </row>
    <row r="3329" spans="1:5" x14ac:dyDescent="0.2">
      <c r="A3329" s="1">
        <v>40483</v>
      </c>
      <c r="B3329">
        <f>21.83</f>
        <v>21.83</v>
      </c>
      <c r="C3329">
        <f>24.6186</f>
        <v>24.618600000000001</v>
      </c>
      <c r="D3329">
        <f>29.35</f>
        <v>29.35</v>
      </c>
      <c r="E3329">
        <f>22.37</f>
        <v>22.37</v>
      </c>
    </row>
    <row r="3330" spans="1:5" x14ac:dyDescent="0.2">
      <c r="A3330" s="1">
        <v>40480</v>
      </c>
      <c r="B3330">
        <f>21.2</f>
        <v>21.2</v>
      </c>
      <c r="C3330">
        <f>23.3884</f>
        <v>23.388400000000001</v>
      </c>
      <c r="D3330">
        <f>19.78</f>
        <v>19.78</v>
      </c>
      <c r="E3330">
        <f>22.64</f>
        <v>22.64</v>
      </c>
    </row>
    <row r="3331" spans="1:5" x14ac:dyDescent="0.2">
      <c r="A3331" s="1">
        <v>40479</v>
      </c>
      <c r="B3331">
        <f>20.88</f>
        <v>20.88</v>
      </c>
      <c r="C3331">
        <f>22.81</f>
        <v>22.81</v>
      </c>
      <c r="D3331">
        <f>19.59</f>
        <v>19.59</v>
      </c>
      <c r="E3331">
        <f>22.95</f>
        <v>22.95</v>
      </c>
    </row>
    <row r="3332" spans="1:5" x14ac:dyDescent="0.2">
      <c r="A3332" s="1">
        <v>40478</v>
      </c>
      <c r="B3332">
        <f>20.71</f>
        <v>20.71</v>
      </c>
      <c r="C3332">
        <f>23.9142</f>
        <v>23.914200000000001</v>
      </c>
      <c r="D3332">
        <f>20.23</f>
        <v>20.23</v>
      </c>
      <c r="E3332">
        <f>23.24</f>
        <v>23.24</v>
      </c>
    </row>
    <row r="3333" spans="1:5" x14ac:dyDescent="0.2">
      <c r="A3333" s="1">
        <v>40477</v>
      </c>
      <c r="B3333">
        <f>20.22</f>
        <v>20.22</v>
      </c>
      <c r="C3333">
        <f>22.1475</f>
        <v>22.147500000000001</v>
      </c>
      <c r="D3333">
        <f>19.14</f>
        <v>19.14</v>
      </c>
      <c r="E3333">
        <f>22.98</f>
        <v>22.98</v>
      </c>
    </row>
    <row r="3334" spans="1:5" x14ac:dyDescent="0.2">
      <c r="A3334" s="1">
        <v>40476</v>
      </c>
      <c r="B3334">
        <f>19.85</f>
        <v>19.850000000000001</v>
      </c>
      <c r="C3334">
        <f>22.0429</f>
        <v>22.042899999999999</v>
      </c>
      <c r="D3334">
        <f>18.27</f>
        <v>18.27</v>
      </c>
      <c r="E3334">
        <f>22.61</f>
        <v>22.61</v>
      </c>
    </row>
    <row r="3335" spans="1:5" x14ac:dyDescent="0.2">
      <c r="A3335" s="1">
        <v>40473</v>
      </c>
      <c r="B3335">
        <f>18.78</f>
        <v>18.78</v>
      </c>
      <c r="C3335">
        <f>21.7654</f>
        <v>21.7654</v>
      </c>
      <c r="D3335">
        <f>17.92</f>
        <v>17.920000000000002</v>
      </c>
      <c r="E3335">
        <f>22.88</f>
        <v>22.88</v>
      </c>
    </row>
    <row r="3336" spans="1:5" x14ac:dyDescent="0.2">
      <c r="A3336" s="1">
        <v>40472</v>
      </c>
      <c r="B3336">
        <f>19.27</f>
        <v>19.27</v>
      </c>
      <c r="C3336">
        <f>22.0435</f>
        <v>22.043500000000002</v>
      </c>
      <c r="D3336">
        <f>17.99</f>
        <v>17.989999999999998</v>
      </c>
      <c r="E3336">
        <f>22.36</f>
        <v>22.36</v>
      </c>
    </row>
    <row r="3337" spans="1:5" x14ac:dyDescent="0.2">
      <c r="A3337" s="1">
        <v>40471</v>
      </c>
      <c r="B3337">
        <f>19.79</f>
        <v>19.79</v>
      </c>
      <c r="C3337">
        <f>21.7151</f>
        <v>21.7151</v>
      </c>
      <c r="D3337">
        <f>17.88</f>
        <v>17.88</v>
      </c>
      <c r="E3337">
        <f>22.84</f>
        <v>22.84</v>
      </c>
    </row>
    <row r="3338" spans="1:5" x14ac:dyDescent="0.2">
      <c r="A3338" s="1">
        <v>40470</v>
      </c>
      <c r="B3338">
        <f>20.63</f>
        <v>20.63</v>
      </c>
      <c r="C3338">
        <f>22.0645</f>
        <v>22.064499999999999</v>
      </c>
      <c r="D3338">
        <f>17.96</f>
        <v>17.96</v>
      </c>
      <c r="E3338">
        <f>23.09</f>
        <v>23.09</v>
      </c>
    </row>
    <row r="3339" spans="1:5" x14ac:dyDescent="0.2">
      <c r="A3339" s="1">
        <v>40469</v>
      </c>
      <c r="B3339">
        <f>19.09</f>
        <v>19.09</v>
      </c>
      <c r="C3339">
        <f>21.3909</f>
        <v>21.390899999999998</v>
      </c>
      <c r="D3339">
        <f>17.42</f>
        <v>17.420000000000002</v>
      </c>
      <c r="E3339">
        <f>22.67</f>
        <v>22.67</v>
      </c>
    </row>
    <row r="3340" spans="1:5" x14ac:dyDescent="0.2">
      <c r="A3340" s="1">
        <v>40466</v>
      </c>
      <c r="B3340">
        <f>19.03</f>
        <v>19.03</v>
      </c>
      <c r="C3340">
        <f>21.5816</f>
        <v>21.581600000000002</v>
      </c>
      <c r="D3340">
        <f>17.78</f>
        <v>17.78</v>
      </c>
      <c r="E3340">
        <f>22.84</f>
        <v>22.84</v>
      </c>
    </row>
    <row r="3341" spans="1:5" x14ac:dyDescent="0.2">
      <c r="A3341" s="1">
        <v>40465</v>
      </c>
      <c r="B3341">
        <f>19.88</f>
        <v>19.88</v>
      </c>
      <c r="C3341">
        <f>21.4778</f>
        <v>21.477799999999998</v>
      </c>
      <c r="D3341">
        <f>17.15</f>
        <v>17.149999999999999</v>
      </c>
      <c r="E3341">
        <f>22.58</f>
        <v>22.58</v>
      </c>
    </row>
    <row r="3342" spans="1:5" x14ac:dyDescent="0.2">
      <c r="A3342" s="1">
        <v>40464</v>
      </c>
      <c r="B3342">
        <f>19.07</f>
        <v>19.07</v>
      </c>
      <c r="C3342">
        <f>21.7702</f>
        <v>21.770199999999999</v>
      </c>
      <c r="D3342">
        <f>16.91</f>
        <v>16.91</v>
      </c>
      <c r="E3342">
        <f>22.54</f>
        <v>22.54</v>
      </c>
    </row>
    <row r="3343" spans="1:5" x14ac:dyDescent="0.2">
      <c r="A3343" s="1">
        <v>40463</v>
      </c>
      <c r="B3343">
        <f>18.93</f>
        <v>18.93</v>
      </c>
      <c r="C3343">
        <f>22.751</f>
        <v>22.751000000000001</v>
      </c>
      <c r="D3343">
        <f>17.08</f>
        <v>17.079999999999998</v>
      </c>
      <c r="E3343">
        <f>23.17</f>
        <v>23.17</v>
      </c>
    </row>
    <row r="3344" spans="1:5" x14ac:dyDescent="0.2">
      <c r="A3344" s="1">
        <v>40462</v>
      </c>
      <c r="B3344">
        <f>18.96</f>
        <v>18.96</v>
      </c>
      <c r="C3344">
        <f>22.5377</f>
        <v>22.537700000000001</v>
      </c>
      <c r="D3344">
        <f>16.41</f>
        <v>16.41</v>
      </c>
      <c r="E3344">
        <f>22.95</f>
        <v>22.95</v>
      </c>
    </row>
    <row r="3345" spans="1:5" x14ac:dyDescent="0.2">
      <c r="A3345" s="1">
        <v>40459</v>
      </c>
      <c r="B3345">
        <f>20.71</f>
        <v>20.71</v>
      </c>
      <c r="C3345">
        <f>22.8174</f>
        <v>22.817399999999999</v>
      </c>
      <c r="D3345">
        <f>16.6</f>
        <v>16.600000000000001</v>
      </c>
      <c r="E3345">
        <f>23.09</f>
        <v>23.09</v>
      </c>
    </row>
    <row r="3346" spans="1:5" x14ac:dyDescent="0.2">
      <c r="A3346" s="1">
        <v>40458</v>
      </c>
      <c r="B3346">
        <f>21.56</f>
        <v>21.56</v>
      </c>
      <c r="C3346">
        <f>23.9852</f>
        <v>23.985199999999999</v>
      </c>
      <c r="D3346">
        <f>17.34</f>
        <v>17.34</v>
      </c>
      <c r="E3346">
        <f>23.6</f>
        <v>23.6</v>
      </c>
    </row>
    <row r="3347" spans="1:5" x14ac:dyDescent="0.2">
      <c r="A3347" s="1">
        <v>40457</v>
      </c>
      <c r="B3347">
        <f>21.49</f>
        <v>21.49</v>
      </c>
      <c r="C3347">
        <f>24.6471</f>
        <v>24.647099999999998</v>
      </c>
      <c r="D3347">
        <f>19.37</f>
        <v>19.37</v>
      </c>
      <c r="E3347">
        <f>23.05</f>
        <v>23.05</v>
      </c>
    </row>
    <row r="3348" spans="1:5" x14ac:dyDescent="0.2">
      <c r="A3348" s="1">
        <v>40456</v>
      </c>
      <c r="B3348">
        <f>21.76</f>
        <v>21.76</v>
      </c>
      <c r="C3348">
        <f>25.113</f>
        <v>25.113</v>
      </c>
      <c r="D3348">
        <f>19.88</f>
        <v>19.88</v>
      </c>
      <c r="E3348">
        <f>23.3</f>
        <v>23.3</v>
      </c>
    </row>
    <row r="3349" spans="1:5" x14ac:dyDescent="0.2">
      <c r="A3349" s="1">
        <v>40455</v>
      </c>
      <c r="B3349">
        <f>23.53</f>
        <v>23.53</v>
      </c>
      <c r="C3349">
        <f>27.0484</f>
        <v>27.048400000000001</v>
      </c>
      <c r="D3349">
        <f>21.46</f>
        <v>21.46</v>
      </c>
      <c r="E3349">
        <f>23.81</f>
        <v>23.81</v>
      </c>
    </row>
    <row r="3350" spans="1:5" x14ac:dyDescent="0.2">
      <c r="A3350" s="1">
        <v>40452</v>
      </c>
      <c r="B3350">
        <f>22.5</f>
        <v>22.5</v>
      </c>
      <c r="C3350">
        <f>26.3651</f>
        <v>26.365100000000002</v>
      </c>
      <c r="D3350">
        <f>20.94</f>
        <v>20.94</v>
      </c>
      <c r="E3350">
        <f>23.98</f>
        <v>23.98</v>
      </c>
    </row>
    <row r="3351" spans="1:5" x14ac:dyDescent="0.2">
      <c r="A3351" s="1">
        <v>40451</v>
      </c>
      <c r="B3351">
        <f>23.7</f>
        <v>23.7</v>
      </c>
      <c r="C3351">
        <f>26.1124</f>
        <v>26.112400000000001</v>
      </c>
      <c r="D3351">
        <f>21.23</f>
        <v>21.23</v>
      </c>
      <c r="E3351">
        <f>23.56</f>
        <v>23.56</v>
      </c>
    </row>
    <row r="3352" spans="1:5" x14ac:dyDescent="0.2">
      <c r="A3352" s="1">
        <v>40450</v>
      </c>
      <c r="B3352">
        <f>23.25</f>
        <v>23.25</v>
      </c>
      <c r="C3352">
        <f>25.0618</f>
        <v>25.061800000000002</v>
      </c>
      <c r="D3352">
        <f>20.54</f>
        <v>20.54</v>
      </c>
      <c r="E3352">
        <f>24.21</f>
        <v>24.21</v>
      </c>
    </row>
    <row r="3353" spans="1:5" x14ac:dyDescent="0.2">
      <c r="A3353" s="1">
        <v>40449</v>
      </c>
      <c r="B3353">
        <f>22.6</f>
        <v>22.6</v>
      </c>
      <c r="C3353">
        <f>24.7616</f>
        <v>24.761600000000001</v>
      </c>
      <c r="D3353">
        <f>20.36</f>
        <v>20.36</v>
      </c>
      <c r="E3353">
        <f>24.2</f>
        <v>24.2</v>
      </c>
    </row>
    <row r="3354" spans="1:5" x14ac:dyDescent="0.2">
      <c r="A3354" s="1">
        <v>40448</v>
      </c>
      <c r="B3354">
        <f>22.54</f>
        <v>22.54</v>
      </c>
      <c r="C3354">
        <f>24.559</f>
        <v>24.559000000000001</v>
      </c>
      <c r="D3354">
        <f>20.1</f>
        <v>20.100000000000001</v>
      </c>
      <c r="E3354">
        <f>24.28</f>
        <v>24.28</v>
      </c>
    </row>
    <row r="3355" spans="1:5" x14ac:dyDescent="0.2">
      <c r="A3355" s="1">
        <v>40445</v>
      </c>
      <c r="B3355">
        <f>21.71</f>
        <v>21.71</v>
      </c>
      <c r="C3355">
        <f>23.6604</f>
        <v>23.660399999999999</v>
      </c>
      <c r="D3355">
        <f>19.5</f>
        <v>19.5</v>
      </c>
      <c r="E3355" t="e">
        <f>NA()</f>
        <v>#N/A</v>
      </c>
    </row>
    <row r="3356" spans="1:5" x14ac:dyDescent="0.2">
      <c r="A3356" s="1">
        <v>40444</v>
      </c>
      <c r="B3356">
        <f>23.87</f>
        <v>23.87</v>
      </c>
      <c r="C3356">
        <f>25.563</f>
        <v>25.562999999999999</v>
      </c>
      <c r="D3356">
        <f>20.23</f>
        <v>20.23</v>
      </c>
      <c r="E3356">
        <f>24.74</f>
        <v>24.74</v>
      </c>
    </row>
    <row r="3357" spans="1:5" x14ac:dyDescent="0.2">
      <c r="A3357" s="1">
        <v>40443</v>
      </c>
      <c r="B3357">
        <f>22.51</f>
        <v>22.51</v>
      </c>
      <c r="C3357">
        <f>25.4218</f>
        <v>25.421800000000001</v>
      </c>
      <c r="D3357">
        <f>20.29</f>
        <v>20.29</v>
      </c>
      <c r="E3357">
        <f>24.71</f>
        <v>24.71</v>
      </c>
    </row>
    <row r="3358" spans="1:5" x14ac:dyDescent="0.2">
      <c r="A3358" s="1">
        <v>40442</v>
      </c>
      <c r="B3358">
        <f>22.35</f>
        <v>22.35</v>
      </c>
      <c r="C3358">
        <f>25.0769</f>
        <v>25.076899999999998</v>
      </c>
      <c r="D3358">
        <f>20.26</f>
        <v>20.260000000000002</v>
      </c>
      <c r="E3358">
        <f>24.71</f>
        <v>24.71</v>
      </c>
    </row>
    <row r="3359" spans="1:5" x14ac:dyDescent="0.2">
      <c r="A3359" s="1">
        <v>40441</v>
      </c>
      <c r="B3359">
        <f>21.5</f>
        <v>21.5</v>
      </c>
      <c r="C3359">
        <f>24.1468</f>
        <v>24.146799999999999</v>
      </c>
      <c r="D3359">
        <f>19.73</f>
        <v>19.73</v>
      </c>
      <c r="E3359">
        <f>23.86</f>
        <v>23.86</v>
      </c>
    </row>
    <row r="3360" spans="1:5" x14ac:dyDescent="0.2">
      <c r="A3360" s="1">
        <v>40438</v>
      </c>
      <c r="B3360">
        <f>22.01</f>
        <v>22.01</v>
      </c>
      <c r="C3360">
        <f>24.5388</f>
        <v>24.538799999999998</v>
      </c>
      <c r="D3360">
        <f>20.24</f>
        <v>20.239999999999998</v>
      </c>
      <c r="E3360">
        <f>24.37</f>
        <v>24.37</v>
      </c>
    </row>
    <row r="3361" spans="1:5" x14ac:dyDescent="0.2">
      <c r="A3361" s="1">
        <v>40437</v>
      </c>
      <c r="B3361">
        <f>21.72</f>
        <v>21.72</v>
      </c>
      <c r="C3361">
        <f>24.0703</f>
        <v>24.0703</v>
      </c>
      <c r="D3361">
        <f>19.88</f>
        <v>19.88</v>
      </c>
      <c r="E3361">
        <f>24.14</f>
        <v>24.14</v>
      </c>
    </row>
    <row r="3362" spans="1:5" x14ac:dyDescent="0.2">
      <c r="A3362" s="1">
        <v>40436</v>
      </c>
      <c r="B3362">
        <f>22.1</f>
        <v>22.1</v>
      </c>
      <c r="C3362">
        <f>23.5735</f>
        <v>23.573499999999999</v>
      </c>
      <c r="D3362">
        <f>19.41</f>
        <v>19.41</v>
      </c>
      <c r="E3362">
        <f>25.09</f>
        <v>25.09</v>
      </c>
    </row>
    <row r="3363" spans="1:5" x14ac:dyDescent="0.2">
      <c r="A3363" s="1">
        <v>40435</v>
      </c>
      <c r="B3363">
        <f>21.56</f>
        <v>21.56</v>
      </c>
      <c r="C3363">
        <f>23.2662</f>
        <v>23.266200000000001</v>
      </c>
      <c r="D3363">
        <f>19</f>
        <v>19</v>
      </c>
      <c r="E3363">
        <f>25.07</f>
        <v>25.07</v>
      </c>
    </row>
    <row r="3364" spans="1:5" x14ac:dyDescent="0.2">
      <c r="A3364" s="1">
        <v>40434</v>
      </c>
      <c r="B3364">
        <f>21.21</f>
        <v>21.21</v>
      </c>
      <c r="C3364">
        <f>23.7725</f>
        <v>23.772500000000001</v>
      </c>
      <c r="D3364">
        <f>18.93</f>
        <v>18.93</v>
      </c>
      <c r="E3364">
        <f>25.33</f>
        <v>25.33</v>
      </c>
    </row>
    <row r="3365" spans="1:5" x14ac:dyDescent="0.2">
      <c r="A3365" s="1">
        <v>40431</v>
      </c>
      <c r="B3365">
        <f>21.99</f>
        <v>21.99</v>
      </c>
      <c r="C3365">
        <f>24.6199</f>
        <v>24.619900000000001</v>
      </c>
      <c r="D3365">
        <f>19.45</f>
        <v>19.45</v>
      </c>
      <c r="E3365">
        <f>25.84</f>
        <v>25.84</v>
      </c>
    </row>
    <row r="3366" spans="1:5" x14ac:dyDescent="0.2">
      <c r="A3366" s="1">
        <v>40430</v>
      </c>
      <c r="B3366">
        <f>22.81</f>
        <v>22.81</v>
      </c>
      <c r="C3366">
        <f>24.2136</f>
        <v>24.2136</v>
      </c>
      <c r="D3366">
        <f>19.44</f>
        <v>19.440000000000001</v>
      </c>
      <c r="E3366">
        <f>26.08</f>
        <v>26.08</v>
      </c>
    </row>
    <row r="3367" spans="1:5" x14ac:dyDescent="0.2">
      <c r="A3367" s="1">
        <v>40429</v>
      </c>
      <c r="B3367">
        <f>23.25</f>
        <v>23.25</v>
      </c>
      <c r="C3367">
        <f>24.858</f>
        <v>24.858000000000001</v>
      </c>
      <c r="D3367">
        <f>20.24</f>
        <v>20.239999999999998</v>
      </c>
      <c r="E3367">
        <f>26.08</f>
        <v>26.08</v>
      </c>
    </row>
    <row r="3368" spans="1:5" x14ac:dyDescent="0.2">
      <c r="A3368" s="1">
        <v>40428</v>
      </c>
      <c r="B3368">
        <f>23.8</f>
        <v>23.8</v>
      </c>
      <c r="C3368">
        <f>25.2572</f>
        <v>25.257200000000001</v>
      </c>
      <c r="D3368">
        <f>20.59</f>
        <v>20.59</v>
      </c>
      <c r="E3368">
        <f>26.58</f>
        <v>26.58</v>
      </c>
    </row>
    <row r="3369" spans="1:5" x14ac:dyDescent="0.2">
      <c r="A3369" s="1">
        <v>40427</v>
      </c>
      <c r="B3369" t="e">
        <f>NA()</f>
        <v>#N/A</v>
      </c>
      <c r="C3369">
        <f>24.4704</f>
        <v>24.470400000000001</v>
      </c>
      <c r="D3369">
        <f>20.37</f>
        <v>20.37</v>
      </c>
      <c r="E3369">
        <f>26.08</f>
        <v>26.08</v>
      </c>
    </row>
    <row r="3370" spans="1:5" x14ac:dyDescent="0.2">
      <c r="A3370" s="1">
        <v>40424</v>
      </c>
      <c r="B3370">
        <f>21.31</f>
        <v>21.31</v>
      </c>
      <c r="C3370">
        <f>24.5597</f>
        <v>24.559699999999999</v>
      </c>
      <c r="D3370">
        <f>20.59</f>
        <v>20.59</v>
      </c>
      <c r="E3370">
        <f>26.34</f>
        <v>26.34</v>
      </c>
    </row>
    <row r="3371" spans="1:5" x14ac:dyDescent="0.2">
      <c r="A3371" s="1">
        <v>40423</v>
      </c>
      <c r="B3371">
        <f>23.19</f>
        <v>23.19</v>
      </c>
      <c r="C3371">
        <f>25.9121</f>
        <v>25.912099999999999</v>
      </c>
      <c r="D3371">
        <f>21.7</f>
        <v>21.7</v>
      </c>
      <c r="E3371">
        <f>26.58</f>
        <v>26.58</v>
      </c>
    </row>
    <row r="3372" spans="1:5" x14ac:dyDescent="0.2">
      <c r="A3372" s="1">
        <v>40422</v>
      </c>
      <c r="B3372">
        <f>23.89</f>
        <v>23.89</v>
      </c>
      <c r="C3372">
        <f>26.2515</f>
        <v>26.2515</v>
      </c>
      <c r="D3372">
        <f>21.97</f>
        <v>21.97</v>
      </c>
      <c r="E3372">
        <f>26.33</f>
        <v>26.33</v>
      </c>
    </row>
    <row r="3373" spans="1:5" x14ac:dyDescent="0.2">
      <c r="A3373" s="1">
        <v>40421</v>
      </c>
      <c r="B3373">
        <f>26.05</f>
        <v>26.05</v>
      </c>
      <c r="C3373">
        <f>29.3735</f>
        <v>29.3735</v>
      </c>
      <c r="D3373" t="e">
        <f>NA()</f>
        <v>#N/A</v>
      </c>
      <c r="E3373">
        <f>27.33</f>
        <v>27.33</v>
      </c>
    </row>
    <row r="3374" spans="1:5" x14ac:dyDescent="0.2">
      <c r="A3374" s="1">
        <v>40420</v>
      </c>
      <c r="B3374">
        <f>27.21</f>
        <v>27.21</v>
      </c>
      <c r="C3374">
        <f>29.0896</f>
        <v>29.089600000000001</v>
      </c>
      <c r="D3374" t="e">
        <f>NA()</f>
        <v>#N/A</v>
      </c>
      <c r="E3374">
        <f>27.33</f>
        <v>27.33</v>
      </c>
    </row>
    <row r="3375" spans="1:5" x14ac:dyDescent="0.2">
      <c r="A3375" s="1">
        <v>40417</v>
      </c>
      <c r="B3375">
        <f>24.45</f>
        <v>24.45</v>
      </c>
      <c r="C3375">
        <f>28.3184</f>
        <v>28.3184</v>
      </c>
      <c r="D3375">
        <f>23.44</f>
        <v>23.44</v>
      </c>
      <c r="E3375">
        <f>27.61</f>
        <v>27.61</v>
      </c>
    </row>
    <row r="3376" spans="1:5" x14ac:dyDescent="0.2">
      <c r="A3376" s="1">
        <v>40416</v>
      </c>
      <c r="B3376">
        <f>27.37</f>
        <v>27.37</v>
      </c>
      <c r="C3376">
        <f>29.9828</f>
        <v>29.982800000000001</v>
      </c>
      <c r="D3376">
        <f>25.32</f>
        <v>25.32</v>
      </c>
      <c r="E3376">
        <f>27.34</f>
        <v>27.34</v>
      </c>
    </row>
    <row r="3377" spans="1:5" x14ac:dyDescent="0.2">
      <c r="A3377" s="1">
        <v>40415</v>
      </c>
      <c r="B3377">
        <f>26.7</f>
        <v>26.7</v>
      </c>
      <c r="C3377">
        <f>30.8373</f>
        <v>30.837299999999999</v>
      </c>
      <c r="D3377">
        <f>26.07</f>
        <v>26.07</v>
      </c>
      <c r="E3377">
        <f>27.87</f>
        <v>27.87</v>
      </c>
    </row>
    <row r="3378" spans="1:5" x14ac:dyDescent="0.2">
      <c r="A3378" s="1">
        <v>40414</v>
      </c>
      <c r="B3378">
        <f>27.46</f>
        <v>27.46</v>
      </c>
      <c r="C3378">
        <f>30.0343</f>
        <v>30.034300000000002</v>
      </c>
      <c r="D3378">
        <f>26.14</f>
        <v>26.14</v>
      </c>
      <c r="E3378">
        <f>26.63</f>
        <v>26.63</v>
      </c>
    </row>
    <row r="3379" spans="1:5" x14ac:dyDescent="0.2">
      <c r="A3379" s="1">
        <v>40413</v>
      </c>
      <c r="B3379">
        <f>25.66</f>
        <v>25.66</v>
      </c>
      <c r="C3379">
        <f>28.2907</f>
        <v>28.290700000000001</v>
      </c>
      <c r="D3379">
        <f>24.49</f>
        <v>24.49</v>
      </c>
      <c r="E3379">
        <f>26.51</f>
        <v>26.51</v>
      </c>
    </row>
    <row r="3380" spans="1:5" x14ac:dyDescent="0.2">
      <c r="A3380" s="1">
        <v>40410</v>
      </c>
      <c r="B3380">
        <f>25.49</f>
        <v>25.49</v>
      </c>
      <c r="C3380">
        <f>29.0491</f>
        <v>29.049099999999999</v>
      </c>
      <c r="D3380">
        <f>25.18</f>
        <v>25.18</v>
      </c>
      <c r="E3380">
        <f>27.04</f>
        <v>27.04</v>
      </c>
    </row>
    <row r="3381" spans="1:5" x14ac:dyDescent="0.2">
      <c r="A3381" s="1">
        <v>40409</v>
      </c>
      <c r="B3381">
        <f>26.44</f>
        <v>26.44</v>
      </c>
      <c r="C3381">
        <f>29.33</f>
        <v>29.33</v>
      </c>
      <c r="D3381">
        <f>25.11</f>
        <v>25.11</v>
      </c>
      <c r="E3381">
        <f>26.79</f>
        <v>26.79</v>
      </c>
    </row>
    <row r="3382" spans="1:5" x14ac:dyDescent="0.2">
      <c r="A3382" s="1">
        <v>40408</v>
      </c>
      <c r="B3382">
        <f>24.59</f>
        <v>24.59</v>
      </c>
      <c r="C3382">
        <f>26.7371</f>
        <v>26.737100000000002</v>
      </c>
      <c r="D3382">
        <f>23.06</f>
        <v>23.06</v>
      </c>
      <c r="E3382">
        <f>26.82</f>
        <v>26.82</v>
      </c>
    </row>
    <row r="3383" spans="1:5" x14ac:dyDescent="0.2">
      <c r="A3383" s="1">
        <v>40407</v>
      </c>
      <c r="B3383">
        <f>24.33</f>
        <v>24.33</v>
      </c>
      <c r="C3383">
        <f>27.7678</f>
        <v>27.767800000000001</v>
      </c>
      <c r="D3383">
        <f>23.46</f>
        <v>23.46</v>
      </c>
      <c r="E3383">
        <f>26.29</f>
        <v>26.29</v>
      </c>
    </row>
    <row r="3384" spans="1:5" x14ac:dyDescent="0.2">
      <c r="A3384" s="1">
        <v>40406</v>
      </c>
      <c r="B3384">
        <f>26.1</f>
        <v>26.1</v>
      </c>
      <c r="C3384">
        <f>29.9967</f>
        <v>29.996700000000001</v>
      </c>
      <c r="D3384">
        <f>25.03</f>
        <v>25.03</v>
      </c>
      <c r="E3384">
        <f>26.58</f>
        <v>26.58</v>
      </c>
    </row>
    <row r="3385" spans="1:5" x14ac:dyDescent="0.2">
      <c r="A3385" s="1">
        <v>40403</v>
      </c>
      <c r="B3385">
        <f>26.24</f>
        <v>26.24</v>
      </c>
      <c r="C3385">
        <f>29.1965</f>
        <v>29.1965</v>
      </c>
      <c r="D3385">
        <f>24.79</f>
        <v>24.79</v>
      </c>
      <c r="E3385">
        <f>26.63</f>
        <v>26.63</v>
      </c>
    </row>
    <row r="3386" spans="1:5" x14ac:dyDescent="0.2">
      <c r="A3386" s="1">
        <v>40402</v>
      </c>
      <c r="B3386">
        <f>25.73</f>
        <v>25.73</v>
      </c>
      <c r="C3386">
        <f>29.3678</f>
        <v>29.367799999999999</v>
      </c>
      <c r="D3386">
        <f>25.31</f>
        <v>25.31</v>
      </c>
      <c r="E3386">
        <f>26.64</f>
        <v>26.64</v>
      </c>
    </row>
    <row r="3387" spans="1:5" x14ac:dyDescent="0.2">
      <c r="A3387" s="1">
        <v>40401</v>
      </c>
      <c r="B3387">
        <f>25.39</f>
        <v>25.39</v>
      </c>
      <c r="C3387">
        <f>30.0144</f>
        <v>30.014399999999998</v>
      </c>
      <c r="D3387">
        <f>26.32</f>
        <v>26.32</v>
      </c>
      <c r="E3387">
        <f>26.51</f>
        <v>26.51</v>
      </c>
    </row>
    <row r="3388" spans="1:5" x14ac:dyDescent="0.2">
      <c r="A3388" s="1">
        <v>40400</v>
      </c>
      <c r="B3388">
        <f>22.37</f>
        <v>22.37</v>
      </c>
      <c r="C3388">
        <f>27.0942</f>
        <v>27.094200000000001</v>
      </c>
      <c r="D3388">
        <f>24.02</f>
        <v>24.02</v>
      </c>
      <c r="E3388">
        <f>25.73</f>
        <v>25.73</v>
      </c>
    </row>
    <row r="3389" spans="1:5" x14ac:dyDescent="0.2">
      <c r="A3389" s="1">
        <v>40399</v>
      </c>
      <c r="B3389">
        <f>22.14</f>
        <v>22.14</v>
      </c>
      <c r="C3389">
        <f>25.8315</f>
        <v>25.831499999999998</v>
      </c>
      <c r="D3389">
        <f>22.65</f>
        <v>22.65</v>
      </c>
      <c r="E3389" t="e">
        <f>NA()</f>
        <v>#N/A</v>
      </c>
    </row>
    <row r="3390" spans="1:5" x14ac:dyDescent="0.2">
      <c r="A3390" s="1">
        <v>40396</v>
      </c>
      <c r="B3390">
        <f>21.74</f>
        <v>21.74</v>
      </c>
      <c r="C3390">
        <f>27.1054</f>
        <v>27.105399999999999</v>
      </c>
      <c r="D3390">
        <f>23.86</f>
        <v>23.86</v>
      </c>
      <c r="E3390">
        <f>25.21</f>
        <v>25.21</v>
      </c>
    </row>
    <row r="3391" spans="1:5" x14ac:dyDescent="0.2">
      <c r="A3391" s="1">
        <v>40395</v>
      </c>
      <c r="B3391">
        <f>22.1</f>
        <v>22.1</v>
      </c>
      <c r="C3391">
        <f>25.1036</f>
        <v>25.1036</v>
      </c>
      <c r="D3391">
        <f>21.43</f>
        <v>21.43</v>
      </c>
      <c r="E3391">
        <f>24.7</f>
        <v>24.7</v>
      </c>
    </row>
    <row r="3392" spans="1:5" x14ac:dyDescent="0.2">
      <c r="A3392" s="1">
        <v>40394</v>
      </c>
      <c r="B3392">
        <f>22.21</f>
        <v>22.21</v>
      </c>
      <c r="C3392">
        <f>25.4719</f>
        <v>25.471900000000002</v>
      </c>
      <c r="D3392">
        <f>21.29</f>
        <v>21.29</v>
      </c>
      <c r="E3392">
        <f>24.69</f>
        <v>24.69</v>
      </c>
    </row>
    <row r="3393" spans="1:5" x14ac:dyDescent="0.2">
      <c r="A3393" s="1">
        <v>40393</v>
      </c>
      <c r="B3393">
        <f>22.63</f>
        <v>22.63</v>
      </c>
      <c r="C3393">
        <f>26.1666</f>
        <v>26.166599999999999</v>
      </c>
      <c r="D3393">
        <f>22.32</f>
        <v>22.32</v>
      </c>
      <c r="E3393">
        <f>25.24</f>
        <v>25.24</v>
      </c>
    </row>
    <row r="3394" spans="1:5" x14ac:dyDescent="0.2">
      <c r="A3394" s="1">
        <v>40392</v>
      </c>
      <c r="B3394">
        <f>22.01</f>
        <v>22.01</v>
      </c>
      <c r="C3394">
        <f>26.3127</f>
        <v>26.3127</v>
      </c>
      <c r="D3394">
        <f>22.46</f>
        <v>22.46</v>
      </c>
      <c r="E3394">
        <f>24.99</f>
        <v>24.99</v>
      </c>
    </row>
    <row r="3395" spans="1:5" x14ac:dyDescent="0.2">
      <c r="A3395" s="1">
        <v>40389</v>
      </c>
      <c r="B3395">
        <f>23.5</f>
        <v>23.5</v>
      </c>
      <c r="C3395">
        <f>27.1611</f>
        <v>27.161100000000001</v>
      </c>
      <c r="D3395">
        <f>22.22</f>
        <v>22.22</v>
      </c>
      <c r="E3395">
        <f>26</f>
        <v>26</v>
      </c>
    </row>
    <row r="3396" spans="1:5" x14ac:dyDescent="0.2">
      <c r="A3396" s="1">
        <v>40388</v>
      </c>
      <c r="B3396">
        <f>24.13</f>
        <v>24.13</v>
      </c>
      <c r="C3396">
        <f>27.1207</f>
        <v>27.120699999999999</v>
      </c>
      <c r="D3396">
        <f>21.97</f>
        <v>21.97</v>
      </c>
      <c r="E3396">
        <f>25.5</f>
        <v>25.5</v>
      </c>
    </row>
    <row r="3397" spans="1:5" x14ac:dyDescent="0.2">
      <c r="A3397" s="1">
        <v>40387</v>
      </c>
      <c r="B3397">
        <f>24.25</f>
        <v>24.25</v>
      </c>
      <c r="C3397">
        <f>26.6136</f>
        <v>26.613600000000002</v>
      </c>
      <c r="D3397">
        <f>22.08</f>
        <v>22.08</v>
      </c>
      <c r="E3397">
        <f>25.74</f>
        <v>25.74</v>
      </c>
    </row>
    <row r="3398" spans="1:5" x14ac:dyDescent="0.2">
      <c r="A3398" s="1">
        <v>40386</v>
      </c>
      <c r="B3398">
        <f>23.19</f>
        <v>23.19</v>
      </c>
      <c r="C3398">
        <f>26.4061</f>
        <v>26.406099999999999</v>
      </c>
      <c r="D3398">
        <f>21.44</f>
        <v>21.44</v>
      </c>
      <c r="E3398">
        <f>25.74</f>
        <v>25.74</v>
      </c>
    </row>
    <row r="3399" spans="1:5" x14ac:dyDescent="0.2">
      <c r="A3399" s="1">
        <v>40385</v>
      </c>
      <c r="B3399">
        <f>22.73</f>
        <v>22.73</v>
      </c>
      <c r="C3399">
        <f>26.7958</f>
        <v>26.7958</v>
      </c>
      <c r="D3399">
        <f>21.34</f>
        <v>21.34</v>
      </c>
      <c r="E3399">
        <f>25.51</f>
        <v>25.51</v>
      </c>
    </row>
    <row r="3400" spans="1:5" x14ac:dyDescent="0.2">
      <c r="A3400" s="1">
        <v>40382</v>
      </c>
      <c r="B3400">
        <f>23.47</f>
        <v>23.47</v>
      </c>
      <c r="C3400">
        <f>28.0725</f>
        <v>28.072500000000002</v>
      </c>
      <c r="D3400">
        <f>21.43</f>
        <v>21.43</v>
      </c>
      <c r="E3400">
        <f>26.28</f>
        <v>26.28</v>
      </c>
    </row>
    <row r="3401" spans="1:5" x14ac:dyDescent="0.2">
      <c r="A3401" s="1">
        <v>40381</v>
      </c>
      <c r="B3401">
        <f>24.63</f>
        <v>24.63</v>
      </c>
      <c r="C3401">
        <f>27.2761</f>
        <v>27.2761</v>
      </c>
      <c r="D3401">
        <f>21.37</f>
        <v>21.37</v>
      </c>
      <c r="E3401">
        <f>26.54</f>
        <v>26.54</v>
      </c>
    </row>
    <row r="3402" spans="1:5" x14ac:dyDescent="0.2">
      <c r="A3402" s="1">
        <v>40380</v>
      </c>
      <c r="B3402">
        <f>25.64</f>
        <v>25.64</v>
      </c>
      <c r="C3402">
        <f>28.4295</f>
        <v>28.429500000000001</v>
      </c>
      <c r="D3402">
        <f>22.25</f>
        <v>22.25</v>
      </c>
      <c r="E3402">
        <f>28.14</f>
        <v>28.14</v>
      </c>
    </row>
    <row r="3403" spans="1:5" x14ac:dyDescent="0.2">
      <c r="A3403" s="1">
        <v>40379</v>
      </c>
      <c r="B3403">
        <f>23.93</f>
        <v>23.93</v>
      </c>
      <c r="C3403">
        <f>28.2169</f>
        <v>28.216899999999999</v>
      </c>
      <c r="D3403">
        <f>22.31</f>
        <v>22.31</v>
      </c>
      <c r="E3403">
        <f>30.02</f>
        <v>30.02</v>
      </c>
    </row>
    <row r="3404" spans="1:5" x14ac:dyDescent="0.2">
      <c r="A3404" s="1">
        <v>40378</v>
      </c>
      <c r="B3404">
        <f>25.97</f>
        <v>25.97</v>
      </c>
      <c r="C3404">
        <f>28.5292</f>
        <v>28.529199999999999</v>
      </c>
      <c r="D3404">
        <f>23.13</f>
        <v>23.13</v>
      </c>
      <c r="E3404">
        <f>30.27</f>
        <v>30.27</v>
      </c>
    </row>
    <row r="3405" spans="1:5" x14ac:dyDescent="0.2">
      <c r="A3405" s="1">
        <v>40375</v>
      </c>
      <c r="B3405">
        <f>26.25</f>
        <v>26.25</v>
      </c>
      <c r="C3405">
        <f>27.0579</f>
        <v>27.0579</v>
      </c>
      <c r="D3405">
        <f>21.99</f>
        <v>21.99</v>
      </c>
      <c r="E3405">
        <f>30.05</f>
        <v>30.05</v>
      </c>
    </row>
    <row r="3406" spans="1:5" x14ac:dyDescent="0.2">
      <c r="A3406" s="1">
        <v>40374</v>
      </c>
      <c r="B3406">
        <f>25.14</f>
        <v>25.14</v>
      </c>
      <c r="C3406">
        <f>27.2994</f>
        <v>27.299399999999999</v>
      </c>
      <c r="D3406">
        <f>21.86</f>
        <v>21.86</v>
      </c>
      <c r="E3406">
        <f>30.07</f>
        <v>30.07</v>
      </c>
    </row>
    <row r="3407" spans="1:5" x14ac:dyDescent="0.2">
      <c r="A3407" s="1">
        <v>40373</v>
      </c>
      <c r="B3407">
        <f>24.89</f>
        <v>24.89</v>
      </c>
      <c r="C3407">
        <f>27.7218</f>
        <v>27.721800000000002</v>
      </c>
      <c r="D3407">
        <f>20.65</f>
        <v>20.65</v>
      </c>
      <c r="E3407">
        <f>30.33</f>
        <v>30.33</v>
      </c>
    </row>
    <row r="3408" spans="1:5" x14ac:dyDescent="0.2">
      <c r="A3408" s="1">
        <v>40372</v>
      </c>
      <c r="B3408">
        <f>24.56</f>
        <v>24.56</v>
      </c>
      <c r="C3408">
        <f>26.8765</f>
        <v>26.8765</v>
      </c>
      <c r="D3408">
        <f>19.6</f>
        <v>19.600000000000001</v>
      </c>
      <c r="E3408">
        <f>30.22</f>
        <v>30.22</v>
      </c>
    </row>
    <row r="3409" spans="1:5" x14ac:dyDescent="0.2">
      <c r="A3409" s="1">
        <v>40371</v>
      </c>
      <c r="B3409">
        <f>24.43</f>
        <v>24.43</v>
      </c>
      <c r="C3409">
        <f>28.2624</f>
        <v>28.2624</v>
      </c>
      <c r="D3409">
        <f>20.21</f>
        <v>20.21</v>
      </c>
      <c r="E3409">
        <f>30.61</f>
        <v>30.61</v>
      </c>
    </row>
    <row r="3410" spans="1:5" x14ac:dyDescent="0.2">
      <c r="A3410" s="1">
        <v>40368</v>
      </c>
      <c r="B3410">
        <f>24.98</f>
        <v>24.98</v>
      </c>
      <c r="C3410">
        <f>27.9513</f>
        <v>27.9513</v>
      </c>
      <c r="D3410">
        <f>18.88</f>
        <v>18.88</v>
      </c>
      <c r="E3410">
        <f>30.64</f>
        <v>30.64</v>
      </c>
    </row>
    <row r="3411" spans="1:5" x14ac:dyDescent="0.2">
      <c r="A3411" s="1">
        <v>40367</v>
      </c>
      <c r="B3411">
        <f>25.71</f>
        <v>25.71</v>
      </c>
      <c r="C3411">
        <f>29.0105</f>
        <v>29.0105</v>
      </c>
      <c r="D3411">
        <f>19.06</f>
        <v>19.059999999999999</v>
      </c>
      <c r="E3411">
        <f>30.66</f>
        <v>30.66</v>
      </c>
    </row>
    <row r="3412" spans="1:5" x14ac:dyDescent="0.2">
      <c r="A3412" s="1">
        <v>40366</v>
      </c>
      <c r="B3412">
        <f>26.84</f>
        <v>26.84</v>
      </c>
      <c r="C3412">
        <f>30.2616</f>
        <v>30.261600000000001</v>
      </c>
      <c r="D3412">
        <f>23.49</f>
        <v>23.49</v>
      </c>
      <c r="E3412">
        <f>30.95</f>
        <v>30.95</v>
      </c>
    </row>
    <row r="3413" spans="1:5" x14ac:dyDescent="0.2">
      <c r="A3413" s="1">
        <v>40365</v>
      </c>
      <c r="B3413">
        <f>29.65</f>
        <v>29.65</v>
      </c>
      <c r="C3413">
        <f>31.0215</f>
        <v>31.0215</v>
      </c>
      <c r="D3413">
        <f>24.28</f>
        <v>24.28</v>
      </c>
      <c r="E3413">
        <f>31.22</f>
        <v>31.22</v>
      </c>
    </row>
    <row r="3414" spans="1:5" x14ac:dyDescent="0.2">
      <c r="A3414" s="1">
        <v>40364</v>
      </c>
      <c r="B3414" t="e">
        <f>NA()</f>
        <v>#N/A</v>
      </c>
      <c r="C3414">
        <f>32.5953</f>
        <v>32.595300000000002</v>
      </c>
      <c r="D3414">
        <f>26.55</f>
        <v>26.55</v>
      </c>
      <c r="E3414">
        <f>31.72</f>
        <v>31.72</v>
      </c>
    </row>
    <row r="3415" spans="1:5" x14ac:dyDescent="0.2">
      <c r="A3415" s="1">
        <v>40361</v>
      </c>
      <c r="B3415">
        <f>30.12</f>
        <v>30.12</v>
      </c>
      <c r="C3415">
        <f>33.5925</f>
        <v>33.592500000000001</v>
      </c>
      <c r="D3415">
        <f>26.83</f>
        <v>26.83</v>
      </c>
      <c r="E3415">
        <f>31.51</f>
        <v>31.51</v>
      </c>
    </row>
    <row r="3416" spans="1:5" x14ac:dyDescent="0.2">
      <c r="A3416" s="1">
        <v>40360</v>
      </c>
      <c r="B3416">
        <f>32.86</f>
        <v>32.86</v>
      </c>
      <c r="C3416">
        <f>36.2527</f>
        <v>36.252699999999997</v>
      </c>
      <c r="D3416">
        <f>29.23</f>
        <v>29.23</v>
      </c>
      <c r="E3416">
        <f>32.01</f>
        <v>32.01</v>
      </c>
    </row>
    <row r="3417" spans="1:5" x14ac:dyDescent="0.2">
      <c r="A3417" s="1">
        <v>40359</v>
      </c>
      <c r="B3417">
        <f>34.54</f>
        <v>34.54</v>
      </c>
      <c r="C3417">
        <f>34.3161</f>
        <v>34.316099999999999</v>
      </c>
      <c r="D3417">
        <f>27.39</f>
        <v>27.39</v>
      </c>
      <c r="E3417">
        <f>30.45</f>
        <v>30.45</v>
      </c>
    </row>
    <row r="3418" spans="1:5" x14ac:dyDescent="0.2">
      <c r="A3418" s="1">
        <v>40358</v>
      </c>
      <c r="B3418">
        <f>34.13</f>
        <v>34.130000000000003</v>
      </c>
      <c r="C3418">
        <f>35.0433</f>
        <v>35.043300000000002</v>
      </c>
      <c r="D3418">
        <f>27.68</f>
        <v>27.68</v>
      </c>
      <c r="E3418">
        <f>29.49</f>
        <v>29.49</v>
      </c>
    </row>
    <row r="3419" spans="1:5" x14ac:dyDescent="0.2">
      <c r="A3419" s="1">
        <v>40357</v>
      </c>
      <c r="B3419">
        <f>29</f>
        <v>29</v>
      </c>
      <c r="C3419">
        <f>30.097</f>
        <v>30.097000000000001</v>
      </c>
      <c r="D3419">
        <f>24.82</f>
        <v>24.82</v>
      </c>
      <c r="E3419">
        <f>28.83</f>
        <v>28.83</v>
      </c>
    </row>
    <row r="3420" spans="1:5" x14ac:dyDescent="0.2">
      <c r="A3420" s="1">
        <v>40354</v>
      </c>
      <c r="B3420">
        <f>28.53</f>
        <v>28.53</v>
      </c>
      <c r="C3420">
        <f>32.1028</f>
        <v>32.102800000000002</v>
      </c>
      <c r="D3420">
        <f>25.23</f>
        <v>25.23</v>
      </c>
      <c r="E3420">
        <f>28.8</f>
        <v>28.8</v>
      </c>
    </row>
    <row r="3421" spans="1:5" x14ac:dyDescent="0.2">
      <c r="A3421" s="1">
        <v>40353</v>
      </c>
      <c r="B3421">
        <f>29.74</f>
        <v>29.74</v>
      </c>
      <c r="C3421">
        <f>31.3907</f>
        <v>31.390699999999999</v>
      </c>
      <c r="D3421">
        <f>24.55</f>
        <v>24.55</v>
      </c>
      <c r="E3421">
        <f>28.63</f>
        <v>28.63</v>
      </c>
    </row>
    <row r="3422" spans="1:5" x14ac:dyDescent="0.2">
      <c r="A3422" s="1">
        <v>40352</v>
      </c>
      <c r="B3422">
        <f>26.91</f>
        <v>26.91</v>
      </c>
      <c r="C3422">
        <f>28.6733</f>
        <v>28.673300000000001</v>
      </c>
      <c r="D3422">
        <f>22.4</f>
        <v>22.4</v>
      </c>
      <c r="E3422">
        <f>28.43</f>
        <v>28.43</v>
      </c>
    </row>
    <row r="3423" spans="1:5" x14ac:dyDescent="0.2">
      <c r="A3423" s="1">
        <v>40351</v>
      </c>
      <c r="B3423">
        <f>27.05</f>
        <v>27.05</v>
      </c>
      <c r="C3423">
        <f>26.419</f>
        <v>26.419</v>
      </c>
      <c r="D3423">
        <f>21.09</f>
        <v>21.09</v>
      </c>
      <c r="E3423">
        <f>27.68</f>
        <v>27.68</v>
      </c>
    </row>
    <row r="3424" spans="1:5" x14ac:dyDescent="0.2">
      <c r="A3424" s="1">
        <v>40350</v>
      </c>
      <c r="B3424">
        <f>24.88</f>
        <v>24.88</v>
      </c>
      <c r="C3424">
        <f>26.6207</f>
        <v>26.620699999999999</v>
      </c>
      <c r="D3424">
        <f>20.52</f>
        <v>20.52</v>
      </c>
      <c r="E3424">
        <f>27.45</f>
        <v>27.45</v>
      </c>
    </row>
    <row r="3425" spans="1:5" x14ac:dyDescent="0.2">
      <c r="A3425" s="1">
        <v>40347</v>
      </c>
      <c r="B3425">
        <f>23.95</f>
        <v>23.95</v>
      </c>
      <c r="C3425">
        <f>26.9603</f>
        <v>26.9603</v>
      </c>
      <c r="D3425">
        <f>20.6</f>
        <v>20.6</v>
      </c>
      <c r="E3425">
        <f>29.16</f>
        <v>29.16</v>
      </c>
    </row>
    <row r="3426" spans="1:5" x14ac:dyDescent="0.2">
      <c r="A3426" s="1">
        <v>40346</v>
      </c>
      <c r="B3426">
        <f>25.05</f>
        <v>25.05</v>
      </c>
      <c r="C3426">
        <f>29.1763</f>
        <v>29.176300000000001</v>
      </c>
      <c r="D3426">
        <f>21.4</f>
        <v>21.4</v>
      </c>
      <c r="E3426">
        <f>29.7</f>
        <v>29.7</v>
      </c>
    </row>
    <row r="3427" spans="1:5" x14ac:dyDescent="0.2">
      <c r="A3427" s="1">
        <v>40345</v>
      </c>
      <c r="B3427">
        <f>25.92</f>
        <v>25.92</v>
      </c>
      <c r="C3427">
        <f>28.9965</f>
        <v>28.996500000000001</v>
      </c>
      <c r="D3427">
        <f>22.03</f>
        <v>22.03</v>
      </c>
      <c r="E3427" t="e">
        <f>NA()</f>
        <v>#N/A</v>
      </c>
    </row>
    <row r="3428" spans="1:5" x14ac:dyDescent="0.2">
      <c r="A3428" s="1">
        <v>40344</v>
      </c>
      <c r="B3428">
        <f>25.87</f>
        <v>25.87</v>
      </c>
      <c r="C3428">
        <f>28.2771</f>
        <v>28.277100000000001</v>
      </c>
      <c r="D3428">
        <f>21.85</f>
        <v>21.85</v>
      </c>
      <c r="E3428">
        <f>29.73</f>
        <v>29.73</v>
      </c>
    </row>
    <row r="3429" spans="1:5" x14ac:dyDescent="0.2">
      <c r="A3429" s="1">
        <v>40343</v>
      </c>
      <c r="B3429">
        <f>28.58</f>
        <v>28.58</v>
      </c>
      <c r="C3429">
        <f>29.638</f>
        <v>29.638000000000002</v>
      </c>
      <c r="D3429">
        <f>23.5</f>
        <v>23.5</v>
      </c>
      <c r="E3429">
        <f>29.97</f>
        <v>29.97</v>
      </c>
    </row>
    <row r="3430" spans="1:5" x14ac:dyDescent="0.2">
      <c r="A3430" s="1">
        <v>40340</v>
      </c>
      <c r="B3430">
        <f>28.79</f>
        <v>28.79</v>
      </c>
      <c r="C3430">
        <f>31.3614</f>
        <v>31.3614</v>
      </c>
      <c r="D3430">
        <f>24.48</f>
        <v>24.48</v>
      </c>
      <c r="E3430">
        <f>29.17</f>
        <v>29.17</v>
      </c>
    </row>
    <row r="3431" spans="1:5" x14ac:dyDescent="0.2">
      <c r="A3431" s="1">
        <v>40339</v>
      </c>
      <c r="B3431">
        <f>30.57</f>
        <v>30.57</v>
      </c>
      <c r="C3431">
        <f>33.0699</f>
        <v>33.069899999999997</v>
      </c>
      <c r="D3431">
        <f>26.16</f>
        <v>26.16</v>
      </c>
      <c r="E3431">
        <f>31.43</f>
        <v>31.43</v>
      </c>
    </row>
    <row r="3432" spans="1:5" x14ac:dyDescent="0.2">
      <c r="A3432" s="1">
        <v>40338</v>
      </c>
      <c r="B3432">
        <f>33.73</f>
        <v>33.729999999999997</v>
      </c>
      <c r="C3432">
        <f>36.3198</f>
        <v>36.319800000000001</v>
      </c>
      <c r="D3432">
        <f>28.32</f>
        <v>28.32</v>
      </c>
      <c r="E3432">
        <f>31.93</f>
        <v>31.93</v>
      </c>
    </row>
    <row r="3433" spans="1:5" x14ac:dyDescent="0.2">
      <c r="A3433" s="1">
        <v>40337</v>
      </c>
      <c r="B3433">
        <f>33.7</f>
        <v>33.700000000000003</v>
      </c>
      <c r="C3433">
        <f>41.6163</f>
        <v>41.616300000000003</v>
      </c>
      <c r="D3433">
        <f>31.61</f>
        <v>31.61</v>
      </c>
      <c r="E3433">
        <f>32.41</f>
        <v>32.409999999999997</v>
      </c>
    </row>
    <row r="3434" spans="1:5" x14ac:dyDescent="0.2">
      <c r="A3434" s="1">
        <v>40336</v>
      </c>
      <c r="B3434">
        <f>36.57</f>
        <v>36.57</v>
      </c>
      <c r="C3434">
        <f>40.8221</f>
        <v>40.822099999999999</v>
      </c>
      <c r="D3434">
        <f>31.34</f>
        <v>31.34</v>
      </c>
      <c r="E3434">
        <f>30.34</f>
        <v>30.34</v>
      </c>
    </row>
    <row r="3435" spans="1:5" x14ac:dyDescent="0.2">
      <c r="A3435" s="1">
        <v>40333</v>
      </c>
      <c r="B3435">
        <f>35.48</f>
        <v>35.479999999999997</v>
      </c>
      <c r="C3435">
        <f>37.6914</f>
        <v>37.691400000000002</v>
      </c>
      <c r="D3435">
        <f>29.37</f>
        <v>29.37</v>
      </c>
      <c r="E3435">
        <f>31.88</f>
        <v>31.88</v>
      </c>
    </row>
    <row r="3436" spans="1:5" x14ac:dyDescent="0.2">
      <c r="A3436" s="1">
        <v>40332</v>
      </c>
      <c r="B3436">
        <f>29.46</f>
        <v>29.46</v>
      </c>
      <c r="C3436">
        <f>33.3359</f>
        <v>33.335900000000002</v>
      </c>
      <c r="D3436">
        <f>26.08</f>
        <v>26.08</v>
      </c>
      <c r="E3436">
        <f>31.17</f>
        <v>31.17</v>
      </c>
    </row>
    <row r="3437" spans="1:5" x14ac:dyDescent="0.2">
      <c r="A3437" s="1">
        <v>40331</v>
      </c>
      <c r="B3437">
        <f>30.17</f>
        <v>30.17</v>
      </c>
      <c r="C3437">
        <f>35.4258</f>
        <v>35.425800000000002</v>
      </c>
      <c r="D3437" t="e">
        <f>NA()</f>
        <v>#N/A</v>
      </c>
      <c r="E3437">
        <f>31.18</f>
        <v>31.18</v>
      </c>
    </row>
    <row r="3438" spans="1:5" x14ac:dyDescent="0.2">
      <c r="A3438" s="1">
        <v>40330</v>
      </c>
      <c r="B3438">
        <f>35.54</f>
        <v>35.54</v>
      </c>
      <c r="C3438">
        <f>35.27</f>
        <v>35.270000000000003</v>
      </c>
      <c r="D3438" t="e">
        <f>NA()</f>
        <v>#N/A</v>
      </c>
      <c r="E3438">
        <f>31.18</f>
        <v>31.18</v>
      </c>
    </row>
    <row r="3439" spans="1:5" x14ac:dyDescent="0.2">
      <c r="A3439" s="1">
        <v>40329</v>
      </c>
      <c r="B3439" t="e">
        <f>NA()</f>
        <v>#N/A</v>
      </c>
      <c r="C3439">
        <f>34.3976</f>
        <v>34.397599999999997</v>
      </c>
      <c r="D3439" t="e">
        <f>NA()</f>
        <v>#N/A</v>
      </c>
      <c r="E3439">
        <f>31.42</f>
        <v>31.42</v>
      </c>
    </row>
    <row r="3440" spans="1:5" x14ac:dyDescent="0.2">
      <c r="A3440" s="1">
        <v>40326</v>
      </c>
      <c r="B3440">
        <f>32.07</f>
        <v>32.07</v>
      </c>
      <c r="C3440">
        <f>33.8757</f>
        <v>33.875700000000002</v>
      </c>
      <c r="D3440">
        <f>26.3</f>
        <v>26.3</v>
      </c>
      <c r="E3440">
        <f>31.2</f>
        <v>31.2</v>
      </c>
    </row>
    <row r="3441" spans="1:5" x14ac:dyDescent="0.2">
      <c r="A3441" s="1">
        <v>40325</v>
      </c>
      <c r="B3441">
        <f>29.68</f>
        <v>29.68</v>
      </c>
      <c r="C3441">
        <f>34.9147</f>
        <v>34.914700000000003</v>
      </c>
      <c r="D3441">
        <f>26.59</f>
        <v>26.59</v>
      </c>
      <c r="E3441">
        <f>29.81</f>
        <v>29.81</v>
      </c>
    </row>
    <row r="3442" spans="1:5" x14ac:dyDescent="0.2">
      <c r="A3442" s="1">
        <v>40324</v>
      </c>
      <c r="B3442">
        <f>35.02</f>
        <v>35.020000000000003</v>
      </c>
      <c r="C3442">
        <f>40.0068</f>
        <v>40.006799999999998</v>
      </c>
      <c r="D3442">
        <f>29.77</f>
        <v>29.77</v>
      </c>
      <c r="E3442">
        <f>31.22</f>
        <v>31.22</v>
      </c>
    </row>
    <row r="3443" spans="1:5" x14ac:dyDescent="0.2">
      <c r="A3443" s="1">
        <v>40323</v>
      </c>
      <c r="B3443">
        <f>34.61</f>
        <v>34.61</v>
      </c>
      <c r="C3443">
        <f>45.1801</f>
        <v>45.180100000000003</v>
      </c>
      <c r="D3443">
        <f>33.45</f>
        <v>33.450000000000003</v>
      </c>
      <c r="E3443">
        <f>32.17</f>
        <v>32.17</v>
      </c>
    </row>
    <row r="3444" spans="1:5" x14ac:dyDescent="0.2">
      <c r="A3444" s="1">
        <v>40322</v>
      </c>
      <c r="B3444">
        <f>38.32</f>
        <v>38.32</v>
      </c>
      <c r="C3444">
        <f>42.6168</f>
        <v>42.616799999999998</v>
      </c>
      <c r="D3444">
        <f>31.13</f>
        <v>31.13</v>
      </c>
      <c r="E3444">
        <f>31.04</f>
        <v>31.04</v>
      </c>
    </row>
    <row r="3445" spans="1:5" x14ac:dyDescent="0.2">
      <c r="A3445" s="1">
        <v>40319</v>
      </c>
      <c r="B3445">
        <f>40.1</f>
        <v>40.1</v>
      </c>
      <c r="C3445">
        <f>46.1742</f>
        <v>46.174199999999999</v>
      </c>
      <c r="D3445">
        <f>37.44</f>
        <v>37.44</v>
      </c>
      <c r="E3445">
        <f>32.43</f>
        <v>32.43</v>
      </c>
    </row>
    <row r="3446" spans="1:5" x14ac:dyDescent="0.2">
      <c r="A3446" s="1">
        <v>40318</v>
      </c>
      <c r="B3446">
        <f>45.79</f>
        <v>45.79</v>
      </c>
      <c r="C3446">
        <f>49.8735</f>
        <v>49.8735</v>
      </c>
      <c r="D3446">
        <f>41.14</f>
        <v>41.14</v>
      </c>
      <c r="E3446">
        <f>32.85</f>
        <v>32.85</v>
      </c>
    </row>
    <row r="3447" spans="1:5" x14ac:dyDescent="0.2">
      <c r="A3447" s="1">
        <v>40317</v>
      </c>
      <c r="B3447">
        <f>35.32</f>
        <v>35.32</v>
      </c>
      <c r="C3447">
        <f>44.7352</f>
        <v>44.735199999999999</v>
      </c>
      <c r="D3447">
        <f>37.36</f>
        <v>37.36</v>
      </c>
      <c r="E3447">
        <f>29.18</f>
        <v>29.18</v>
      </c>
    </row>
    <row r="3448" spans="1:5" x14ac:dyDescent="0.2">
      <c r="A3448" s="1">
        <v>40316</v>
      </c>
      <c r="B3448">
        <f>33.55</f>
        <v>33.549999999999997</v>
      </c>
      <c r="C3448">
        <f>37.2068</f>
        <v>37.206800000000001</v>
      </c>
      <c r="D3448">
        <f>30.22</f>
        <v>30.22</v>
      </c>
      <c r="E3448">
        <f>28.68</f>
        <v>28.68</v>
      </c>
    </row>
    <row r="3449" spans="1:5" x14ac:dyDescent="0.2">
      <c r="A3449" s="1">
        <v>40315</v>
      </c>
      <c r="B3449">
        <f>30.84</f>
        <v>30.84</v>
      </c>
      <c r="C3449">
        <f>41.8704</f>
        <v>41.870399999999997</v>
      </c>
      <c r="D3449">
        <f>32.61</f>
        <v>32.61</v>
      </c>
      <c r="E3449">
        <f>29.18</f>
        <v>29.18</v>
      </c>
    </row>
    <row r="3450" spans="1:5" x14ac:dyDescent="0.2">
      <c r="A3450" s="1">
        <v>40312</v>
      </c>
      <c r="B3450">
        <f>31.24</f>
        <v>31.24</v>
      </c>
      <c r="C3450">
        <f>42.5944</f>
        <v>42.5944</v>
      </c>
      <c r="D3450">
        <f>29.45</f>
        <v>29.45</v>
      </c>
      <c r="E3450">
        <f>29.16</f>
        <v>29.16</v>
      </c>
    </row>
    <row r="3451" spans="1:5" x14ac:dyDescent="0.2">
      <c r="A3451" s="1">
        <v>40311</v>
      </c>
      <c r="B3451">
        <f>26.68</f>
        <v>26.68</v>
      </c>
      <c r="C3451">
        <f>31.6534</f>
        <v>31.653400000000001</v>
      </c>
      <c r="D3451">
        <f>23.77</f>
        <v>23.77</v>
      </c>
      <c r="E3451">
        <f>28.23</f>
        <v>28.23</v>
      </c>
    </row>
    <row r="3452" spans="1:5" x14ac:dyDescent="0.2">
      <c r="A3452" s="1">
        <v>40310</v>
      </c>
      <c r="B3452">
        <f>25.52</f>
        <v>25.52</v>
      </c>
      <c r="C3452">
        <f>34.2833</f>
        <v>34.283299999999997</v>
      </c>
      <c r="D3452">
        <f>25.76</f>
        <v>25.76</v>
      </c>
      <c r="E3452">
        <f>28.2</f>
        <v>28.2</v>
      </c>
    </row>
    <row r="3453" spans="1:5" x14ac:dyDescent="0.2">
      <c r="A3453" s="1">
        <v>40309</v>
      </c>
      <c r="B3453">
        <f>28.32</f>
        <v>28.32</v>
      </c>
      <c r="C3453">
        <f>39.153</f>
        <v>39.152999999999999</v>
      </c>
      <c r="D3453">
        <f>30.67</f>
        <v>30.67</v>
      </c>
      <c r="E3453">
        <f>28.96</f>
        <v>28.96</v>
      </c>
    </row>
    <row r="3454" spans="1:5" x14ac:dyDescent="0.2">
      <c r="A3454" s="1">
        <v>40308</v>
      </c>
      <c r="B3454">
        <f>28.84</f>
        <v>28.84</v>
      </c>
      <c r="C3454">
        <f>38.6586</f>
        <v>38.6586</v>
      </c>
      <c r="D3454">
        <f>30.59</f>
        <v>30.59</v>
      </c>
      <c r="E3454">
        <f>28.95</f>
        <v>28.95</v>
      </c>
    </row>
    <row r="3455" spans="1:5" x14ac:dyDescent="0.2">
      <c r="A3455" s="1">
        <v>40305</v>
      </c>
      <c r="B3455">
        <f>40.95</f>
        <v>40.950000000000003</v>
      </c>
      <c r="C3455">
        <f>49.5956</f>
        <v>49.595599999999997</v>
      </c>
      <c r="D3455">
        <f>38.08</f>
        <v>38.08</v>
      </c>
      <c r="E3455">
        <f>30.3</f>
        <v>30.3</v>
      </c>
    </row>
    <row r="3456" spans="1:5" x14ac:dyDescent="0.2">
      <c r="A3456" s="1">
        <v>40304</v>
      </c>
      <c r="B3456">
        <f>32.8</f>
        <v>32.799999999999997</v>
      </c>
      <c r="C3456">
        <f>36.8128</f>
        <v>36.812800000000003</v>
      </c>
      <c r="D3456">
        <f>28.42</f>
        <v>28.42</v>
      </c>
      <c r="E3456">
        <f>27.68</f>
        <v>27.68</v>
      </c>
    </row>
    <row r="3457" spans="1:5" x14ac:dyDescent="0.2">
      <c r="A3457" s="1">
        <v>40303</v>
      </c>
      <c r="B3457">
        <f>24.91</f>
        <v>24.91</v>
      </c>
      <c r="C3457">
        <f>33.2533</f>
        <v>33.253300000000003</v>
      </c>
      <c r="D3457">
        <f>26.96</f>
        <v>26.96</v>
      </c>
      <c r="E3457">
        <f>26.67</f>
        <v>26.67</v>
      </c>
    </row>
    <row r="3458" spans="1:5" x14ac:dyDescent="0.2">
      <c r="A3458" s="1">
        <v>40302</v>
      </c>
      <c r="B3458">
        <f>23.84</f>
        <v>23.84</v>
      </c>
      <c r="C3458">
        <f>33.146</f>
        <v>33.146000000000001</v>
      </c>
      <c r="D3458">
        <f>25.9</f>
        <v>25.9</v>
      </c>
      <c r="E3458">
        <f>24.62</f>
        <v>24.62</v>
      </c>
    </row>
    <row r="3459" spans="1:5" x14ac:dyDescent="0.2">
      <c r="A3459" s="1">
        <v>40301</v>
      </c>
      <c r="B3459">
        <f>20.19</f>
        <v>20.190000000000001</v>
      </c>
      <c r="C3459">
        <f>28.7236</f>
        <v>28.723600000000001</v>
      </c>
      <c r="D3459" t="e">
        <f>NA()</f>
        <v>#N/A</v>
      </c>
      <c r="E3459">
        <f>22.94</f>
        <v>22.94</v>
      </c>
    </row>
    <row r="3460" spans="1:5" x14ac:dyDescent="0.2">
      <c r="A3460" s="1">
        <v>40298</v>
      </c>
      <c r="B3460">
        <f>22.05</f>
        <v>22.05</v>
      </c>
      <c r="C3460">
        <f>28.89</f>
        <v>28.89</v>
      </c>
      <c r="D3460">
        <f>22.49</f>
        <v>22.49</v>
      </c>
      <c r="E3460">
        <f>22.95</f>
        <v>22.95</v>
      </c>
    </row>
    <row r="3461" spans="1:5" x14ac:dyDescent="0.2">
      <c r="A3461" s="1">
        <v>40297</v>
      </c>
      <c r="B3461">
        <f>18.44</f>
        <v>18.440000000000001</v>
      </c>
      <c r="C3461">
        <f>29.5246</f>
        <v>29.5246</v>
      </c>
      <c r="D3461">
        <f>21.74</f>
        <v>21.74</v>
      </c>
      <c r="E3461">
        <f>22.65</f>
        <v>22.65</v>
      </c>
    </row>
    <row r="3462" spans="1:5" x14ac:dyDescent="0.2">
      <c r="A3462" s="1">
        <v>40296</v>
      </c>
      <c r="B3462">
        <f>21.08</f>
        <v>21.08</v>
      </c>
      <c r="C3462">
        <f>31.4532</f>
        <v>31.453199999999999</v>
      </c>
      <c r="D3462">
        <f>23.34</f>
        <v>23.34</v>
      </c>
      <c r="E3462">
        <f>22.9</f>
        <v>22.9</v>
      </c>
    </row>
    <row r="3463" spans="1:5" x14ac:dyDescent="0.2">
      <c r="A3463" s="1">
        <v>40295</v>
      </c>
      <c r="B3463">
        <f>22.81</f>
        <v>22.81</v>
      </c>
      <c r="C3463">
        <f>28.556</f>
        <v>28.556000000000001</v>
      </c>
      <c r="D3463">
        <f>20.99</f>
        <v>20.99</v>
      </c>
      <c r="E3463" t="e">
        <f>NA()</f>
        <v>#N/A</v>
      </c>
    </row>
    <row r="3464" spans="1:5" x14ac:dyDescent="0.2">
      <c r="A3464" s="1">
        <v>40294</v>
      </c>
      <c r="B3464">
        <f>17.47</f>
        <v>17.47</v>
      </c>
      <c r="C3464">
        <f>24.3701</f>
        <v>24.370100000000001</v>
      </c>
      <c r="D3464">
        <f>19.11</f>
        <v>19.11</v>
      </c>
      <c r="E3464">
        <f>20.17</f>
        <v>20.170000000000002</v>
      </c>
    </row>
    <row r="3465" spans="1:5" x14ac:dyDescent="0.2">
      <c r="A3465" s="1">
        <v>40291</v>
      </c>
      <c r="B3465">
        <f>16.62</f>
        <v>16.62</v>
      </c>
      <c r="C3465">
        <f>24.004</f>
        <v>24.004000000000001</v>
      </c>
      <c r="D3465">
        <f>18.77</f>
        <v>18.77</v>
      </c>
      <c r="E3465">
        <f>21.27</f>
        <v>21.27</v>
      </c>
    </row>
    <row r="3466" spans="1:5" x14ac:dyDescent="0.2">
      <c r="A3466" s="1">
        <v>40290</v>
      </c>
      <c r="B3466">
        <f>16.47</f>
        <v>16.47</v>
      </c>
      <c r="C3466">
        <f>24.7953</f>
        <v>24.795300000000001</v>
      </c>
      <c r="D3466">
        <f>19.77</f>
        <v>19.77</v>
      </c>
      <c r="E3466">
        <f>21.51</f>
        <v>21.51</v>
      </c>
    </row>
    <row r="3467" spans="1:5" x14ac:dyDescent="0.2">
      <c r="A3467" s="1">
        <v>40289</v>
      </c>
      <c r="B3467">
        <f>16.32</f>
        <v>16.32</v>
      </c>
      <c r="C3467">
        <f>22.4995</f>
        <v>22.499500000000001</v>
      </c>
      <c r="D3467">
        <f>18.44</f>
        <v>18.440000000000001</v>
      </c>
      <c r="E3467">
        <f>21.2</f>
        <v>21.2</v>
      </c>
    </row>
    <row r="3468" spans="1:5" x14ac:dyDescent="0.2">
      <c r="A3468" s="1">
        <v>40288</v>
      </c>
      <c r="B3468">
        <f>15.73</f>
        <v>15.73</v>
      </c>
      <c r="C3468">
        <f>21.0511</f>
        <v>21.051100000000002</v>
      </c>
      <c r="D3468">
        <f>17.34</f>
        <v>17.34</v>
      </c>
      <c r="E3468">
        <f>21.19</f>
        <v>21.19</v>
      </c>
    </row>
    <row r="3469" spans="1:5" x14ac:dyDescent="0.2">
      <c r="A3469" s="1">
        <v>40287</v>
      </c>
      <c r="B3469">
        <f>17.34</f>
        <v>17.34</v>
      </c>
      <c r="C3469">
        <f>23.2228</f>
        <v>23.222799999999999</v>
      </c>
      <c r="D3469">
        <f>18.17</f>
        <v>18.170000000000002</v>
      </c>
      <c r="E3469">
        <f>21.43</f>
        <v>21.43</v>
      </c>
    </row>
    <row r="3470" spans="1:5" x14ac:dyDescent="0.2">
      <c r="A3470" s="1">
        <v>40284</v>
      </c>
      <c r="B3470">
        <f>18.36</f>
        <v>18.36</v>
      </c>
      <c r="C3470">
        <f>22.4362</f>
        <v>22.436199999999999</v>
      </c>
      <c r="D3470">
        <f>17.07</f>
        <v>17.07</v>
      </c>
      <c r="E3470">
        <f>21.17</f>
        <v>21.17</v>
      </c>
    </row>
    <row r="3471" spans="1:5" x14ac:dyDescent="0.2">
      <c r="A3471" s="1">
        <v>40283</v>
      </c>
      <c r="B3471">
        <f>15.89</f>
        <v>15.89</v>
      </c>
      <c r="C3471">
        <f>20.2712</f>
        <v>20.2712</v>
      </c>
      <c r="D3471">
        <f>14.94</f>
        <v>14.94</v>
      </c>
      <c r="E3471">
        <f>20.63</f>
        <v>20.63</v>
      </c>
    </row>
    <row r="3472" spans="1:5" x14ac:dyDescent="0.2">
      <c r="A3472" s="1">
        <v>40282</v>
      </c>
      <c r="B3472">
        <f>15.59</f>
        <v>15.59</v>
      </c>
      <c r="C3472">
        <f>20.7926</f>
        <v>20.7926</v>
      </c>
      <c r="D3472">
        <f>15.49</f>
        <v>15.49</v>
      </c>
      <c r="E3472">
        <f>20.57</f>
        <v>20.57</v>
      </c>
    </row>
    <row r="3473" spans="1:5" x14ac:dyDescent="0.2">
      <c r="A3473" s="1">
        <v>40281</v>
      </c>
      <c r="B3473">
        <f>16.2</f>
        <v>16.2</v>
      </c>
      <c r="C3473">
        <f>21.0781</f>
        <v>21.078099999999999</v>
      </c>
      <c r="D3473">
        <f>16.19</f>
        <v>16.190000000000001</v>
      </c>
      <c r="E3473">
        <f>21.08</f>
        <v>21.08</v>
      </c>
    </row>
    <row r="3474" spans="1:5" x14ac:dyDescent="0.2">
      <c r="A3474" s="1">
        <v>40280</v>
      </c>
      <c r="B3474">
        <f>15.58</f>
        <v>15.58</v>
      </c>
      <c r="C3474">
        <f>20.7268</f>
        <v>20.726800000000001</v>
      </c>
      <c r="D3474">
        <f>15.15</f>
        <v>15.15</v>
      </c>
      <c r="E3474">
        <f>20.51</f>
        <v>20.51</v>
      </c>
    </row>
    <row r="3475" spans="1:5" x14ac:dyDescent="0.2">
      <c r="A3475" s="1">
        <v>40277</v>
      </c>
      <c r="B3475">
        <f>16.14</f>
        <v>16.14</v>
      </c>
      <c r="C3475">
        <f>20.5366</f>
        <v>20.5366</v>
      </c>
      <c r="D3475">
        <f>15.3</f>
        <v>15.3</v>
      </c>
      <c r="E3475">
        <f>20.5</f>
        <v>20.5</v>
      </c>
    </row>
    <row r="3476" spans="1:5" x14ac:dyDescent="0.2">
      <c r="A3476" s="1">
        <v>40276</v>
      </c>
      <c r="B3476">
        <f>16.48</f>
        <v>16.48</v>
      </c>
      <c r="C3476">
        <f>22.4955</f>
        <v>22.4955</v>
      </c>
      <c r="D3476">
        <f>16.43</f>
        <v>16.43</v>
      </c>
      <c r="E3476">
        <f>20.74</f>
        <v>20.74</v>
      </c>
    </row>
    <row r="3477" spans="1:5" x14ac:dyDescent="0.2">
      <c r="A3477" s="1">
        <v>40275</v>
      </c>
      <c r="B3477">
        <f>16.62</f>
        <v>16.62</v>
      </c>
      <c r="C3477">
        <f>21.151</f>
        <v>21.151</v>
      </c>
      <c r="D3477">
        <f>16.82</f>
        <v>16.82</v>
      </c>
      <c r="E3477">
        <f>20.68</f>
        <v>20.68</v>
      </c>
    </row>
    <row r="3478" spans="1:5" x14ac:dyDescent="0.2">
      <c r="A3478" s="1">
        <v>40274</v>
      </c>
      <c r="B3478">
        <f>16.23</f>
        <v>16.23</v>
      </c>
      <c r="C3478">
        <f>20.6297</f>
        <v>20.6297</v>
      </c>
      <c r="D3478">
        <f>16.51</f>
        <v>16.510000000000002</v>
      </c>
      <c r="E3478">
        <f>20.41</f>
        <v>20.41</v>
      </c>
    </row>
    <row r="3479" spans="1:5" x14ac:dyDescent="0.2">
      <c r="A3479" s="1">
        <v>40273</v>
      </c>
      <c r="B3479">
        <f>17.02</f>
        <v>17.02</v>
      </c>
      <c r="C3479" t="e">
        <f>NA()</f>
        <v>#N/A</v>
      </c>
      <c r="D3479" t="e">
        <f>NA()</f>
        <v>#N/A</v>
      </c>
      <c r="E3479" t="e">
        <f>NA()</f>
        <v>#N/A</v>
      </c>
    </row>
    <row r="3480" spans="1:5" x14ac:dyDescent="0.2">
      <c r="A3480" s="1">
        <v>40269</v>
      </c>
      <c r="B3480">
        <f>17.47</f>
        <v>17.47</v>
      </c>
      <c r="C3480">
        <f>19.9987</f>
        <v>19.998699999999999</v>
      </c>
      <c r="D3480">
        <f>16.02</f>
        <v>16.02</v>
      </c>
      <c r="E3480">
        <f>20.66</f>
        <v>20.66</v>
      </c>
    </row>
    <row r="3481" spans="1:5" x14ac:dyDescent="0.2">
      <c r="A3481" s="1">
        <v>40268</v>
      </c>
      <c r="B3481">
        <f>17.59</f>
        <v>17.59</v>
      </c>
      <c r="C3481">
        <f>20.5988</f>
        <v>20.598800000000001</v>
      </c>
      <c r="D3481">
        <f>16.92</f>
        <v>16.920000000000002</v>
      </c>
      <c r="E3481">
        <f>21.15</f>
        <v>21.15</v>
      </c>
    </row>
    <row r="3482" spans="1:5" x14ac:dyDescent="0.2">
      <c r="A3482" s="1">
        <v>40267</v>
      </c>
      <c r="B3482">
        <f>17.13</f>
        <v>17.13</v>
      </c>
      <c r="C3482">
        <f>20.4679</f>
        <v>20.4679</v>
      </c>
      <c r="D3482">
        <f>16.59</f>
        <v>16.59</v>
      </c>
      <c r="E3482">
        <f>21.05</f>
        <v>21.05</v>
      </c>
    </row>
    <row r="3483" spans="1:5" x14ac:dyDescent="0.2">
      <c r="A3483" s="1">
        <v>40266</v>
      </c>
      <c r="B3483">
        <f>17.59</f>
        <v>17.59</v>
      </c>
      <c r="C3483">
        <f>20.3509</f>
        <v>20.350899999999999</v>
      </c>
      <c r="D3483">
        <f>16.24</f>
        <v>16.239999999999998</v>
      </c>
      <c r="E3483">
        <f>20.82</f>
        <v>20.82</v>
      </c>
    </row>
    <row r="3484" spans="1:5" x14ac:dyDescent="0.2">
      <c r="A3484" s="1">
        <v>40263</v>
      </c>
      <c r="B3484">
        <f>17.77</f>
        <v>17.77</v>
      </c>
      <c r="C3484">
        <f>19.7951</f>
        <v>19.795100000000001</v>
      </c>
      <c r="D3484">
        <f>15.84</f>
        <v>15.84</v>
      </c>
      <c r="E3484">
        <f>21.9</f>
        <v>21.9</v>
      </c>
    </row>
    <row r="3485" spans="1:5" x14ac:dyDescent="0.2">
      <c r="A3485" s="1">
        <v>40262</v>
      </c>
      <c r="B3485">
        <f>18.4</f>
        <v>18.399999999999999</v>
      </c>
      <c r="C3485">
        <f>19.8877</f>
        <v>19.887699999999999</v>
      </c>
      <c r="D3485">
        <f>15.6</f>
        <v>15.6</v>
      </c>
      <c r="E3485">
        <f>21.81</f>
        <v>21.81</v>
      </c>
    </row>
    <row r="3486" spans="1:5" x14ac:dyDescent="0.2">
      <c r="A3486" s="1">
        <v>40261</v>
      </c>
      <c r="B3486">
        <f>17.55</f>
        <v>17.55</v>
      </c>
      <c r="C3486">
        <f>20.6059</f>
        <v>20.605899999999998</v>
      </c>
      <c r="D3486">
        <f>16.26</f>
        <v>16.260000000000002</v>
      </c>
      <c r="E3486">
        <f>22.28</f>
        <v>22.28</v>
      </c>
    </row>
    <row r="3487" spans="1:5" x14ac:dyDescent="0.2">
      <c r="A3487" s="1">
        <v>40260</v>
      </c>
      <c r="B3487">
        <f>16.35</f>
        <v>16.350000000000001</v>
      </c>
      <c r="C3487">
        <f>19.935</f>
        <v>19.934999999999999</v>
      </c>
      <c r="D3487">
        <f>16.21</f>
        <v>16.21</v>
      </c>
      <c r="E3487">
        <f>22.77</f>
        <v>22.77</v>
      </c>
    </row>
    <row r="3488" spans="1:5" x14ac:dyDescent="0.2">
      <c r="A3488" s="1">
        <v>40259</v>
      </c>
      <c r="B3488">
        <f>16.87</f>
        <v>16.87</v>
      </c>
      <c r="C3488">
        <f>21.0976</f>
        <v>21.0976</v>
      </c>
      <c r="D3488">
        <f>17.29</f>
        <v>17.29</v>
      </c>
      <c r="E3488" t="e">
        <f>NA()</f>
        <v>#N/A</v>
      </c>
    </row>
    <row r="3489" spans="1:5" x14ac:dyDescent="0.2">
      <c r="A3489" s="1">
        <v>40256</v>
      </c>
      <c r="B3489">
        <f>16.97</f>
        <v>16.97</v>
      </c>
      <c r="C3489">
        <f>20.4963</f>
        <v>20.496300000000002</v>
      </c>
      <c r="D3489">
        <f>16.4</f>
        <v>16.399999999999999</v>
      </c>
      <c r="E3489">
        <f>22.73</f>
        <v>22.73</v>
      </c>
    </row>
    <row r="3490" spans="1:5" x14ac:dyDescent="0.2">
      <c r="A3490" s="1">
        <v>40255</v>
      </c>
      <c r="B3490">
        <f>16.62</f>
        <v>16.62</v>
      </c>
      <c r="C3490">
        <f>20.7944</f>
        <v>20.7944</v>
      </c>
      <c r="D3490">
        <f>15.84</f>
        <v>15.84</v>
      </c>
      <c r="E3490">
        <f>22.56</f>
        <v>22.56</v>
      </c>
    </row>
    <row r="3491" spans="1:5" x14ac:dyDescent="0.2">
      <c r="A3491" s="1">
        <v>40254</v>
      </c>
      <c r="B3491">
        <f>16.91</f>
        <v>16.91</v>
      </c>
      <c r="C3491">
        <f>20.4596</f>
        <v>20.459599999999998</v>
      </c>
      <c r="D3491">
        <f>16.72</f>
        <v>16.72</v>
      </c>
      <c r="E3491">
        <f>22.58</f>
        <v>22.58</v>
      </c>
    </row>
    <row r="3492" spans="1:5" x14ac:dyDescent="0.2">
      <c r="A3492" s="1">
        <v>40253</v>
      </c>
      <c r="B3492">
        <f>17.69</f>
        <v>17.690000000000001</v>
      </c>
      <c r="C3492">
        <f>21.5082</f>
        <v>21.508199999999999</v>
      </c>
      <c r="D3492">
        <f>17.3</f>
        <v>17.3</v>
      </c>
      <c r="E3492">
        <f>22.84</f>
        <v>22.84</v>
      </c>
    </row>
    <row r="3493" spans="1:5" x14ac:dyDescent="0.2">
      <c r="A3493" s="1">
        <v>40252</v>
      </c>
      <c r="B3493">
        <f>18</f>
        <v>18</v>
      </c>
      <c r="C3493">
        <f>22.5512</f>
        <v>22.551200000000001</v>
      </c>
      <c r="D3493">
        <f>17.94</f>
        <v>17.940000000000001</v>
      </c>
      <c r="E3493">
        <f>23.09</f>
        <v>23.09</v>
      </c>
    </row>
    <row r="3494" spans="1:5" x14ac:dyDescent="0.2">
      <c r="A3494" s="1">
        <v>40249</v>
      </c>
      <c r="B3494">
        <f>17.58</f>
        <v>17.579999999999998</v>
      </c>
      <c r="C3494">
        <f>21.9337</f>
        <v>21.933700000000002</v>
      </c>
      <c r="D3494">
        <f>16.65</f>
        <v>16.649999999999999</v>
      </c>
      <c r="E3494">
        <f>22.84</f>
        <v>22.84</v>
      </c>
    </row>
    <row r="3495" spans="1:5" x14ac:dyDescent="0.2">
      <c r="A3495" s="1">
        <v>40248</v>
      </c>
      <c r="B3495">
        <f>18.06</f>
        <v>18.059999999999999</v>
      </c>
      <c r="C3495">
        <f>21.6064</f>
        <v>21.606400000000001</v>
      </c>
      <c r="D3495">
        <f>16.98</f>
        <v>16.98</v>
      </c>
      <c r="E3495">
        <f>23.1</f>
        <v>23.1</v>
      </c>
    </row>
    <row r="3496" spans="1:5" x14ac:dyDescent="0.2">
      <c r="A3496" s="1">
        <v>40247</v>
      </c>
      <c r="B3496">
        <f>18.57</f>
        <v>18.57</v>
      </c>
      <c r="C3496">
        <f>21.8234</f>
        <v>21.823399999999999</v>
      </c>
      <c r="D3496">
        <f>17.63</f>
        <v>17.63</v>
      </c>
      <c r="E3496">
        <f>23.09</f>
        <v>23.09</v>
      </c>
    </row>
    <row r="3497" spans="1:5" x14ac:dyDescent="0.2">
      <c r="A3497" s="1">
        <v>40246</v>
      </c>
      <c r="B3497">
        <f>17.92</f>
        <v>17.920000000000002</v>
      </c>
      <c r="C3497">
        <f>21.9089</f>
        <v>21.908899999999999</v>
      </c>
      <c r="D3497">
        <f>18.16</f>
        <v>18.16</v>
      </c>
      <c r="E3497">
        <f>23.09</f>
        <v>23.09</v>
      </c>
    </row>
    <row r="3498" spans="1:5" x14ac:dyDescent="0.2">
      <c r="A3498" s="1">
        <v>40245</v>
      </c>
      <c r="B3498">
        <f>17.79</f>
        <v>17.79</v>
      </c>
      <c r="C3498">
        <f>22.1037</f>
        <v>22.1037</v>
      </c>
      <c r="D3498">
        <f>18.28</f>
        <v>18.28</v>
      </c>
      <c r="E3498">
        <f>23.96</f>
        <v>23.96</v>
      </c>
    </row>
    <row r="3499" spans="1:5" x14ac:dyDescent="0.2">
      <c r="A3499" s="1">
        <v>40242</v>
      </c>
      <c r="B3499">
        <f>17.42</f>
        <v>17.420000000000002</v>
      </c>
      <c r="C3499">
        <f>20.8733</f>
        <v>20.8733</v>
      </c>
      <c r="D3499">
        <f>17.99</f>
        <v>17.989999999999998</v>
      </c>
      <c r="E3499">
        <f>22.08</f>
        <v>22.08</v>
      </c>
    </row>
    <row r="3500" spans="1:5" x14ac:dyDescent="0.2">
      <c r="A3500" s="1">
        <v>40241</v>
      </c>
      <c r="B3500">
        <f>18.72</f>
        <v>18.72</v>
      </c>
      <c r="C3500">
        <f>22.509</f>
        <v>22.509</v>
      </c>
      <c r="D3500">
        <f>18.08</f>
        <v>18.079999999999998</v>
      </c>
      <c r="E3500">
        <f>24.75</f>
        <v>24.75</v>
      </c>
    </row>
    <row r="3501" spans="1:5" x14ac:dyDescent="0.2">
      <c r="A3501" s="1">
        <v>40240</v>
      </c>
      <c r="B3501">
        <f>18.83</f>
        <v>18.829999999999998</v>
      </c>
      <c r="C3501">
        <f>22.5647</f>
        <v>22.564699999999998</v>
      </c>
      <c r="D3501">
        <f>17.55</f>
        <v>17.55</v>
      </c>
      <c r="E3501">
        <f>22.8</f>
        <v>22.8</v>
      </c>
    </row>
    <row r="3502" spans="1:5" x14ac:dyDescent="0.2">
      <c r="A3502" s="1">
        <v>40239</v>
      </c>
      <c r="B3502">
        <f>19.06</f>
        <v>19.059999999999999</v>
      </c>
      <c r="C3502">
        <f>23.0869</f>
        <v>23.0869</v>
      </c>
      <c r="D3502">
        <f>17.51</f>
        <v>17.510000000000002</v>
      </c>
      <c r="E3502">
        <f>25.25</f>
        <v>25.25</v>
      </c>
    </row>
    <row r="3503" spans="1:5" x14ac:dyDescent="0.2">
      <c r="A3503" s="1">
        <v>40238</v>
      </c>
      <c r="B3503">
        <f>19.26</f>
        <v>19.260000000000002</v>
      </c>
      <c r="C3503">
        <f>24.2057</f>
        <v>24.2057</v>
      </c>
      <c r="D3503">
        <f>18.33</f>
        <v>18.329999999999998</v>
      </c>
      <c r="E3503">
        <f>25.5</f>
        <v>25.5</v>
      </c>
    </row>
    <row r="3504" spans="1:5" x14ac:dyDescent="0.2">
      <c r="A3504" s="1">
        <v>40235</v>
      </c>
      <c r="B3504">
        <f>19.5</f>
        <v>19.5</v>
      </c>
      <c r="C3504">
        <f>24.3654</f>
        <v>24.365400000000001</v>
      </c>
      <c r="D3504">
        <f>18.46</f>
        <v>18.46</v>
      </c>
      <c r="E3504">
        <f>26.01</f>
        <v>26.01</v>
      </c>
    </row>
    <row r="3505" spans="1:5" x14ac:dyDescent="0.2">
      <c r="A3505" s="1">
        <v>40234</v>
      </c>
      <c r="B3505">
        <f>20.1</f>
        <v>20.100000000000001</v>
      </c>
      <c r="C3505">
        <f>25.7752</f>
        <v>25.775200000000002</v>
      </c>
      <c r="D3505">
        <f>20.06</f>
        <v>20.059999999999999</v>
      </c>
      <c r="E3505">
        <f>25.52</f>
        <v>25.52</v>
      </c>
    </row>
    <row r="3506" spans="1:5" x14ac:dyDescent="0.2">
      <c r="A3506" s="1">
        <v>40233</v>
      </c>
      <c r="B3506">
        <f>20.27</f>
        <v>20.27</v>
      </c>
      <c r="C3506">
        <f>25.0557</f>
        <v>25.055700000000002</v>
      </c>
      <c r="D3506">
        <f>19.34</f>
        <v>19.34</v>
      </c>
      <c r="E3506">
        <f>25.52</f>
        <v>25.52</v>
      </c>
    </row>
    <row r="3507" spans="1:5" x14ac:dyDescent="0.2">
      <c r="A3507" s="1">
        <v>40232</v>
      </c>
      <c r="B3507">
        <f>21.37</f>
        <v>21.37</v>
      </c>
      <c r="C3507">
        <f>25.2581</f>
        <v>25.258099999999999</v>
      </c>
      <c r="D3507">
        <f>20.29</f>
        <v>20.29</v>
      </c>
      <c r="E3507">
        <f>25.52</f>
        <v>25.52</v>
      </c>
    </row>
    <row r="3508" spans="1:5" x14ac:dyDescent="0.2">
      <c r="A3508" s="1">
        <v>40231</v>
      </c>
      <c r="B3508">
        <f>19.94</f>
        <v>19.940000000000001</v>
      </c>
      <c r="C3508">
        <f>23.8859</f>
        <v>23.885899999999999</v>
      </c>
      <c r="D3508">
        <f>27.87</f>
        <v>27.87</v>
      </c>
      <c r="E3508">
        <f>25.26</f>
        <v>25.26</v>
      </c>
    </row>
    <row r="3509" spans="1:5" x14ac:dyDescent="0.2">
      <c r="A3509" s="1">
        <v>40228</v>
      </c>
      <c r="B3509">
        <f>20.02</f>
        <v>20.02</v>
      </c>
      <c r="C3509">
        <f>23.8134</f>
        <v>23.813400000000001</v>
      </c>
      <c r="D3509">
        <f>26.91</f>
        <v>26.91</v>
      </c>
      <c r="E3509">
        <f>25.26</f>
        <v>25.26</v>
      </c>
    </row>
    <row r="3510" spans="1:5" x14ac:dyDescent="0.2">
      <c r="A3510" s="1">
        <v>40227</v>
      </c>
      <c r="B3510">
        <f>20.63</f>
        <v>20.63</v>
      </c>
      <c r="C3510">
        <f>24.5976</f>
        <v>24.5976</v>
      </c>
      <c r="D3510">
        <f>19.9</f>
        <v>19.899999999999999</v>
      </c>
      <c r="E3510">
        <f>25.26</f>
        <v>25.26</v>
      </c>
    </row>
    <row r="3511" spans="1:5" x14ac:dyDescent="0.2">
      <c r="A3511" s="1">
        <v>40226</v>
      </c>
      <c r="B3511">
        <f>21.72</f>
        <v>21.72</v>
      </c>
      <c r="C3511">
        <f>25.6233</f>
        <v>25.6233</v>
      </c>
      <c r="D3511">
        <f>20.83</f>
        <v>20.83</v>
      </c>
      <c r="E3511">
        <f>25.28</f>
        <v>25.28</v>
      </c>
    </row>
    <row r="3512" spans="1:5" x14ac:dyDescent="0.2">
      <c r="A3512" s="1">
        <v>40225</v>
      </c>
      <c r="B3512">
        <f>22.25</f>
        <v>22.25</v>
      </c>
      <c r="C3512">
        <f>26.7825</f>
        <v>26.782499999999999</v>
      </c>
      <c r="D3512">
        <f>21.91</f>
        <v>21.91</v>
      </c>
      <c r="E3512">
        <f>25.52</f>
        <v>25.52</v>
      </c>
    </row>
    <row r="3513" spans="1:5" x14ac:dyDescent="0.2">
      <c r="A3513" s="1">
        <v>40224</v>
      </c>
      <c r="B3513" t="e">
        <f>NA()</f>
        <v>#N/A</v>
      </c>
      <c r="C3513">
        <f>28.3269</f>
        <v>28.326899999999998</v>
      </c>
      <c r="D3513">
        <f>23.71</f>
        <v>23.71</v>
      </c>
      <c r="E3513">
        <f>25.77</f>
        <v>25.77</v>
      </c>
    </row>
    <row r="3514" spans="1:5" x14ac:dyDescent="0.2">
      <c r="A3514" s="1">
        <v>40221</v>
      </c>
      <c r="B3514">
        <f>22.73</f>
        <v>22.73</v>
      </c>
      <c r="C3514">
        <f>28.4507</f>
        <v>28.450700000000001</v>
      </c>
      <c r="D3514">
        <f>23.97</f>
        <v>23.97</v>
      </c>
      <c r="E3514">
        <f>26.29</f>
        <v>26.29</v>
      </c>
    </row>
    <row r="3515" spans="1:5" x14ac:dyDescent="0.2">
      <c r="A3515" s="1">
        <v>40220</v>
      </c>
      <c r="B3515">
        <f>23.96</f>
        <v>23.96</v>
      </c>
      <c r="C3515">
        <f>29.1073</f>
        <v>29.107299999999999</v>
      </c>
      <c r="D3515">
        <f>24.31</f>
        <v>24.31</v>
      </c>
      <c r="E3515">
        <f>26.29</f>
        <v>26.29</v>
      </c>
    </row>
    <row r="3516" spans="1:5" x14ac:dyDescent="0.2">
      <c r="A3516" s="1">
        <v>40219</v>
      </c>
      <c r="B3516">
        <f>25.4</f>
        <v>25.4</v>
      </c>
      <c r="C3516">
        <f>29.2527</f>
        <v>29.252700000000001</v>
      </c>
      <c r="D3516">
        <f>23.88</f>
        <v>23.88</v>
      </c>
      <c r="E3516">
        <f>26.79</f>
        <v>26.79</v>
      </c>
    </row>
    <row r="3517" spans="1:5" x14ac:dyDescent="0.2">
      <c r="A3517" s="1">
        <v>40218</v>
      </c>
      <c r="B3517">
        <f>26</f>
        <v>26</v>
      </c>
      <c r="C3517">
        <f>29.5998</f>
        <v>29.599799999999998</v>
      </c>
      <c r="D3517">
        <f>24.73</f>
        <v>24.73</v>
      </c>
      <c r="E3517">
        <f>26.68</f>
        <v>26.68</v>
      </c>
    </row>
    <row r="3518" spans="1:5" x14ac:dyDescent="0.2">
      <c r="A3518" s="1">
        <v>40217</v>
      </c>
      <c r="B3518">
        <f>26.51</f>
        <v>26.51</v>
      </c>
      <c r="C3518">
        <f>29.9954</f>
        <v>29.9954</v>
      </c>
      <c r="D3518">
        <f>34.92</f>
        <v>34.92</v>
      </c>
      <c r="E3518">
        <f>26.97</f>
        <v>26.97</v>
      </c>
    </row>
    <row r="3519" spans="1:5" x14ac:dyDescent="0.2">
      <c r="A3519" s="1">
        <v>40214</v>
      </c>
      <c r="B3519">
        <f>26.11</f>
        <v>26.11</v>
      </c>
      <c r="C3519">
        <f>30.5511</f>
        <v>30.551100000000002</v>
      </c>
      <c r="D3519">
        <f>35.07</f>
        <v>35.07</v>
      </c>
      <c r="E3519">
        <f>26.94</f>
        <v>26.94</v>
      </c>
    </row>
    <row r="3520" spans="1:5" x14ac:dyDescent="0.2">
      <c r="A3520" s="1">
        <v>40213</v>
      </c>
      <c r="B3520">
        <f>26.08</f>
        <v>26.08</v>
      </c>
      <c r="C3520">
        <f>29.2653</f>
        <v>29.2653</v>
      </c>
      <c r="D3520">
        <f>33.19</f>
        <v>33.19</v>
      </c>
      <c r="E3520">
        <f>25.24</f>
        <v>25.24</v>
      </c>
    </row>
    <row r="3521" spans="1:5" x14ac:dyDescent="0.2">
      <c r="A3521" s="1">
        <v>40212</v>
      </c>
      <c r="B3521">
        <f>21.6</f>
        <v>21.6</v>
      </c>
      <c r="C3521">
        <f>25.4074</f>
        <v>25.407399999999999</v>
      </c>
      <c r="D3521">
        <f>29.68</f>
        <v>29.68</v>
      </c>
      <c r="E3521">
        <f>25.15</f>
        <v>25.15</v>
      </c>
    </row>
    <row r="3522" spans="1:5" x14ac:dyDescent="0.2">
      <c r="A3522" s="1">
        <v>40211</v>
      </c>
      <c r="B3522">
        <f>21.48</f>
        <v>21.48</v>
      </c>
      <c r="C3522">
        <f>24.871</f>
        <v>24.870999999999999</v>
      </c>
      <c r="D3522">
        <f>29.72</f>
        <v>29.72</v>
      </c>
      <c r="E3522">
        <f>25.15</f>
        <v>25.15</v>
      </c>
    </row>
    <row r="3523" spans="1:5" x14ac:dyDescent="0.2">
      <c r="A3523" s="1">
        <v>40210</v>
      </c>
      <c r="B3523">
        <f>22.59</f>
        <v>22.59</v>
      </c>
      <c r="C3523">
        <f>26.3665</f>
        <v>26.366499999999998</v>
      </c>
      <c r="D3523">
        <f>31.66</f>
        <v>31.66</v>
      </c>
      <c r="E3523">
        <f>25.39</f>
        <v>25.39</v>
      </c>
    </row>
    <row r="3524" spans="1:5" x14ac:dyDescent="0.2">
      <c r="A3524" s="1">
        <v>40207</v>
      </c>
      <c r="B3524">
        <f>24.62</f>
        <v>24.62</v>
      </c>
      <c r="C3524">
        <f>26.7238</f>
        <v>26.723800000000001</v>
      </c>
      <c r="D3524">
        <f>23.03</f>
        <v>23.03</v>
      </c>
      <c r="E3524">
        <f>25.15</f>
        <v>25.15</v>
      </c>
    </row>
    <row r="3525" spans="1:5" x14ac:dyDescent="0.2">
      <c r="A3525" s="1">
        <v>40206</v>
      </c>
      <c r="B3525">
        <f>23.73</f>
        <v>23.73</v>
      </c>
      <c r="C3525">
        <f>28.1495</f>
        <v>28.1495</v>
      </c>
      <c r="D3525">
        <f>24.36</f>
        <v>24.36</v>
      </c>
      <c r="E3525">
        <f>24.71</f>
        <v>24.71</v>
      </c>
    </row>
    <row r="3526" spans="1:5" x14ac:dyDescent="0.2">
      <c r="A3526" s="1">
        <v>40205</v>
      </c>
      <c r="B3526">
        <f>23.14</f>
        <v>23.14</v>
      </c>
      <c r="C3526">
        <f>27.4525</f>
        <v>27.452500000000001</v>
      </c>
      <c r="D3526">
        <f>23.41</f>
        <v>23.41</v>
      </c>
      <c r="E3526">
        <f>23.83</f>
        <v>23.83</v>
      </c>
    </row>
    <row r="3527" spans="1:5" x14ac:dyDescent="0.2">
      <c r="A3527" s="1">
        <v>40204</v>
      </c>
      <c r="B3527">
        <f>24.55</f>
        <v>24.55</v>
      </c>
      <c r="C3527">
        <f>25.68</f>
        <v>25.68</v>
      </c>
      <c r="D3527">
        <f>22.37</f>
        <v>22.37</v>
      </c>
      <c r="E3527">
        <f>24.08</f>
        <v>24.08</v>
      </c>
    </row>
    <row r="3528" spans="1:5" x14ac:dyDescent="0.2">
      <c r="A3528" s="1">
        <v>40203</v>
      </c>
      <c r="B3528">
        <f>25.41</f>
        <v>25.41</v>
      </c>
      <c r="C3528">
        <f>27.0738</f>
        <v>27.073799999999999</v>
      </c>
      <c r="D3528">
        <f>23.4</f>
        <v>23.4</v>
      </c>
      <c r="E3528">
        <f>23.75</f>
        <v>23.75</v>
      </c>
    </row>
    <row r="3529" spans="1:5" x14ac:dyDescent="0.2">
      <c r="A3529" s="1">
        <v>40200</v>
      </c>
      <c r="B3529">
        <f>27.31</f>
        <v>27.31</v>
      </c>
      <c r="C3529">
        <f>27.0923</f>
        <v>27.092300000000002</v>
      </c>
      <c r="D3529">
        <f>22.52</f>
        <v>22.52</v>
      </c>
      <c r="E3529">
        <f>23.76</f>
        <v>23.76</v>
      </c>
    </row>
    <row r="3530" spans="1:5" x14ac:dyDescent="0.2">
      <c r="A3530" s="1">
        <v>40199</v>
      </c>
      <c r="B3530">
        <f>22.27</f>
        <v>22.27</v>
      </c>
      <c r="C3530">
        <f>26.415</f>
        <v>26.414999999999999</v>
      </c>
      <c r="D3530">
        <f>22.46</f>
        <v>22.46</v>
      </c>
      <c r="E3530">
        <f>22.73</f>
        <v>22.73</v>
      </c>
    </row>
    <row r="3531" spans="1:5" x14ac:dyDescent="0.2">
      <c r="A3531" s="1">
        <v>40198</v>
      </c>
      <c r="B3531">
        <f>18.68</f>
        <v>18.68</v>
      </c>
      <c r="C3531">
        <f>23.4058</f>
        <v>23.405799999999999</v>
      </c>
      <c r="D3531">
        <f>19.49</f>
        <v>19.489999999999998</v>
      </c>
      <c r="E3531">
        <f>22.72</f>
        <v>22.72</v>
      </c>
    </row>
    <row r="3532" spans="1:5" x14ac:dyDescent="0.2">
      <c r="A3532" s="1">
        <v>40197</v>
      </c>
      <c r="B3532">
        <f>17.58</f>
        <v>17.579999999999998</v>
      </c>
      <c r="C3532">
        <f>20.3124</f>
        <v>20.3124</v>
      </c>
      <c r="D3532">
        <f>18.2</f>
        <v>18.2</v>
      </c>
      <c r="E3532">
        <f>22.7</f>
        <v>22.7</v>
      </c>
    </row>
    <row r="3533" spans="1:5" x14ac:dyDescent="0.2">
      <c r="A3533" s="1">
        <v>40196</v>
      </c>
      <c r="B3533" t="e">
        <f>NA()</f>
        <v>#N/A</v>
      </c>
      <c r="C3533">
        <f>20.9832</f>
        <v>20.9832</v>
      </c>
      <c r="D3533">
        <f>17.73</f>
        <v>17.73</v>
      </c>
      <c r="E3533">
        <f>22.7</f>
        <v>22.7</v>
      </c>
    </row>
    <row r="3534" spans="1:5" x14ac:dyDescent="0.2">
      <c r="A3534" s="1">
        <v>40193</v>
      </c>
      <c r="B3534">
        <f>17.91</f>
        <v>17.91</v>
      </c>
      <c r="C3534">
        <f>22.2754</f>
        <v>22.275400000000001</v>
      </c>
      <c r="D3534">
        <f>18.5</f>
        <v>18.5</v>
      </c>
      <c r="E3534">
        <f>22.71</f>
        <v>22.71</v>
      </c>
    </row>
    <row r="3535" spans="1:5" x14ac:dyDescent="0.2">
      <c r="A3535" s="1">
        <v>40192</v>
      </c>
      <c r="B3535">
        <f>17.63</f>
        <v>17.63</v>
      </c>
      <c r="C3535">
        <f>20.5491</f>
        <v>20.549099999999999</v>
      </c>
      <c r="D3535">
        <f>17.74</f>
        <v>17.739999999999998</v>
      </c>
      <c r="E3535">
        <f>22.71</f>
        <v>22.71</v>
      </c>
    </row>
    <row r="3536" spans="1:5" x14ac:dyDescent="0.2">
      <c r="A3536" s="1">
        <v>40191</v>
      </c>
      <c r="B3536">
        <f>17.85</f>
        <v>17.850000000000001</v>
      </c>
      <c r="C3536">
        <f>22.607</f>
        <v>22.606999999999999</v>
      </c>
      <c r="D3536">
        <f>18.69</f>
        <v>18.690000000000001</v>
      </c>
      <c r="E3536">
        <f>22.7</f>
        <v>22.7</v>
      </c>
    </row>
    <row r="3537" spans="1:5" x14ac:dyDescent="0.2">
      <c r="A3537" s="1">
        <v>40190</v>
      </c>
      <c r="B3537">
        <f>18.25</f>
        <v>18.25</v>
      </c>
      <c r="C3537">
        <f>22.9229</f>
        <v>22.922899999999998</v>
      </c>
      <c r="D3537">
        <f>18.51</f>
        <v>18.510000000000002</v>
      </c>
      <c r="E3537">
        <f>22.69</f>
        <v>22.69</v>
      </c>
    </row>
    <row r="3538" spans="1:5" x14ac:dyDescent="0.2">
      <c r="A3538" s="1">
        <v>40189</v>
      </c>
      <c r="B3538">
        <f>17.55</f>
        <v>17.55</v>
      </c>
      <c r="C3538">
        <f>22.7292</f>
        <v>22.729199999999999</v>
      </c>
      <c r="D3538">
        <f>17.84</f>
        <v>17.84</v>
      </c>
      <c r="E3538">
        <f>22.2</f>
        <v>22.2</v>
      </c>
    </row>
    <row r="3539" spans="1:5" x14ac:dyDescent="0.2">
      <c r="A3539" s="1">
        <v>40186</v>
      </c>
      <c r="B3539">
        <f>18.13</f>
        <v>18.13</v>
      </c>
      <c r="C3539">
        <f>21.9757</f>
        <v>21.9757</v>
      </c>
      <c r="D3539">
        <f>16.93</f>
        <v>16.93</v>
      </c>
      <c r="E3539">
        <f>23.09</f>
        <v>23.09</v>
      </c>
    </row>
    <row r="3540" spans="1:5" x14ac:dyDescent="0.2">
      <c r="A3540" s="1">
        <v>40185</v>
      </c>
      <c r="B3540">
        <f>19.06</f>
        <v>19.059999999999999</v>
      </c>
      <c r="C3540">
        <f>22.6947</f>
        <v>22.694700000000001</v>
      </c>
      <c r="D3540">
        <f>18.18</f>
        <v>18.18</v>
      </c>
      <c r="E3540">
        <f>23.08</f>
        <v>23.08</v>
      </c>
    </row>
    <row r="3541" spans="1:5" x14ac:dyDescent="0.2">
      <c r="A3541" s="1">
        <v>40184</v>
      </c>
      <c r="B3541">
        <f>19.16</f>
        <v>19.16</v>
      </c>
      <c r="C3541">
        <f>22.9753</f>
        <v>22.975300000000001</v>
      </c>
      <c r="D3541">
        <f>19.44</f>
        <v>19.440000000000001</v>
      </c>
      <c r="E3541">
        <f>22.84</f>
        <v>22.84</v>
      </c>
    </row>
    <row r="3542" spans="1:5" x14ac:dyDescent="0.2">
      <c r="A3542" s="1">
        <v>40183</v>
      </c>
      <c r="B3542">
        <f>19.35</f>
        <v>19.350000000000001</v>
      </c>
      <c r="C3542">
        <f>23.1342</f>
        <v>23.1342</v>
      </c>
      <c r="D3542">
        <f>19.63</f>
        <v>19.63</v>
      </c>
      <c r="E3542">
        <f>22.82</f>
        <v>22.82</v>
      </c>
    </row>
    <row r="3543" spans="1:5" x14ac:dyDescent="0.2">
      <c r="A3543" s="1">
        <v>40182</v>
      </c>
      <c r="B3543">
        <f>20.04</f>
        <v>20.04</v>
      </c>
      <c r="C3543">
        <f>23.5136</f>
        <v>23.5136</v>
      </c>
      <c r="D3543">
        <f>19.73</f>
        <v>19.73</v>
      </c>
      <c r="E3543">
        <f>22.93</f>
        <v>22.93</v>
      </c>
    </row>
    <row r="3544" spans="1:5" x14ac:dyDescent="0.2">
      <c r="A3544" s="1">
        <v>40178</v>
      </c>
      <c r="B3544">
        <f>21.68</f>
        <v>21.68</v>
      </c>
      <c r="C3544" t="e">
        <f>NA()</f>
        <v>#N/A</v>
      </c>
      <c r="D3544" t="e">
        <f>NA()</f>
        <v>#N/A</v>
      </c>
      <c r="E3544">
        <f>22.93</f>
        <v>22.93</v>
      </c>
    </row>
    <row r="3545" spans="1:5" x14ac:dyDescent="0.2">
      <c r="A3545" s="1">
        <v>40177</v>
      </c>
      <c r="B3545">
        <f>19.96</f>
        <v>19.96</v>
      </c>
      <c r="C3545">
        <f>24.0577</f>
        <v>24.057700000000001</v>
      </c>
      <c r="D3545" t="e">
        <f>NA()</f>
        <v>#N/A</v>
      </c>
      <c r="E3545">
        <f>22.93</f>
        <v>22.93</v>
      </c>
    </row>
    <row r="3546" spans="1:5" x14ac:dyDescent="0.2">
      <c r="A3546" s="1">
        <v>40176</v>
      </c>
      <c r="B3546">
        <f>20.01</f>
        <v>20.010000000000002</v>
      </c>
      <c r="C3546">
        <f>23.3564</f>
        <v>23.356400000000001</v>
      </c>
      <c r="D3546">
        <f>19.94</f>
        <v>19.940000000000001</v>
      </c>
      <c r="E3546">
        <f>22.88</f>
        <v>22.88</v>
      </c>
    </row>
    <row r="3547" spans="1:5" x14ac:dyDescent="0.2">
      <c r="A3547" s="1">
        <v>40175</v>
      </c>
      <c r="B3547">
        <f>19.93</f>
        <v>19.93</v>
      </c>
      <c r="C3547">
        <f>23.5164</f>
        <v>23.516400000000001</v>
      </c>
      <c r="D3547" t="e">
        <f>NA()</f>
        <v>#N/A</v>
      </c>
      <c r="E3547">
        <f>22.84</f>
        <v>22.84</v>
      </c>
    </row>
    <row r="3548" spans="1:5" x14ac:dyDescent="0.2">
      <c r="A3548" s="1">
        <v>40171</v>
      </c>
      <c r="B3548">
        <f>19.47</f>
        <v>19.47</v>
      </c>
      <c r="C3548" t="e">
        <f>NA()</f>
        <v>#N/A</v>
      </c>
      <c r="D3548">
        <f>19.64</f>
        <v>19.64</v>
      </c>
      <c r="E3548">
        <f>23.05</f>
        <v>23.05</v>
      </c>
    </row>
    <row r="3549" spans="1:5" x14ac:dyDescent="0.2">
      <c r="A3549" s="1">
        <v>40170</v>
      </c>
      <c r="B3549">
        <f>19.71</f>
        <v>19.71</v>
      </c>
      <c r="C3549">
        <f>22.8498</f>
        <v>22.849799999999998</v>
      </c>
      <c r="D3549">
        <f>19.76</f>
        <v>19.760000000000002</v>
      </c>
      <c r="E3549">
        <f>23.04</f>
        <v>23.04</v>
      </c>
    </row>
    <row r="3550" spans="1:5" x14ac:dyDescent="0.2">
      <c r="A3550" s="1">
        <v>40169</v>
      </c>
      <c r="B3550">
        <f>19.54</f>
        <v>19.54</v>
      </c>
      <c r="C3550">
        <f>23.2634</f>
        <v>23.263400000000001</v>
      </c>
      <c r="D3550">
        <f>20.22</f>
        <v>20.22</v>
      </c>
      <c r="E3550">
        <f>23.04</f>
        <v>23.04</v>
      </c>
    </row>
    <row r="3551" spans="1:5" x14ac:dyDescent="0.2">
      <c r="A3551" s="1">
        <v>40168</v>
      </c>
      <c r="B3551">
        <f>20.49</f>
        <v>20.49</v>
      </c>
      <c r="C3551">
        <f>23.3807</f>
        <v>23.380700000000001</v>
      </c>
      <c r="D3551">
        <f>19.93</f>
        <v>19.93</v>
      </c>
      <c r="E3551">
        <f>23.29</f>
        <v>23.29</v>
      </c>
    </row>
    <row r="3552" spans="1:5" x14ac:dyDescent="0.2">
      <c r="A3552" s="1">
        <v>40165</v>
      </c>
      <c r="B3552">
        <f>21.68</f>
        <v>21.68</v>
      </c>
      <c r="C3552">
        <f>25.1044</f>
        <v>25.104399999999998</v>
      </c>
      <c r="D3552">
        <f>21.13</f>
        <v>21.13</v>
      </c>
      <c r="E3552">
        <f>23.3</f>
        <v>23.3</v>
      </c>
    </row>
    <row r="3553" spans="1:5" x14ac:dyDescent="0.2">
      <c r="A3553" s="1">
        <v>40164</v>
      </c>
      <c r="B3553">
        <f>22.51</f>
        <v>22.51</v>
      </c>
      <c r="C3553">
        <f>24.101</f>
        <v>24.100999999999999</v>
      </c>
      <c r="D3553">
        <f>20.89</f>
        <v>20.89</v>
      </c>
      <c r="E3553">
        <f>23.56</f>
        <v>23.56</v>
      </c>
    </row>
    <row r="3554" spans="1:5" x14ac:dyDescent="0.2">
      <c r="A3554" s="1">
        <v>40163</v>
      </c>
      <c r="B3554">
        <f>20.54</f>
        <v>20.54</v>
      </c>
      <c r="C3554">
        <f>23.2551</f>
        <v>23.255099999999999</v>
      </c>
      <c r="D3554">
        <f>20.12</f>
        <v>20.12</v>
      </c>
      <c r="E3554" t="e">
        <f>NA()</f>
        <v>#N/A</v>
      </c>
    </row>
    <row r="3555" spans="1:5" x14ac:dyDescent="0.2">
      <c r="A3555" s="1">
        <v>40162</v>
      </c>
      <c r="B3555">
        <f>21.49</f>
        <v>21.49</v>
      </c>
      <c r="C3555">
        <f>23.9015</f>
        <v>23.901499999999999</v>
      </c>
      <c r="D3555">
        <f>20.92</f>
        <v>20.92</v>
      </c>
      <c r="E3555">
        <f>23.55</f>
        <v>23.55</v>
      </c>
    </row>
    <row r="3556" spans="1:5" x14ac:dyDescent="0.2">
      <c r="A3556" s="1">
        <v>40161</v>
      </c>
      <c r="B3556">
        <f>21.15</f>
        <v>21.15</v>
      </c>
      <c r="C3556">
        <f>24.4541</f>
        <v>24.4541</v>
      </c>
      <c r="D3556">
        <f>21.38</f>
        <v>21.38</v>
      </c>
      <c r="E3556">
        <f>23.29</f>
        <v>23.29</v>
      </c>
    </row>
    <row r="3557" spans="1:5" x14ac:dyDescent="0.2">
      <c r="A3557" s="1">
        <v>40158</v>
      </c>
      <c r="B3557">
        <f>21.59</f>
        <v>21.59</v>
      </c>
      <c r="C3557">
        <f>25.2094</f>
        <v>25.209399999999999</v>
      </c>
      <c r="D3557">
        <f>21.97</f>
        <v>21.97</v>
      </c>
      <c r="E3557">
        <f>23.08</f>
        <v>23.08</v>
      </c>
    </row>
    <row r="3558" spans="1:5" x14ac:dyDescent="0.2">
      <c r="A3558" s="1">
        <v>40157</v>
      </c>
      <c r="B3558">
        <f>22.32</f>
        <v>22.32</v>
      </c>
      <c r="C3558">
        <f>26.963</f>
        <v>26.963000000000001</v>
      </c>
      <c r="D3558">
        <f>22.55</f>
        <v>22.55</v>
      </c>
      <c r="E3558">
        <f>23.34</f>
        <v>23.34</v>
      </c>
    </row>
    <row r="3559" spans="1:5" x14ac:dyDescent="0.2">
      <c r="A3559" s="1">
        <v>40156</v>
      </c>
      <c r="B3559">
        <f>22.66</f>
        <v>22.66</v>
      </c>
      <c r="C3559">
        <f>28.3235</f>
        <v>28.323499999999999</v>
      </c>
      <c r="D3559">
        <f>23.4</f>
        <v>23.4</v>
      </c>
      <c r="E3559">
        <f>23.52</f>
        <v>23.52</v>
      </c>
    </row>
    <row r="3560" spans="1:5" x14ac:dyDescent="0.2">
      <c r="A3560" s="1">
        <v>40155</v>
      </c>
      <c r="B3560">
        <f>23.69</f>
        <v>23.69</v>
      </c>
      <c r="C3560">
        <f>26.6741</f>
        <v>26.674099999999999</v>
      </c>
      <c r="D3560">
        <f>22.78</f>
        <v>22.78</v>
      </c>
      <c r="E3560">
        <f>23.35</f>
        <v>23.35</v>
      </c>
    </row>
    <row r="3561" spans="1:5" x14ac:dyDescent="0.2">
      <c r="A3561" s="1">
        <v>40154</v>
      </c>
      <c r="B3561">
        <f>22.1</f>
        <v>22.1</v>
      </c>
      <c r="C3561">
        <f>24.8858</f>
        <v>24.8858</v>
      </c>
      <c r="D3561">
        <f>22.15</f>
        <v>22.15</v>
      </c>
      <c r="E3561">
        <f>23.2</f>
        <v>23.2</v>
      </c>
    </row>
    <row r="3562" spans="1:5" x14ac:dyDescent="0.2">
      <c r="A3562" s="1">
        <v>40151</v>
      </c>
      <c r="B3562">
        <f>21.25</f>
        <v>21.25</v>
      </c>
      <c r="C3562">
        <f>24.8832</f>
        <v>24.883199999999999</v>
      </c>
      <c r="D3562">
        <f>21.6</f>
        <v>21.6</v>
      </c>
      <c r="E3562">
        <f>22.96</f>
        <v>22.96</v>
      </c>
    </row>
    <row r="3563" spans="1:5" x14ac:dyDescent="0.2">
      <c r="A3563" s="1">
        <v>40150</v>
      </c>
      <c r="B3563">
        <f>22.46</f>
        <v>22.46</v>
      </c>
      <c r="C3563">
        <f>26.1293</f>
        <v>26.129300000000001</v>
      </c>
      <c r="D3563">
        <f>22.51</f>
        <v>22.51</v>
      </c>
      <c r="E3563">
        <f>23.15</f>
        <v>23.15</v>
      </c>
    </row>
    <row r="3564" spans="1:5" x14ac:dyDescent="0.2">
      <c r="A3564" s="1">
        <v>40149</v>
      </c>
      <c r="B3564">
        <f>21.12</f>
        <v>21.12</v>
      </c>
      <c r="C3564">
        <f>26.3854</f>
        <v>26.385400000000001</v>
      </c>
      <c r="D3564">
        <f>22.75</f>
        <v>22.75</v>
      </c>
      <c r="E3564">
        <f>22.98</f>
        <v>22.98</v>
      </c>
    </row>
    <row r="3565" spans="1:5" x14ac:dyDescent="0.2">
      <c r="A3565" s="1">
        <v>40148</v>
      </c>
      <c r="B3565">
        <f>21.92</f>
        <v>21.92</v>
      </c>
      <c r="C3565">
        <f>26.9483</f>
        <v>26.9483</v>
      </c>
      <c r="D3565">
        <f>23.31</f>
        <v>23.31</v>
      </c>
      <c r="E3565">
        <f>23.06</f>
        <v>23.06</v>
      </c>
    </row>
    <row r="3566" spans="1:5" x14ac:dyDescent="0.2">
      <c r="A3566" s="1">
        <v>40147</v>
      </c>
      <c r="B3566">
        <f>24.51</f>
        <v>24.51</v>
      </c>
      <c r="C3566">
        <f>30.2813</f>
        <v>30.281300000000002</v>
      </c>
      <c r="D3566">
        <f>25.73</f>
        <v>25.73</v>
      </c>
      <c r="E3566">
        <f>23.58</f>
        <v>23.58</v>
      </c>
    </row>
    <row r="3567" spans="1:5" x14ac:dyDescent="0.2">
      <c r="A3567" s="1">
        <v>40144</v>
      </c>
      <c r="B3567">
        <f>24.74</f>
        <v>24.74</v>
      </c>
      <c r="C3567">
        <f>28.3598</f>
        <v>28.3598</v>
      </c>
      <c r="D3567">
        <f>24.83</f>
        <v>24.83</v>
      </c>
      <c r="E3567">
        <f>23.6</f>
        <v>23.6</v>
      </c>
    </row>
    <row r="3568" spans="1:5" x14ac:dyDescent="0.2">
      <c r="A3568" s="1">
        <v>40143</v>
      </c>
      <c r="B3568" t="e">
        <f>NA()</f>
        <v>#N/A</v>
      </c>
      <c r="C3568">
        <f>30.3482</f>
        <v>30.348199999999999</v>
      </c>
      <c r="D3568">
        <f>26.42</f>
        <v>26.42</v>
      </c>
      <c r="E3568">
        <f>23.35</f>
        <v>23.35</v>
      </c>
    </row>
    <row r="3569" spans="1:5" x14ac:dyDescent="0.2">
      <c r="A3569" s="1">
        <v>40142</v>
      </c>
      <c r="B3569">
        <f>20.48</f>
        <v>20.48</v>
      </c>
      <c r="C3569">
        <f>23.6802</f>
        <v>23.680199999999999</v>
      </c>
      <c r="D3569">
        <f>20.39</f>
        <v>20.39</v>
      </c>
      <c r="E3569">
        <f>23.02</f>
        <v>23.02</v>
      </c>
    </row>
    <row r="3570" spans="1:5" x14ac:dyDescent="0.2">
      <c r="A3570" s="1">
        <v>40141</v>
      </c>
      <c r="B3570">
        <f>20.47</f>
        <v>20.47</v>
      </c>
      <c r="C3570">
        <f>24.9072</f>
        <v>24.9072</v>
      </c>
      <c r="D3570">
        <f>21.53</f>
        <v>21.53</v>
      </c>
      <c r="E3570">
        <f>23.11</f>
        <v>23.11</v>
      </c>
    </row>
    <row r="3571" spans="1:5" x14ac:dyDescent="0.2">
      <c r="A3571" s="1">
        <v>40140</v>
      </c>
      <c r="B3571">
        <f>21.16</f>
        <v>21.16</v>
      </c>
      <c r="C3571">
        <f>24.971</f>
        <v>24.971</v>
      </c>
      <c r="D3571">
        <f>21.79</f>
        <v>21.79</v>
      </c>
      <c r="E3571">
        <f>23.04</f>
        <v>23.04</v>
      </c>
    </row>
    <row r="3572" spans="1:5" x14ac:dyDescent="0.2">
      <c r="A3572" s="1">
        <v>40137</v>
      </c>
      <c r="B3572">
        <f>22.19</f>
        <v>22.19</v>
      </c>
      <c r="C3572">
        <f>26.5338</f>
        <v>26.533799999999999</v>
      </c>
      <c r="D3572">
        <f>23.3</f>
        <v>23.3</v>
      </c>
      <c r="E3572">
        <f>23.64</f>
        <v>23.64</v>
      </c>
    </row>
    <row r="3573" spans="1:5" x14ac:dyDescent="0.2">
      <c r="A3573" s="1">
        <v>40136</v>
      </c>
      <c r="B3573">
        <f>22.63</f>
        <v>22.63</v>
      </c>
      <c r="C3573">
        <f>26.5245</f>
        <v>26.5245</v>
      </c>
      <c r="D3573">
        <f>23.04</f>
        <v>23.04</v>
      </c>
      <c r="E3573">
        <f>23.65</f>
        <v>23.65</v>
      </c>
    </row>
    <row r="3574" spans="1:5" x14ac:dyDescent="0.2">
      <c r="A3574" s="1">
        <v>40135</v>
      </c>
      <c r="B3574">
        <f>21.63</f>
        <v>21.63</v>
      </c>
      <c r="C3574">
        <f>25.3958</f>
        <v>25.395800000000001</v>
      </c>
      <c r="D3574">
        <f>22.08</f>
        <v>22.08</v>
      </c>
      <c r="E3574">
        <f>23.32</f>
        <v>23.32</v>
      </c>
    </row>
    <row r="3575" spans="1:5" x14ac:dyDescent="0.2">
      <c r="A3575" s="1">
        <v>40134</v>
      </c>
      <c r="B3575">
        <f>22.41</f>
        <v>22.41</v>
      </c>
      <c r="C3575">
        <f>26.6583</f>
        <v>26.658300000000001</v>
      </c>
      <c r="D3575">
        <f>22.43</f>
        <v>22.43</v>
      </c>
      <c r="E3575">
        <f>23.33</f>
        <v>23.33</v>
      </c>
    </row>
    <row r="3576" spans="1:5" x14ac:dyDescent="0.2">
      <c r="A3576" s="1">
        <v>40133</v>
      </c>
      <c r="B3576">
        <f>22.89</f>
        <v>22.89</v>
      </c>
      <c r="C3576">
        <f>26.0885</f>
        <v>26.0885</v>
      </c>
      <c r="D3576">
        <f>22.41</f>
        <v>22.41</v>
      </c>
      <c r="E3576">
        <f>23.41</f>
        <v>23.41</v>
      </c>
    </row>
    <row r="3577" spans="1:5" x14ac:dyDescent="0.2">
      <c r="A3577" s="1">
        <v>40130</v>
      </c>
      <c r="B3577">
        <f>23.36</f>
        <v>23.36</v>
      </c>
      <c r="C3577">
        <f>25.7949</f>
        <v>25.794899999999998</v>
      </c>
      <c r="D3577">
        <f>22.74</f>
        <v>22.74</v>
      </c>
      <c r="E3577">
        <f>23.93</f>
        <v>23.93</v>
      </c>
    </row>
    <row r="3578" spans="1:5" x14ac:dyDescent="0.2">
      <c r="A3578" s="1">
        <v>40129</v>
      </c>
      <c r="B3578">
        <f>24.24</f>
        <v>24.24</v>
      </c>
      <c r="C3578">
        <f>26.5419</f>
        <v>26.541899999999998</v>
      </c>
      <c r="D3578">
        <f>23.66</f>
        <v>23.66</v>
      </c>
      <c r="E3578">
        <f>23.94</f>
        <v>23.94</v>
      </c>
    </row>
    <row r="3579" spans="1:5" x14ac:dyDescent="0.2">
      <c r="A3579" s="1">
        <v>40128</v>
      </c>
      <c r="B3579">
        <f>23.04</f>
        <v>23.04</v>
      </c>
      <c r="C3579">
        <f>26.5252</f>
        <v>26.525200000000002</v>
      </c>
      <c r="D3579">
        <f>22.92</f>
        <v>22.92</v>
      </c>
      <c r="E3579">
        <f>23.95</f>
        <v>23.95</v>
      </c>
    </row>
    <row r="3580" spans="1:5" x14ac:dyDescent="0.2">
      <c r="A3580" s="1">
        <v>40127</v>
      </c>
      <c r="B3580">
        <f>22.84</f>
        <v>22.84</v>
      </c>
      <c r="C3580">
        <f>26.3612</f>
        <v>26.3612</v>
      </c>
      <c r="D3580">
        <f>23.2</f>
        <v>23.2</v>
      </c>
      <c r="E3580">
        <f>24.37</f>
        <v>24.37</v>
      </c>
    </row>
    <row r="3581" spans="1:5" x14ac:dyDescent="0.2">
      <c r="A3581" s="1">
        <v>40126</v>
      </c>
      <c r="B3581">
        <f>23.15</f>
        <v>23.15</v>
      </c>
      <c r="C3581">
        <f>26.3446</f>
        <v>26.3446</v>
      </c>
      <c r="D3581">
        <f>23.57</f>
        <v>23.57</v>
      </c>
      <c r="E3581">
        <f>24.35</f>
        <v>24.35</v>
      </c>
    </row>
    <row r="3582" spans="1:5" x14ac:dyDescent="0.2">
      <c r="A3582" s="1">
        <v>40123</v>
      </c>
      <c r="B3582">
        <f>24.19</f>
        <v>24.19</v>
      </c>
      <c r="C3582">
        <f>27.4821</f>
        <v>27.482099999999999</v>
      </c>
      <c r="D3582">
        <f>24.54</f>
        <v>24.54</v>
      </c>
      <c r="E3582">
        <f>24.94</f>
        <v>24.94</v>
      </c>
    </row>
    <row r="3583" spans="1:5" x14ac:dyDescent="0.2">
      <c r="A3583" s="1">
        <v>40122</v>
      </c>
      <c r="B3583">
        <f>25.43</f>
        <v>25.43</v>
      </c>
      <c r="C3583">
        <f>28.267</f>
        <v>28.266999999999999</v>
      </c>
      <c r="D3583">
        <f>24.99</f>
        <v>24.99</v>
      </c>
      <c r="E3583">
        <f>24.95</f>
        <v>24.95</v>
      </c>
    </row>
    <row r="3584" spans="1:5" x14ac:dyDescent="0.2">
      <c r="A3584" s="1">
        <v>40121</v>
      </c>
      <c r="B3584">
        <f>27.72</f>
        <v>27.72</v>
      </c>
      <c r="C3584">
        <f>29.5213</f>
        <v>29.5213</v>
      </c>
      <c r="D3584">
        <f>26.57</f>
        <v>26.57</v>
      </c>
      <c r="E3584">
        <f>24.95</f>
        <v>24.95</v>
      </c>
    </row>
    <row r="3585" spans="1:5" x14ac:dyDescent="0.2">
      <c r="A3585" s="1">
        <v>40120</v>
      </c>
      <c r="B3585">
        <f>28.81</f>
        <v>28.81</v>
      </c>
      <c r="C3585">
        <f>31.7691</f>
        <v>31.769100000000002</v>
      </c>
      <c r="D3585">
        <f>28.13</f>
        <v>28.13</v>
      </c>
      <c r="E3585">
        <f>24.47</f>
        <v>24.47</v>
      </c>
    </row>
    <row r="3586" spans="1:5" x14ac:dyDescent="0.2">
      <c r="A3586" s="1">
        <v>40119</v>
      </c>
      <c r="B3586">
        <f>29.78</f>
        <v>29.78</v>
      </c>
      <c r="C3586">
        <f>30.9759</f>
        <v>30.975899999999999</v>
      </c>
      <c r="D3586">
        <f>27.39</f>
        <v>27.39</v>
      </c>
      <c r="E3586">
        <f>22.47</f>
        <v>22.47</v>
      </c>
    </row>
    <row r="3587" spans="1:5" x14ac:dyDescent="0.2">
      <c r="A3587" s="1">
        <v>40116</v>
      </c>
      <c r="B3587">
        <f>30.69</f>
        <v>30.69</v>
      </c>
      <c r="C3587">
        <f>31.3257</f>
        <v>31.325700000000001</v>
      </c>
      <c r="D3587">
        <f>28.07</f>
        <v>28.07</v>
      </c>
      <c r="E3587">
        <f>22.48</f>
        <v>22.48</v>
      </c>
    </row>
    <row r="3588" spans="1:5" x14ac:dyDescent="0.2">
      <c r="A3588" s="1">
        <v>40115</v>
      </c>
      <c r="B3588">
        <f>24.76</f>
        <v>24.76</v>
      </c>
      <c r="C3588">
        <f>27.4348</f>
        <v>27.434799999999999</v>
      </c>
      <c r="D3588">
        <f>24.19</f>
        <v>24.19</v>
      </c>
      <c r="E3588">
        <f>22.16</f>
        <v>22.16</v>
      </c>
    </row>
    <row r="3589" spans="1:5" x14ac:dyDescent="0.2">
      <c r="A3589" s="1">
        <v>40114</v>
      </c>
      <c r="B3589">
        <f>27.91</f>
        <v>27.91</v>
      </c>
      <c r="C3589">
        <f>28.8978</f>
        <v>28.8978</v>
      </c>
      <c r="D3589">
        <f>25.37</f>
        <v>25.37</v>
      </c>
      <c r="E3589">
        <f>22.74</f>
        <v>22.74</v>
      </c>
    </row>
    <row r="3590" spans="1:5" x14ac:dyDescent="0.2">
      <c r="A3590" s="1">
        <v>40113</v>
      </c>
      <c r="B3590">
        <f>24.83</f>
        <v>24.83</v>
      </c>
      <c r="C3590">
        <f>27.4338</f>
        <v>27.433800000000002</v>
      </c>
      <c r="D3590">
        <f>22.71</f>
        <v>22.71</v>
      </c>
      <c r="E3590">
        <f>22.25</f>
        <v>22.25</v>
      </c>
    </row>
    <row r="3591" spans="1:5" x14ac:dyDescent="0.2">
      <c r="A3591" s="1">
        <v>40112</v>
      </c>
      <c r="B3591">
        <f>24.31</f>
        <v>24.31</v>
      </c>
      <c r="C3591">
        <f>27.2798</f>
        <v>27.279800000000002</v>
      </c>
      <c r="D3591">
        <f>22.79</f>
        <v>22.79</v>
      </c>
      <c r="E3591">
        <f>21.75</f>
        <v>21.75</v>
      </c>
    </row>
    <row r="3592" spans="1:5" x14ac:dyDescent="0.2">
      <c r="A3592" s="1">
        <v>40109</v>
      </c>
      <c r="B3592">
        <f>22.27</f>
        <v>22.27</v>
      </c>
      <c r="C3592">
        <f>24.4296</f>
        <v>24.429600000000001</v>
      </c>
      <c r="D3592">
        <f>20.66</f>
        <v>20.66</v>
      </c>
      <c r="E3592">
        <f>21.76</f>
        <v>21.76</v>
      </c>
    </row>
    <row r="3593" spans="1:5" x14ac:dyDescent="0.2">
      <c r="A3593" s="1">
        <v>40108</v>
      </c>
      <c r="B3593">
        <f>20.69</f>
        <v>20.69</v>
      </c>
      <c r="C3593">
        <f>24.3875</f>
        <v>24.387499999999999</v>
      </c>
      <c r="D3593">
        <f>20.83</f>
        <v>20.83</v>
      </c>
      <c r="E3593">
        <f>20.49</f>
        <v>20.49</v>
      </c>
    </row>
    <row r="3594" spans="1:5" x14ac:dyDescent="0.2">
      <c r="A3594" s="1">
        <v>40107</v>
      </c>
      <c r="B3594">
        <f>22.22</f>
        <v>22.22</v>
      </c>
      <c r="C3594">
        <f>23.842</f>
        <v>23.841999999999999</v>
      </c>
      <c r="D3594">
        <f>20.75</f>
        <v>20.75</v>
      </c>
      <c r="E3594">
        <f>22.02</f>
        <v>22.02</v>
      </c>
    </row>
    <row r="3595" spans="1:5" x14ac:dyDescent="0.2">
      <c r="A3595" s="1">
        <v>40106</v>
      </c>
      <c r="B3595">
        <f>20.9</f>
        <v>20.9</v>
      </c>
      <c r="C3595">
        <f>24.5576</f>
        <v>24.557600000000001</v>
      </c>
      <c r="D3595">
        <f>20.97</f>
        <v>20.97</v>
      </c>
      <c r="E3595">
        <f>22.28</f>
        <v>22.28</v>
      </c>
    </row>
    <row r="3596" spans="1:5" x14ac:dyDescent="0.2">
      <c r="A3596" s="1">
        <v>40105</v>
      </c>
      <c r="B3596">
        <f>21.49</f>
        <v>21.49</v>
      </c>
      <c r="C3596">
        <f>25.2672</f>
        <v>25.267199999999999</v>
      </c>
      <c r="D3596">
        <f>21.2</f>
        <v>21.2</v>
      </c>
      <c r="E3596">
        <f>22.28</f>
        <v>22.28</v>
      </c>
    </row>
    <row r="3597" spans="1:5" x14ac:dyDescent="0.2">
      <c r="A3597" s="1">
        <v>40102</v>
      </c>
      <c r="B3597">
        <f>21.43</f>
        <v>21.43</v>
      </c>
      <c r="C3597">
        <f>25.199</f>
        <v>25.199000000000002</v>
      </c>
      <c r="D3597">
        <f>21.38</f>
        <v>21.38</v>
      </c>
      <c r="E3597">
        <f>23.05</f>
        <v>23.05</v>
      </c>
    </row>
    <row r="3598" spans="1:5" x14ac:dyDescent="0.2">
      <c r="A3598" s="1">
        <v>40101</v>
      </c>
      <c r="B3598">
        <f>21.72</f>
        <v>21.72</v>
      </c>
      <c r="C3598">
        <f>24.7769</f>
        <v>24.776900000000001</v>
      </c>
      <c r="D3598">
        <f>20.48</f>
        <v>20.48</v>
      </c>
      <c r="E3598">
        <f>23.96</f>
        <v>23.96</v>
      </c>
    </row>
    <row r="3599" spans="1:5" x14ac:dyDescent="0.2">
      <c r="A3599" s="1">
        <v>40100</v>
      </c>
      <c r="B3599">
        <f>22.86</f>
        <v>22.86</v>
      </c>
      <c r="C3599">
        <f>25.38</f>
        <v>25.38</v>
      </c>
      <c r="D3599">
        <f>19.09</f>
        <v>19.09</v>
      </c>
      <c r="E3599">
        <f>22.88</f>
        <v>22.88</v>
      </c>
    </row>
    <row r="3600" spans="1:5" x14ac:dyDescent="0.2">
      <c r="A3600" s="1">
        <v>40099</v>
      </c>
      <c r="B3600">
        <f>22.99</f>
        <v>22.99</v>
      </c>
      <c r="C3600">
        <f>27.0429</f>
        <v>27.042899999999999</v>
      </c>
      <c r="D3600">
        <f>20.56</f>
        <v>20.56</v>
      </c>
      <c r="E3600">
        <f>23.64</f>
        <v>23.64</v>
      </c>
    </row>
    <row r="3601" spans="1:5" x14ac:dyDescent="0.2">
      <c r="A3601" s="1">
        <v>40098</v>
      </c>
      <c r="B3601">
        <f>23.01</f>
        <v>23.01</v>
      </c>
      <c r="C3601">
        <f>25.8123</f>
        <v>25.8123</v>
      </c>
      <c r="D3601">
        <f>19.4</f>
        <v>19.399999999999999</v>
      </c>
      <c r="E3601">
        <f>23.89</f>
        <v>23.89</v>
      </c>
    </row>
    <row r="3602" spans="1:5" x14ac:dyDescent="0.2">
      <c r="A3602" s="1">
        <v>40095</v>
      </c>
      <c r="B3602">
        <f>23.12</f>
        <v>23.12</v>
      </c>
      <c r="C3602">
        <f>26.2717</f>
        <v>26.271699999999999</v>
      </c>
      <c r="D3602">
        <f>18.98</f>
        <v>18.98</v>
      </c>
      <c r="E3602">
        <f>24.96</f>
        <v>24.96</v>
      </c>
    </row>
    <row r="3603" spans="1:5" x14ac:dyDescent="0.2">
      <c r="A3603" s="1">
        <v>40094</v>
      </c>
      <c r="B3603">
        <f>24.18</f>
        <v>24.18</v>
      </c>
      <c r="C3603">
        <f>26.0493</f>
        <v>26.049299999999999</v>
      </c>
      <c r="D3603">
        <f>19.01</f>
        <v>19.010000000000002</v>
      </c>
      <c r="E3603">
        <f>24.72</f>
        <v>24.72</v>
      </c>
    </row>
    <row r="3604" spans="1:5" x14ac:dyDescent="0.2">
      <c r="A3604" s="1">
        <v>40093</v>
      </c>
      <c r="B3604">
        <f>24.68</f>
        <v>24.68</v>
      </c>
      <c r="C3604">
        <f>27.2934</f>
        <v>27.293399999999998</v>
      </c>
      <c r="D3604">
        <f>22.24</f>
        <v>22.24</v>
      </c>
      <c r="E3604">
        <f>24.97</f>
        <v>24.97</v>
      </c>
    </row>
    <row r="3605" spans="1:5" x14ac:dyDescent="0.2">
      <c r="A3605" s="1">
        <v>40092</v>
      </c>
      <c r="B3605">
        <f>25.7</f>
        <v>25.7</v>
      </c>
      <c r="C3605">
        <f>27.5164</f>
        <v>27.516400000000001</v>
      </c>
      <c r="D3605">
        <f>22.54</f>
        <v>22.54</v>
      </c>
      <c r="E3605">
        <f>25.29</f>
        <v>25.29</v>
      </c>
    </row>
    <row r="3606" spans="1:5" x14ac:dyDescent="0.2">
      <c r="A3606" s="1">
        <v>40091</v>
      </c>
      <c r="B3606">
        <f>26.84</f>
        <v>26.84</v>
      </c>
      <c r="C3606">
        <f>29.3201</f>
        <v>29.3201</v>
      </c>
      <c r="D3606">
        <f>24.07</f>
        <v>24.07</v>
      </c>
      <c r="E3606">
        <f>24.97</f>
        <v>24.97</v>
      </c>
    </row>
    <row r="3607" spans="1:5" x14ac:dyDescent="0.2">
      <c r="A3607" s="1">
        <v>40088</v>
      </c>
      <c r="B3607">
        <f>28.68</f>
        <v>28.68</v>
      </c>
      <c r="C3607">
        <f>30.1776</f>
        <v>30.177600000000002</v>
      </c>
      <c r="D3607">
        <f>24.72</f>
        <v>24.72</v>
      </c>
      <c r="E3607">
        <f>25.3</f>
        <v>25.3</v>
      </c>
    </row>
    <row r="3608" spans="1:5" x14ac:dyDescent="0.2">
      <c r="A3608" s="1">
        <v>40087</v>
      </c>
      <c r="B3608">
        <f>28.27</f>
        <v>28.27</v>
      </c>
      <c r="C3608">
        <f>29.224</f>
        <v>29.224</v>
      </c>
      <c r="D3608">
        <f>23.55</f>
        <v>23.55</v>
      </c>
      <c r="E3608">
        <f>25.3</f>
        <v>25.3</v>
      </c>
    </row>
    <row r="3609" spans="1:5" x14ac:dyDescent="0.2">
      <c r="A3609" s="1">
        <v>40086</v>
      </c>
      <c r="B3609">
        <f>25.61</f>
        <v>25.61</v>
      </c>
      <c r="C3609">
        <f>26.8181</f>
        <v>26.818100000000001</v>
      </c>
      <c r="D3609">
        <f>22.34</f>
        <v>22.34</v>
      </c>
      <c r="E3609">
        <f>25.31</f>
        <v>25.31</v>
      </c>
    </row>
    <row r="3610" spans="1:5" x14ac:dyDescent="0.2">
      <c r="A3610" s="1">
        <v>40085</v>
      </c>
      <c r="B3610">
        <f>25.19</f>
        <v>25.19</v>
      </c>
      <c r="C3610">
        <f>26.2436</f>
        <v>26.243600000000001</v>
      </c>
      <c r="D3610">
        <f>21.85</f>
        <v>21.85</v>
      </c>
      <c r="E3610">
        <f>25.31</f>
        <v>25.31</v>
      </c>
    </row>
    <row r="3611" spans="1:5" x14ac:dyDescent="0.2">
      <c r="A3611" s="1">
        <v>40084</v>
      </c>
      <c r="B3611">
        <f>24.88</f>
        <v>24.88</v>
      </c>
      <c r="C3611">
        <f>26.4844</f>
        <v>26.484400000000001</v>
      </c>
      <c r="D3611">
        <f>21.73</f>
        <v>21.73</v>
      </c>
      <c r="E3611">
        <f>25.31</f>
        <v>25.31</v>
      </c>
    </row>
    <row r="3612" spans="1:5" x14ac:dyDescent="0.2">
      <c r="A3612" s="1">
        <v>40081</v>
      </c>
      <c r="B3612">
        <f>25.61</f>
        <v>25.61</v>
      </c>
      <c r="C3612">
        <f>27.1017</f>
        <v>27.101700000000001</v>
      </c>
      <c r="D3612">
        <f>21.86</f>
        <v>21.86</v>
      </c>
      <c r="E3612">
        <f>25.32</f>
        <v>25.32</v>
      </c>
    </row>
    <row r="3613" spans="1:5" x14ac:dyDescent="0.2">
      <c r="A3613" s="1">
        <v>40080</v>
      </c>
      <c r="B3613">
        <f>24.95</f>
        <v>24.95</v>
      </c>
      <c r="C3613">
        <f>27.1057</f>
        <v>27.105699999999999</v>
      </c>
      <c r="D3613">
        <f>22.46</f>
        <v>22.46</v>
      </c>
      <c r="E3613" t="e">
        <f>NA()</f>
        <v>#N/A</v>
      </c>
    </row>
    <row r="3614" spans="1:5" x14ac:dyDescent="0.2">
      <c r="A3614" s="1">
        <v>40079</v>
      </c>
      <c r="B3614">
        <f>23.49</f>
        <v>23.49</v>
      </c>
      <c r="C3614">
        <f>25.5973</f>
        <v>25.597300000000001</v>
      </c>
      <c r="D3614">
        <f>20.86</f>
        <v>20.86</v>
      </c>
      <c r="E3614">
        <f>25.32</f>
        <v>25.32</v>
      </c>
    </row>
    <row r="3615" spans="1:5" x14ac:dyDescent="0.2">
      <c r="A3615" s="1">
        <v>40078</v>
      </c>
      <c r="B3615">
        <f>23.08</f>
        <v>23.08</v>
      </c>
      <c r="C3615">
        <f>25.5304</f>
        <v>25.5304</v>
      </c>
      <c r="D3615">
        <f>20.99</f>
        <v>20.99</v>
      </c>
      <c r="E3615">
        <f>25.33</f>
        <v>25.33</v>
      </c>
    </row>
    <row r="3616" spans="1:5" x14ac:dyDescent="0.2">
      <c r="A3616" s="1">
        <v>40077</v>
      </c>
      <c r="B3616">
        <f>24.06</f>
        <v>24.06</v>
      </c>
      <c r="C3616">
        <f>26.0353</f>
        <v>26.035299999999999</v>
      </c>
      <c r="D3616">
        <f>21.55</f>
        <v>21.55</v>
      </c>
      <c r="E3616">
        <f>25.33</f>
        <v>25.33</v>
      </c>
    </row>
    <row r="3617" spans="1:5" x14ac:dyDescent="0.2">
      <c r="A3617" s="1">
        <v>40074</v>
      </c>
      <c r="B3617">
        <f>23.92</f>
        <v>23.92</v>
      </c>
      <c r="C3617">
        <f>25.6896</f>
        <v>25.689599999999999</v>
      </c>
      <c r="D3617">
        <f>20.78</f>
        <v>20.78</v>
      </c>
      <c r="E3617">
        <f>25.33</f>
        <v>25.33</v>
      </c>
    </row>
    <row r="3618" spans="1:5" x14ac:dyDescent="0.2">
      <c r="A3618" s="1">
        <v>40073</v>
      </c>
      <c r="B3618">
        <f>23.65</f>
        <v>23.65</v>
      </c>
      <c r="C3618">
        <f>25.9097</f>
        <v>25.909700000000001</v>
      </c>
      <c r="D3618">
        <f>21.05</f>
        <v>21.05</v>
      </c>
      <c r="E3618">
        <f>25.33</f>
        <v>25.33</v>
      </c>
    </row>
    <row r="3619" spans="1:5" x14ac:dyDescent="0.2">
      <c r="A3619" s="1">
        <v>40072</v>
      </c>
      <c r="B3619">
        <f>23.69</f>
        <v>23.69</v>
      </c>
      <c r="C3619">
        <f>25.9829</f>
        <v>25.982900000000001</v>
      </c>
      <c r="D3619">
        <f>21.34</f>
        <v>21.34</v>
      </c>
      <c r="E3619">
        <f>25.09</f>
        <v>25.09</v>
      </c>
    </row>
    <row r="3620" spans="1:5" x14ac:dyDescent="0.2">
      <c r="A3620" s="1">
        <v>40071</v>
      </c>
      <c r="B3620">
        <f>23.42</f>
        <v>23.42</v>
      </c>
      <c r="C3620">
        <f>26.4976</f>
        <v>26.497599999999998</v>
      </c>
      <c r="D3620">
        <f>21.84</f>
        <v>21.84</v>
      </c>
      <c r="E3620">
        <f>25.11</f>
        <v>25.11</v>
      </c>
    </row>
    <row r="3621" spans="1:5" x14ac:dyDescent="0.2">
      <c r="A3621" s="1">
        <v>40070</v>
      </c>
      <c r="B3621">
        <f>23.86</f>
        <v>23.86</v>
      </c>
      <c r="C3621">
        <f>26.868</f>
        <v>26.867999999999999</v>
      </c>
      <c r="D3621">
        <f>22.93</f>
        <v>22.93</v>
      </c>
      <c r="E3621">
        <f>25.13</f>
        <v>25.13</v>
      </c>
    </row>
    <row r="3622" spans="1:5" x14ac:dyDescent="0.2">
      <c r="A3622" s="1">
        <v>40067</v>
      </c>
      <c r="B3622">
        <f>24.15</f>
        <v>24.15</v>
      </c>
      <c r="C3622">
        <f>25.7152</f>
        <v>25.715199999999999</v>
      </c>
      <c r="D3622">
        <f>21.96</f>
        <v>21.96</v>
      </c>
      <c r="E3622">
        <f>25.18</f>
        <v>25.18</v>
      </c>
    </row>
    <row r="3623" spans="1:5" x14ac:dyDescent="0.2">
      <c r="A3623" s="1">
        <v>40066</v>
      </c>
      <c r="B3623">
        <f>23.55</f>
        <v>23.55</v>
      </c>
      <c r="C3623">
        <f>25.934</f>
        <v>25.934000000000001</v>
      </c>
      <c r="D3623">
        <f>22.21</f>
        <v>22.21</v>
      </c>
      <c r="E3623">
        <f>25.19</f>
        <v>25.19</v>
      </c>
    </row>
    <row r="3624" spans="1:5" x14ac:dyDescent="0.2">
      <c r="A3624" s="1">
        <v>40065</v>
      </c>
      <c r="B3624">
        <f>24.32</f>
        <v>24.32</v>
      </c>
      <c r="C3624">
        <f>26.3146</f>
        <v>26.314599999999999</v>
      </c>
      <c r="D3624">
        <f>23.06</f>
        <v>23.06</v>
      </c>
      <c r="E3624">
        <f>25.21</f>
        <v>25.21</v>
      </c>
    </row>
    <row r="3625" spans="1:5" x14ac:dyDescent="0.2">
      <c r="A3625" s="1">
        <v>40064</v>
      </c>
      <c r="B3625">
        <f>25.62</f>
        <v>25.62</v>
      </c>
      <c r="C3625">
        <f>27.4227</f>
        <v>27.422699999999999</v>
      </c>
      <c r="D3625">
        <f>23.51</f>
        <v>23.51</v>
      </c>
      <c r="E3625">
        <f>25.23</f>
        <v>25.23</v>
      </c>
    </row>
    <row r="3626" spans="1:5" x14ac:dyDescent="0.2">
      <c r="A3626" s="1">
        <v>40063</v>
      </c>
      <c r="B3626" t="e">
        <f>NA()</f>
        <v>#N/A</v>
      </c>
      <c r="C3626">
        <f>27.843</f>
        <v>27.843</v>
      </c>
      <c r="D3626">
        <f>23.38</f>
        <v>23.38</v>
      </c>
      <c r="E3626">
        <f>25.24</f>
        <v>25.24</v>
      </c>
    </row>
    <row r="3627" spans="1:5" x14ac:dyDescent="0.2">
      <c r="A3627" s="1">
        <v>40060</v>
      </c>
      <c r="B3627">
        <f>25.26</f>
        <v>25.26</v>
      </c>
      <c r="C3627">
        <f>28.1169</f>
        <v>28.116900000000001</v>
      </c>
      <c r="D3627">
        <f>24.32</f>
        <v>24.32</v>
      </c>
      <c r="E3627">
        <f>25.19</f>
        <v>25.19</v>
      </c>
    </row>
    <row r="3628" spans="1:5" x14ac:dyDescent="0.2">
      <c r="A3628" s="1">
        <v>40059</v>
      </c>
      <c r="B3628">
        <f>27.1</f>
        <v>27.1</v>
      </c>
      <c r="C3628">
        <f>30.3085</f>
        <v>30.308499999999999</v>
      </c>
      <c r="D3628">
        <f>26.18</f>
        <v>26.18</v>
      </c>
      <c r="E3628">
        <f>25.2</f>
        <v>25.2</v>
      </c>
    </row>
    <row r="3629" spans="1:5" x14ac:dyDescent="0.2">
      <c r="A3629" s="1">
        <v>40058</v>
      </c>
      <c r="B3629">
        <f>28.9</f>
        <v>28.9</v>
      </c>
      <c r="C3629">
        <f>31.124</f>
        <v>31.123999999999999</v>
      </c>
      <c r="D3629">
        <f>26.77</f>
        <v>26.77</v>
      </c>
      <c r="E3629">
        <f>25.21</f>
        <v>25.21</v>
      </c>
    </row>
    <row r="3630" spans="1:5" x14ac:dyDescent="0.2">
      <c r="A3630" s="1">
        <v>40057</v>
      </c>
      <c r="B3630">
        <f>29.15</f>
        <v>29.15</v>
      </c>
      <c r="C3630">
        <f>31.539</f>
        <v>31.539000000000001</v>
      </c>
      <c r="D3630">
        <f>27.35</f>
        <v>27.35</v>
      </c>
      <c r="E3630">
        <f>25.23</f>
        <v>25.23</v>
      </c>
    </row>
    <row r="3631" spans="1:5" x14ac:dyDescent="0.2">
      <c r="A3631" s="1">
        <v>40056</v>
      </c>
      <c r="B3631">
        <f>26.01</f>
        <v>26.01</v>
      </c>
      <c r="C3631">
        <f>29.5215</f>
        <v>29.5215</v>
      </c>
      <c r="D3631" t="e">
        <f>NA()</f>
        <v>#N/A</v>
      </c>
      <c r="E3631">
        <f>25.24</f>
        <v>25.24</v>
      </c>
    </row>
    <row r="3632" spans="1:5" x14ac:dyDescent="0.2">
      <c r="A3632" s="1">
        <v>40053</v>
      </c>
      <c r="B3632">
        <f>24.76</f>
        <v>24.76</v>
      </c>
      <c r="C3632">
        <f>27.5908</f>
        <v>27.590800000000002</v>
      </c>
      <c r="D3632">
        <f>23.14</f>
        <v>23.14</v>
      </c>
      <c r="E3632">
        <f>25.28</f>
        <v>25.28</v>
      </c>
    </row>
    <row r="3633" spans="1:5" x14ac:dyDescent="0.2">
      <c r="A3633" s="1">
        <v>40052</v>
      </c>
      <c r="B3633">
        <f>24.68</f>
        <v>24.68</v>
      </c>
      <c r="C3633">
        <f>28.0978</f>
        <v>28.097799999999999</v>
      </c>
      <c r="D3633">
        <f>23.42</f>
        <v>23.42</v>
      </c>
      <c r="E3633">
        <f>25.3</f>
        <v>25.3</v>
      </c>
    </row>
    <row r="3634" spans="1:5" x14ac:dyDescent="0.2">
      <c r="A3634" s="1">
        <v>40051</v>
      </c>
      <c r="B3634">
        <f>24.95</f>
        <v>24.95</v>
      </c>
      <c r="C3634">
        <f>28.367</f>
        <v>28.367000000000001</v>
      </c>
      <c r="D3634">
        <f>23.03</f>
        <v>23.03</v>
      </c>
      <c r="E3634">
        <f>25.31</f>
        <v>25.31</v>
      </c>
    </row>
    <row r="3635" spans="1:5" x14ac:dyDescent="0.2">
      <c r="A3635" s="1">
        <v>40050</v>
      </c>
      <c r="B3635">
        <f>24.92</f>
        <v>24.92</v>
      </c>
      <c r="C3635">
        <f>27.8497</f>
        <v>27.849699999999999</v>
      </c>
      <c r="D3635">
        <f>22.66</f>
        <v>22.66</v>
      </c>
      <c r="E3635">
        <f>25.32</f>
        <v>25.32</v>
      </c>
    </row>
    <row r="3636" spans="1:5" x14ac:dyDescent="0.2">
      <c r="A3636" s="1">
        <v>40049</v>
      </c>
      <c r="B3636">
        <f>25.14</f>
        <v>25.14</v>
      </c>
      <c r="C3636">
        <f>28.2983</f>
        <v>28.298300000000001</v>
      </c>
      <c r="D3636">
        <f>23.87</f>
        <v>23.87</v>
      </c>
      <c r="E3636">
        <f>24.39</f>
        <v>24.39</v>
      </c>
    </row>
    <row r="3637" spans="1:5" x14ac:dyDescent="0.2">
      <c r="A3637" s="1">
        <v>40046</v>
      </c>
      <c r="B3637">
        <f>25.01</f>
        <v>25.01</v>
      </c>
      <c r="C3637">
        <f>26.952</f>
        <v>26.952000000000002</v>
      </c>
      <c r="D3637">
        <f>23.19</f>
        <v>23.19</v>
      </c>
      <c r="E3637">
        <f>26.55</f>
        <v>26.55</v>
      </c>
    </row>
    <row r="3638" spans="1:5" x14ac:dyDescent="0.2">
      <c r="A3638" s="1">
        <v>40045</v>
      </c>
      <c r="B3638">
        <f>25.09</f>
        <v>25.09</v>
      </c>
      <c r="C3638">
        <f>28.472</f>
        <v>28.472000000000001</v>
      </c>
      <c r="D3638">
        <f>23.24</f>
        <v>23.24</v>
      </c>
      <c r="E3638">
        <f>26.56</f>
        <v>26.56</v>
      </c>
    </row>
    <row r="3639" spans="1:5" x14ac:dyDescent="0.2">
      <c r="A3639" s="1">
        <v>40044</v>
      </c>
      <c r="B3639">
        <f>26.26</f>
        <v>26.26</v>
      </c>
      <c r="C3639">
        <f>30.4972</f>
        <v>30.497199999999999</v>
      </c>
      <c r="D3639">
        <f>24.92</f>
        <v>24.92</v>
      </c>
      <c r="E3639">
        <f>26.92</f>
        <v>26.92</v>
      </c>
    </row>
    <row r="3640" spans="1:5" x14ac:dyDescent="0.2">
      <c r="A3640" s="1">
        <v>40043</v>
      </c>
      <c r="B3640">
        <f>26.18</f>
        <v>26.18</v>
      </c>
      <c r="C3640">
        <f>30.4847</f>
        <v>30.4847</v>
      </c>
      <c r="D3640">
        <f>24.9</f>
        <v>24.9</v>
      </c>
      <c r="E3640">
        <f>26.93</f>
        <v>26.93</v>
      </c>
    </row>
    <row r="3641" spans="1:5" x14ac:dyDescent="0.2">
      <c r="A3641" s="1">
        <v>40042</v>
      </c>
      <c r="B3641">
        <f>27.89</f>
        <v>27.89</v>
      </c>
      <c r="C3641">
        <f>32.1671</f>
        <v>32.167099999999998</v>
      </c>
      <c r="D3641">
        <f>25.71</f>
        <v>25.71</v>
      </c>
      <c r="E3641">
        <f>26.94</f>
        <v>26.94</v>
      </c>
    </row>
    <row r="3642" spans="1:5" x14ac:dyDescent="0.2">
      <c r="A3642" s="1">
        <v>40039</v>
      </c>
      <c r="B3642">
        <f>24.27</f>
        <v>24.27</v>
      </c>
      <c r="C3642">
        <f>27.52</f>
        <v>27.52</v>
      </c>
      <c r="D3642">
        <f>21.92</f>
        <v>21.92</v>
      </c>
      <c r="E3642">
        <f>26.97</f>
        <v>26.97</v>
      </c>
    </row>
    <row r="3643" spans="1:5" x14ac:dyDescent="0.2">
      <c r="A3643" s="1">
        <v>40038</v>
      </c>
      <c r="B3643">
        <f>24.71</f>
        <v>24.71</v>
      </c>
      <c r="C3643">
        <f>26.3011</f>
        <v>26.301100000000002</v>
      </c>
      <c r="D3643">
        <f>22.19</f>
        <v>22.19</v>
      </c>
      <c r="E3643">
        <f>26.98</f>
        <v>26.98</v>
      </c>
    </row>
    <row r="3644" spans="1:5" x14ac:dyDescent="0.2">
      <c r="A3644" s="1">
        <v>40037</v>
      </c>
      <c r="B3644">
        <f>25.45</f>
        <v>25.45</v>
      </c>
      <c r="C3644">
        <f>27.0173</f>
        <v>27.017299999999999</v>
      </c>
      <c r="D3644">
        <f>22.72</f>
        <v>22.72</v>
      </c>
      <c r="E3644">
        <f>26.99</f>
        <v>26.99</v>
      </c>
    </row>
    <row r="3645" spans="1:5" x14ac:dyDescent="0.2">
      <c r="A3645" s="1">
        <v>40036</v>
      </c>
      <c r="B3645">
        <f>25.99</f>
        <v>25.99</v>
      </c>
      <c r="C3645">
        <f>27.852</f>
        <v>27.852</v>
      </c>
      <c r="D3645">
        <f>23.28</f>
        <v>23.28</v>
      </c>
      <c r="E3645">
        <f>27.67</f>
        <v>27.67</v>
      </c>
    </row>
    <row r="3646" spans="1:5" x14ac:dyDescent="0.2">
      <c r="A3646" s="1">
        <v>40035</v>
      </c>
      <c r="B3646">
        <f>24.99</f>
        <v>24.99</v>
      </c>
      <c r="C3646">
        <f>26.8358</f>
        <v>26.835799999999999</v>
      </c>
      <c r="D3646">
        <f>23.15</f>
        <v>23.15</v>
      </c>
      <c r="E3646" t="e">
        <f>NA()</f>
        <v>#N/A</v>
      </c>
    </row>
    <row r="3647" spans="1:5" x14ac:dyDescent="0.2">
      <c r="A3647" s="1">
        <v>40032</v>
      </c>
      <c r="B3647">
        <f>24.76</f>
        <v>24.76</v>
      </c>
      <c r="C3647">
        <f>26.0442</f>
        <v>26.0442</v>
      </c>
      <c r="D3647">
        <f>22.54</f>
        <v>22.54</v>
      </c>
      <c r="E3647">
        <f>27.71</f>
        <v>27.71</v>
      </c>
    </row>
    <row r="3648" spans="1:5" x14ac:dyDescent="0.2">
      <c r="A3648" s="1">
        <v>40031</v>
      </c>
      <c r="B3648">
        <f>25.67</f>
        <v>25.67</v>
      </c>
      <c r="C3648">
        <f>26.9297</f>
        <v>26.9297</v>
      </c>
      <c r="D3648">
        <f>22.98</f>
        <v>22.98</v>
      </c>
      <c r="E3648">
        <f>28.55</f>
        <v>28.55</v>
      </c>
    </row>
    <row r="3649" spans="1:5" x14ac:dyDescent="0.2">
      <c r="A3649" s="1">
        <v>40030</v>
      </c>
      <c r="B3649">
        <f>24.9</f>
        <v>24.9</v>
      </c>
      <c r="C3649">
        <f>27.5867</f>
        <v>27.5867</v>
      </c>
      <c r="D3649">
        <f>23.39</f>
        <v>23.39</v>
      </c>
      <c r="E3649">
        <f>28.56</f>
        <v>28.56</v>
      </c>
    </row>
    <row r="3650" spans="1:5" x14ac:dyDescent="0.2">
      <c r="A3650" s="1">
        <v>40029</v>
      </c>
      <c r="B3650">
        <f>24.89</f>
        <v>24.89</v>
      </c>
      <c r="C3650">
        <f>28.5486</f>
        <v>28.5486</v>
      </c>
      <c r="D3650">
        <f>24.63</f>
        <v>24.63</v>
      </c>
      <c r="E3650">
        <f>28.56</f>
        <v>28.56</v>
      </c>
    </row>
    <row r="3651" spans="1:5" x14ac:dyDescent="0.2">
      <c r="A3651" s="1">
        <v>40028</v>
      </c>
      <c r="B3651">
        <f>25.56</f>
        <v>25.56</v>
      </c>
      <c r="C3651">
        <f>29.5341</f>
        <v>29.534099999999999</v>
      </c>
      <c r="D3651">
        <f>25.2</f>
        <v>25.2</v>
      </c>
      <c r="E3651">
        <f>28.57</f>
        <v>28.57</v>
      </c>
    </row>
    <row r="3652" spans="1:5" x14ac:dyDescent="0.2">
      <c r="A3652" s="1">
        <v>40025</v>
      </c>
      <c r="B3652">
        <f>25.92</f>
        <v>25.92</v>
      </c>
      <c r="C3652">
        <f>28.1252</f>
        <v>28.1252</v>
      </c>
      <c r="D3652">
        <f>23.71</f>
        <v>23.71</v>
      </c>
      <c r="E3652">
        <f>28.45</f>
        <v>28.45</v>
      </c>
    </row>
    <row r="3653" spans="1:5" x14ac:dyDescent="0.2">
      <c r="A3653" s="1">
        <v>40024</v>
      </c>
      <c r="B3653">
        <f>25.4</f>
        <v>25.4</v>
      </c>
      <c r="C3653">
        <f>27.0683</f>
        <v>27.068300000000001</v>
      </c>
      <c r="D3653">
        <f>22.19</f>
        <v>22.19</v>
      </c>
      <c r="E3653">
        <f>28.46</f>
        <v>28.46</v>
      </c>
    </row>
    <row r="3654" spans="1:5" x14ac:dyDescent="0.2">
      <c r="A3654" s="1">
        <v>40023</v>
      </c>
      <c r="B3654">
        <f>25.61</f>
        <v>25.61</v>
      </c>
      <c r="C3654">
        <f>27.7072</f>
        <v>27.7072</v>
      </c>
      <c r="D3654">
        <f>22.76</f>
        <v>22.76</v>
      </c>
      <c r="E3654">
        <f>28.32</f>
        <v>28.32</v>
      </c>
    </row>
    <row r="3655" spans="1:5" x14ac:dyDescent="0.2">
      <c r="A3655" s="1">
        <v>40022</v>
      </c>
      <c r="B3655">
        <f>25.01</f>
        <v>25.01</v>
      </c>
      <c r="C3655">
        <f>28.1188</f>
        <v>28.1188</v>
      </c>
      <c r="D3655">
        <f>23.08</f>
        <v>23.08</v>
      </c>
      <c r="E3655">
        <f>28.64</f>
        <v>28.64</v>
      </c>
    </row>
    <row r="3656" spans="1:5" x14ac:dyDescent="0.2">
      <c r="A3656" s="1">
        <v>40021</v>
      </c>
      <c r="B3656">
        <f>24.28</f>
        <v>24.28</v>
      </c>
      <c r="C3656">
        <f>27.5235</f>
        <v>27.523499999999999</v>
      </c>
      <c r="D3656">
        <f>22.6</f>
        <v>22.6</v>
      </c>
      <c r="E3656">
        <f>28.65</f>
        <v>28.65</v>
      </c>
    </row>
    <row r="3657" spans="1:5" x14ac:dyDescent="0.2">
      <c r="A3657" s="1">
        <v>40018</v>
      </c>
      <c r="B3657">
        <f>23.09</f>
        <v>23.09</v>
      </c>
      <c r="C3657">
        <f>26.7054</f>
        <v>26.705400000000001</v>
      </c>
      <c r="D3657">
        <f>21.8</f>
        <v>21.8</v>
      </c>
      <c r="E3657">
        <f>28.98</f>
        <v>28.98</v>
      </c>
    </row>
    <row r="3658" spans="1:5" x14ac:dyDescent="0.2">
      <c r="A3658" s="1">
        <v>40017</v>
      </c>
      <c r="B3658">
        <f>23.43</f>
        <v>23.43</v>
      </c>
      <c r="C3658">
        <f>26.8172</f>
        <v>26.8172</v>
      </c>
      <c r="D3658">
        <f>21.99</f>
        <v>21.99</v>
      </c>
      <c r="E3658">
        <f>28.98</f>
        <v>28.98</v>
      </c>
    </row>
    <row r="3659" spans="1:5" x14ac:dyDescent="0.2">
      <c r="A3659" s="1">
        <v>40016</v>
      </c>
      <c r="B3659">
        <f>23.47</f>
        <v>23.47</v>
      </c>
      <c r="C3659">
        <f>27.6468</f>
        <v>27.646799999999999</v>
      </c>
      <c r="D3659">
        <f>23.44</f>
        <v>23.44</v>
      </c>
      <c r="E3659">
        <f>29.48</f>
        <v>29.48</v>
      </c>
    </row>
    <row r="3660" spans="1:5" x14ac:dyDescent="0.2">
      <c r="A3660" s="1">
        <v>40015</v>
      </c>
      <c r="B3660">
        <f>23.87</f>
        <v>23.87</v>
      </c>
      <c r="C3660">
        <f>27.5213</f>
        <v>27.5213</v>
      </c>
      <c r="D3660">
        <f>22.66</f>
        <v>22.66</v>
      </c>
      <c r="E3660">
        <f>29.48</f>
        <v>29.48</v>
      </c>
    </row>
    <row r="3661" spans="1:5" x14ac:dyDescent="0.2">
      <c r="A3661" s="1">
        <v>40014</v>
      </c>
      <c r="B3661">
        <f>24.4</f>
        <v>24.4</v>
      </c>
      <c r="C3661">
        <f>27.2222</f>
        <v>27.222200000000001</v>
      </c>
      <c r="D3661">
        <f>22.36</f>
        <v>22.36</v>
      </c>
      <c r="E3661">
        <f>29.8</f>
        <v>29.8</v>
      </c>
    </row>
    <row r="3662" spans="1:5" x14ac:dyDescent="0.2">
      <c r="A3662" s="1">
        <v>40011</v>
      </c>
      <c r="B3662">
        <f>24.34</f>
        <v>24.34</v>
      </c>
      <c r="C3662">
        <f>26.0077</f>
        <v>26.0077</v>
      </c>
      <c r="D3662">
        <f>22.46</f>
        <v>22.46</v>
      </c>
      <c r="E3662">
        <f>29.8</f>
        <v>29.8</v>
      </c>
    </row>
    <row r="3663" spans="1:5" x14ac:dyDescent="0.2">
      <c r="A3663" s="1">
        <v>40010</v>
      </c>
      <c r="B3663">
        <f>25.42</f>
        <v>25.42</v>
      </c>
      <c r="C3663">
        <f>26.8815</f>
        <v>26.881499999999999</v>
      </c>
      <c r="D3663">
        <f>22.74</f>
        <v>22.74</v>
      </c>
      <c r="E3663">
        <f>30.15</f>
        <v>30.15</v>
      </c>
    </row>
    <row r="3664" spans="1:5" x14ac:dyDescent="0.2">
      <c r="A3664" s="1">
        <v>40009</v>
      </c>
      <c r="B3664">
        <f>25.89</f>
        <v>25.89</v>
      </c>
      <c r="C3664">
        <f>27.7768</f>
        <v>27.776800000000001</v>
      </c>
      <c r="D3664">
        <f>23.04</f>
        <v>23.04</v>
      </c>
      <c r="E3664">
        <f>30.15</f>
        <v>30.15</v>
      </c>
    </row>
    <row r="3665" spans="1:5" x14ac:dyDescent="0.2">
      <c r="A3665" s="1">
        <v>40008</v>
      </c>
      <c r="B3665">
        <f>25.02</f>
        <v>25.02</v>
      </c>
      <c r="C3665">
        <f>29.6485</f>
        <v>29.648499999999999</v>
      </c>
      <c r="D3665">
        <f>24.59</f>
        <v>24.59</v>
      </c>
      <c r="E3665">
        <f>30.15</f>
        <v>30.15</v>
      </c>
    </row>
    <row r="3666" spans="1:5" x14ac:dyDescent="0.2">
      <c r="A3666" s="1">
        <v>40007</v>
      </c>
      <c r="B3666">
        <f>26.31</f>
        <v>26.31</v>
      </c>
      <c r="C3666">
        <f>30.922</f>
        <v>30.922000000000001</v>
      </c>
      <c r="D3666">
        <f>25.5</f>
        <v>25.5</v>
      </c>
      <c r="E3666">
        <f>30.15</f>
        <v>30.15</v>
      </c>
    </row>
    <row r="3667" spans="1:5" x14ac:dyDescent="0.2">
      <c r="A3667" s="1">
        <v>40004</v>
      </c>
      <c r="B3667">
        <f>29.02</f>
        <v>29.02</v>
      </c>
      <c r="C3667">
        <f>32.3493</f>
        <v>32.349299999999999</v>
      </c>
      <c r="D3667">
        <f>26.45</f>
        <v>26.45</v>
      </c>
      <c r="E3667">
        <f>30.15</f>
        <v>30.15</v>
      </c>
    </row>
    <row r="3668" spans="1:5" x14ac:dyDescent="0.2">
      <c r="A3668" s="1">
        <v>40003</v>
      </c>
      <c r="B3668">
        <f>29.78</f>
        <v>29.78</v>
      </c>
      <c r="C3668">
        <f>32.573</f>
        <v>32.573</v>
      </c>
      <c r="D3668">
        <f>26.75</f>
        <v>26.75</v>
      </c>
      <c r="E3668">
        <f>29.68</f>
        <v>29.68</v>
      </c>
    </row>
    <row r="3669" spans="1:5" x14ac:dyDescent="0.2">
      <c r="A3669" s="1">
        <v>40002</v>
      </c>
      <c r="B3669">
        <f>31.3</f>
        <v>31.3</v>
      </c>
      <c r="C3669">
        <f>34.8517</f>
        <v>34.851700000000001</v>
      </c>
      <c r="D3669">
        <f>29.9</f>
        <v>29.9</v>
      </c>
      <c r="E3669">
        <f>29.68</f>
        <v>29.68</v>
      </c>
    </row>
    <row r="3670" spans="1:5" x14ac:dyDescent="0.2">
      <c r="A3670" s="1">
        <v>40001</v>
      </c>
      <c r="B3670">
        <f>30.85</f>
        <v>30.85</v>
      </c>
      <c r="C3670">
        <f>34.3639</f>
        <v>34.363900000000001</v>
      </c>
      <c r="D3670">
        <f>28.98</f>
        <v>28.98</v>
      </c>
      <c r="E3670">
        <f>29.68</f>
        <v>29.68</v>
      </c>
    </row>
    <row r="3671" spans="1:5" x14ac:dyDescent="0.2">
      <c r="A3671" s="1">
        <v>40000</v>
      </c>
      <c r="B3671">
        <f>29</f>
        <v>29</v>
      </c>
      <c r="C3671">
        <f>33.5458</f>
        <v>33.5458</v>
      </c>
      <c r="D3671">
        <f>28.95</f>
        <v>28.95</v>
      </c>
      <c r="E3671">
        <f>29.51</f>
        <v>29.51</v>
      </c>
    </row>
    <row r="3672" spans="1:5" x14ac:dyDescent="0.2">
      <c r="A3672" s="1">
        <v>39997</v>
      </c>
      <c r="B3672" t="e">
        <f>NA()</f>
        <v>#N/A</v>
      </c>
      <c r="C3672">
        <f>31.3897</f>
        <v>31.389700000000001</v>
      </c>
      <c r="D3672">
        <f>26.81</f>
        <v>26.81</v>
      </c>
      <c r="E3672">
        <f>29.49</f>
        <v>29.49</v>
      </c>
    </row>
    <row r="3673" spans="1:5" x14ac:dyDescent="0.2">
      <c r="A3673" s="1">
        <v>39996</v>
      </c>
      <c r="B3673">
        <f>27.95</f>
        <v>27.95</v>
      </c>
      <c r="C3673">
        <f>31.7683</f>
        <v>31.7683</v>
      </c>
      <c r="D3673">
        <f>26.74</f>
        <v>26.74</v>
      </c>
      <c r="E3673">
        <f>29.48</f>
        <v>29.48</v>
      </c>
    </row>
    <row r="3674" spans="1:5" x14ac:dyDescent="0.2">
      <c r="A3674" s="1">
        <v>39995</v>
      </c>
      <c r="B3674">
        <f>26.22</f>
        <v>26.22</v>
      </c>
      <c r="C3674">
        <f>28.844</f>
        <v>28.844000000000001</v>
      </c>
      <c r="D3674">
        <f>24.19</f>
        <v>24.19</v>
      </c>
      <c r="E3674">
        <f>29.48</f>
        <v>29.48</v>
      </c>
    </row>
    <row r="3675" spans="1:5" x14ac:dyDescent="0.2">
      <c r="A3675" s="1">
        <v>39994</v>
      </c>
      <c r="B3675">
        <f>26.35</f>
        <v>26.35</v>
      </c>
      <c r="C3675">
        <f>30.2413</f>
        <v>30.241299999999999</v>
      </c>
      <c r="D3675">
        <f>25.31</f>
        <v>25.31</v>
      </c>
      <c r="E3675">
        <f>29.48</f>
        <v>29.48</v>
      </c>
    </row>
    <row r="3676" spans="1:5" x14ac:dyDescent="0.2">
      <c r="A3676" s="1">
        <v>39993</v>
      </c>
      <c r="B3676">
        <f>25.35</f>
        <v>25.35</v>
      </c>
      <c r="C3676">
        <f>29.3802</f>
        <v>29.380199999999999</v>
      </c>
      <c r="D3676">
        <f>25.68</f>
        <v>25.68</v>
      </c>
      <c r="E3676">
        <f>29.48</f>
        <v>29.48</v>
      </c>
    </row>
    <row r="3677" spans="1:5" x14ac:dyDescent="0.2">
      <c r="A3677" s="1">
        <v>39990</v>
      </c>
      <c r="B3677">
        <f>25.93</f>
        <v>25.93</v>
      </c>
      <c r="C3677">
        <f>30.8491</f>
        <v>30.8491</v>
      </c>
      <c r="D3677">
        <f>26.9</f>
        <v>26.9</v>
      </c>
      <c r="E3677">
        <f>29.48</f>
        <v>29.48</v>
      </c>
    </row>
    <row r="3678" spans="1:5" x14ac:dyDescent="0.2">
      <c r="A3678" s="1">
        <v>39989</v>
      </c>
      <c r="B3678">
        <f>26.36</f>
        <v>26.36</v>
      </c>
      <c r="C3678">
        <f>31.0569</f>
        <v>31.056899999999999</v>
      </c>
      <c r="D3678">
        <f>26.91</f>
        <v>26.91</v>
      </c>
      <c r="E3678">
        <f>29.47</f>
        <v>29.47</v>
      </c>
    </row>
    <row r="3679" spans="1:5" x14ac:dyDescent="0.2">
      <c r="A3679" s="1">
        <v>39988</v>
      </c>
      <c r="B3679">
        <f>29.05</f>
        <v>29.05</v>
      </c>
      <c r="C3679">
        <f>30.845</f>
        <v>30.844999999999999</v>
      </c>
      <c r="D3679">
        <f>27.06</f>
        <v>27.06</v>
      </c>
      <c r="E3679">
        <f>29.47</f>
        <v>29.47</v>
      </c>
    </row>
    <row r="3680" spans="1:5" x14ac:dyDescent="0.2">
      <c r="A3680" s="1">
        <v>39987</v>
      </c>
      <c r="B3680">
        <f>30.58</f>
        <v>30.58</v>
      </c>
      <c r="C3680">
        <f>33.5941</f>
        <v>33.594099999999997</v>
      </c>
      <c r="D3680">
        <f>29.35</f>
        <v>29.35</v>
      </c>
      <c r="E3680">
        <f>29.46</f>
        <v>29.46</v>
      </c>
    </row>
    <row r="3681" spans="1:5" x14ac:dyDescent="0.2">
      <c r="A3681" s="1">
        <v>39986</v>
      </c>
      <c r="B3681">
        <f>31.17</f>
        <v>31.17</v>
      </c>
      <c r="C3681">
        <f>36.0495</f>
        <v>36.049500000000002</v>
      </c>
      <c r="D3681">
        <f>30.15</f>
        <v>30.15</v>
      </c>
      <c r="E3681">
        <f>29.46</f>
        <v>29.46</v>
      </c>
    </row>
    <row r="3682" spans="1:5" x14ac:dyDescent="0.2">
      <c r="A3682" s="1">
        <v>39983</v>
      </c>
      <c r="B3682">
        <f>27.99</f>
        <v>27.99</v>
      </c>
      <c r="C3682">
        <f>30.9232</f>
        <v>30.923200000000001</v>
      </c>
      <c r="D3682">
        <f>26.24</f>
        <v>26.24</v>
      </c>
      <c r="E3682">
        <f>29.46</f>
        <v>29.46</v>
      </c>
    </row>
    <row r="3683" spans="1:5" x14ac:dyDescent="0.2">
      <c r="A3683" s="1">
        <v>39982</v>
      </c>
      <c r="B3683">
        <f>30.03</f>
        <v>30.03</v>
      </c>
      <c r="C3683">
        <f>32.4386</f>
        <v>32.438600000000001</v>
      </c>
      <c r="D3683">
        <f>28.17</f>
        <v>28.17</v>
      </c>
      <c r="E3683">
        <f>29.45</f>
        <v>29.45</v>
      </c>
    </row>
    <row r="3684" spans="1:5" x14ac:dyDescent="0.2">
      <c r="A3684" s="1">
        <v>39981</v>
      </c>
      <c r="B3684">
        <f>31.54</f>
        <v>31.54</v>
      </c>
      <c r="C3684">
        <f>34.6359</f>
        <v>34.635899999999999</v>
      </c>
      <c r="D3684">
        <f>29.45</f>
        <v>29.45</v>
      </c>
      <c r="E3684">
        <f>30.11</f>
        <v>30.11</v>
      </c>
    </row>
    <row r="3685" spans="1:5" x14ac:dyDescent="0.2">
      <c r="A3685" s="1">
        <v>39980</v>
      </c>
      <c r="B3685">
        <f>32.68</f>
        <v>32.68</v>
      </c>
      <c r="C3685">
        <f>31.8921</f>
        <v>31.892099999999999</v>
      </c>
      <c r="D3685">
        <f>28.06</f>
        <v>28.06</v>
      </c>
      <c r="E3685" t="e">
        <f>NA()</f>
        <v>#N/A</v>
      </c>
    </row>
    <row r="3686" spans="1:5" x14ac:dyDescent="0.2">
      <c r="A3686" s="1">
        <v>39979</v>
      </c>
      <c r="B3686">
        <f>30.81</f>
        <v>30.81</v>
      </c>
      <c r="C3686">
        <f>31.9685</f>
        <v>31.968499999999999</v>
      </c>
      <c r="D3686">
        <f>27.76</f>
        <v>27.76</v>
      </c>
      <c r="E3686">
        <f>30.15</f>
        <v>30.15</v>
      </c>
    </row>
    <row r="3687" spans="1:5" x14ac:dyDescent="0.2">
      <c r="A3687" s="1">
        <v>39976</v>
      </c>
      <c r="B3687">
        <f>28.15</f>
        <v>28.15</v>
      </c>
      <c r="C3687">
        <f>28.1235</f>
        <v>28.1235</v>
      </c>
      <c r="D3687">
        <f>24.66</f>
        <v>24.66</v>
      </c>
      <c r="E3687">
        <f>30.21</f>
        <v>30.21</v>
      </c>
    </row>
    <row r="3688" spans="1:5" x14ac:dyDescent="0.2">
      <c r="A3688" s="1">
        <v>39975</v>
      </c>
      <c r="B3688">
        <f>28.11</f>
        <v>28.11</v>
      </c>
      <c r="C3688">
        <f>27.5128</f>
        <v>27.512799999999999</v>
      </c>
      <c r="D3688">
        <f>24.15</f>
        <v>24.15</v>
      </c>
      <c r="E3688">
        <f>30.23</f>
        <v>30.23</v>
      </c>
    </row>
    <row r="3689" spans="1:5" x14ac:dyDescent="0.2">
      <c r="A3689" s="1">
        <v>39974</v>
      </c>
      <c r="B3689">
        <f>28.46</f>
        <v>28.46</v>
      </c>
      <c r="C3689">
        <f>29.2578</f>
        <v>29.2578</v>
      </c>
      <c r="D3689">
        <f>26</f>
        <v>26</v>
      </c>
      <c r="E3689">
        <f>30.24</f>
        <v>30.24</v>
      </c>
    </row>
    <row r="3690" spans="1:5" x14ac:dyDescent="0.2">
      <c r="A3690" s="1">
        <v>39973</v>
      </c>
      <c r="B3690">
        <f>28.27</f>
        <v>28.27</v>
      </c>
      <c r="C3690">
        <f>30.3638</f>
        <v>30.363800000000001</v>
      </c>
      <c r="D3690">
        <f>27.05</f>
        <v>27.05</v>
      </c>
      <c r="E3690">
        <f>30.26</f>
        <v>30.26</v>
      </c>
    </row>
    <row r="3691" spans="1:5" x14ac:dyDescent="0.2">
      <c r="A3691" s="1">
        <v>39972</v>
      </c>
      <c r="B3691">
        <f>29.77</f>
        <v>29.77</v>
      </c>
      <c r="C3691">
        <f>31.2235</f>
        <v>31.223500000000001</v>
      </c>
      <c r="D3691">
        <f>28.12</f>
        <v>28.12</v>
      </c>
      <c r="E3691">
        <f>30.28</f>
        <v>30.28</v>
      </c>
    </row>
    <row r="3692" spans="1:5" x14ac:dyDescent="0.2">
      <c r="A3692" s="1">
        <v>39969</v>
      </c>
      <c r="B3692">
        <f>29.62</f>
        <v>29.62</v>
      </c>
      <c r="C3692">
        <f>29.7774</f>
        <v>29.7774</v>
      </c>
      <c r="D3692">
        <f>27.12</f>
        <v>27.12</v>
      </c>
      <c r="E3692">
        <f>30.33</f>
        <v>30.33</v>
      </c>
    </row>
    <row r="3693" spans="1:5" x14ac:dyDescent="0.2">
      <c r="A3693" s="1">
        <v>39968</v>
      </c>
      <c r="B3693">
        <f>30.18</f>
        <v>30.18</v>
      </c>
      <c r="C3693">
        <f>31.5158</f>
        <v>31.515799999999999</v>
      </c>
      <c r="D3693">
        <f>27.86</f>
        <v>27.86</v>
      </c>
      <c r="E3693">
        <f>30.44</f>
        <v>30.44</v>
      </c>
    </row>
    <row r="3694" spans="1:5" x14ac:dyDescent="0.2">
      <c r="A3694" s="1">
        <v>39967</v>
      </c>
      <c r="B3694">
        <f>31.02</f>
        <v>31.02</v>
      </c>
      <c r="C3694">
        <f>32.502</f>
        <v>32.502000000000002</v>
      </c>
      <c r="D3694">
        <f>28.46</f>
        <v>28.46</v>
      </c>
      <c r="E3694">
        <f>31.02</f>
        <v>31.02</v>
      </c>
    </row>
    <row r="3695" spans="1:5" x14ac:dyDescent="0.2">
      <c r="A3695" s="1">
        <v>39966</v>
      </c>
      <c r="B3695">
        <f>29.63</f>
        <v>29.63</v>
      </c>
      <c r="C3695">
        <f>31.413</f>
        <v>31.413</v>
      </c>
      <c r="D3695">
        <f>26.77</f>
        <v>26.77</v>
      </c>
      <c r="E3695">
        <f>31.04</f>
        <v>31.04</v>
      </c>
    </row>
    <row r="3696" spans="1:5" x14ac:dyDescent="0.2">
      <c r="A3696" s="1">
        <v>39965</v>
      </c>
      <c r="B3696">
        <f>30.04</f>
        <v>30.04</v>
      </c>
      <c r="C3696">
        <f>31.804</f>
        <v>31.803999999999998</v>
      </c>
      <c r="D3696">
        <f>27.63</f>
        <v>27.63</v>
      </c>
      <c r="E3696">
        <f>31.05</f>
        <v>31.05</v>
      </c>
    </row>
    <row r="3697" spans="1:5" x14ac:dyDescent="0.2">
      <c r="A3697" s="1">
        <v>39962</v>
      </c>
      <c r="B3697">
        <f>28.92</f>
        <v>28.92</v>
      </c>
      <c r="C3697">
        <f>33.0374</f>
        <v>33.037399999999998</v>
      </c>
      <c r="D3697">
        <f>27.43</f>
        <v>27.43</v>
      </c>
      <c r="E3697">
        <f>30.92</f>
        <v>30.92</v>
      </c>
    </row>
    <row r="3698" spans="1:5" x14ac:dyDescent="0.2">
      <c r="A3698" s="1">
        <v>39961</v>
      </c>
      <c r="B3698">
        <f>31.67</f>
        <v>31.67</v>
      </c>
      <c r="C3698">
        <f>33.8191</f>
        <v>33.819099999999999</v>
      </c>
      <c r="D3698">
        <f>28.39</f>
        <v>28.39</v>
      </c>
      <c r="E3698">
        <f>30.93</f>
        <v>30.93</v>
      </c>
    </row>
    <row r="3699" spans="1:5" x14ac:dyDescent="0.2">
      <c r="A3699" s="1">
        <v>39960</v>
      </c>
      <c r="B3699">
        <f>32.36</f>
        <v>32.36</v>
      </c>
      <c r="C3699">
        <f>32.0679</f>
        <v>32.067900000000002</v>
      </c>
      <c r="D3699">
        <f>27.65</f>
        <v>27.65</v>
      </c>
      <c r="E3699">
        <f>30.94</f>
        <v>30.94</v>
      </c>
    </row>
    <row r="3700" spans="1:5" x14ac:dyDescent="0.2">
      <c r="A3700" s="1">
        <v>39959</v>
      </c>
      <c r="B3700">
        <f>30.62</f>
        <v>30.62</v>
      </c>
      <c r="C3700">
        <f>32.6654</f>
        <v>32.665399999999998</v>
      </c>
      <c r="D3700">
        <f>27.93</f>
        <v>27.93</v>
      </c>
      <c r="E3700">
        <f>30.95</f>
        <v>30.95</v>
      </c>
    </row>
    <row r="3701" spans="1:5" x14ac:dyDescent="0.2">
      <c r="A3701" s="1">
        <v>39958</v>
      </c>
      <c r="B3701" t="e">
        <f>NA()</f>
        <v>#N/A</v>
      </c>
      <c r="C3701">
        <f>33.6486</f>
        <v>33.648600000000002</v>
      </c>
      <c r="D3701" t="e">
        <f>NA()</f>
        <v>#N/A</v>
      </c>
      <c r="E3701">
        <f>30.96</f>
        <v>30.96</v>
      </c>
    </row>
    <row r="3702" spans="1:5" x14ac:dyDescent="0.2">
      <c r="A3702" s="1">
        <v>39955</v>
      </c>
      <c r="B3702">
        <f>32.63</f>
        <v>32.630000000000003</v>
      </c>
      <c r="C3702">
        <f>32.5318</f>
        <v>32.531799999999997</v>
      </c>
      <c r="D3702">
        <f>27.37</f>
        <v>27.37</v>
      </c>
      <c r="E3702">
        <f>31.3</f>
        <v>31.3</v>
      </c>
    </row>
    <row r="3703" spans="1:5" x14ac:dyDescent="0.2">
      <c r="A3703" s="1">
        <v>39954</v>
      </c>
      <c r="B3703">
        <f>31.35</f>
        <v>31.35</v>
      </c>
      <c r="C3703">
        <f>34.4813</f>
        <v>34.481299999999997</v>
      </c>
      <c r="D3703">
        <f>28.81</f>
        <v>28.81</v>
      </c>
      <c r="E3703">
        <f>31.31</f>
        <v>31.31</v>
      </c>
    </row>
    <row r="3704" spans="1:5" x14ac:dyDescent="0.2">
      <c r="A3704" s="1">
        <v>39953</v>
      </c>
      <c r="B3704">
        <f>29.03</f>
        <v>29.03</v>
      </c>
      <c r="C3704">
        <f>31.3056</f>
        <v>31.305599999999998</v>
      </c>
      <c r="D3704">
        <f>25.84</f>
        <v>25.84</v>
      </c>
      <c r="E3704">
        <f>31.97</f>
        <v>31.97</v>
      </c>
    </row>
    <row r="3705" spans="1:5" x14ac:dyDescent="0.2">
      <c r="A3705" s="1">
        <v>39952</v>
      </c>
      <c r="B3705">
        <f>28.8</f>
        <v>28.8</v>
      </c>
      <c r="C3705">
        <f>31.9277</f>
        <v>31.927700000000002</v>
      </c>
      <c r="D3705">
        <f>26.46</f>
        <v>26.46</v>
      </c>
      <c r="E3705">
        <f>31.97</f>
        <v>31.97</v>
      </c>
    </row>
    <row r="3706" spans="1:5" x14ac:dyDescent="0.2">
      <c r="A3706" s="1">
        <v>39951</v>
      </c>
      <c r="B3706">
        <f>30.24</f>
        <v>30.24</v>
      </c>
      <c r="C3706">
        <f>32.3116</f>
        <v>32.311599999999999</v>
      </c>
      <c r="D3706">
        <f>27.86</f>
        <v>27.86</v>
      </c>
      <c r="E3706">
        <f>32.3</f>
        <v>32.299999999999997</v>
      </c>
    </row>
    <row r="3707" spans="1:5" x14ac:dyDescent="0.2">
      <c r="A3707" s="1">
        <v>39948</v>
      </c>
      <c r="B3707">
        <f>33.12</f>
        <v>33.119999999999997</v>
      </c>
      <c r="C3707">
        <f>33.1914</f>
        <v>33.191400000000002</v>
      </c>
      <c r="D3707">
        <f>29.38</f>
        <v>29.38</v>
      </c>
      <c r="E3707">
        <f>32.31</f>
        <v>32.31</v>
      </c>
    </row>
    <row r="3708" spans="1:5" x14ac:dyDescent="0.2">
      <c r="A3708" s="1">
        <v>39947</v>
      </c>
      <c r="B3708">
        <f>31.37</f>
        <v>31.37</v>
      </c>
      <c r="C3708">
        <f>36.111</f>
        <v>36.110999999999997</v>
      </c>
      <c r="D3708">
        <f>30.42</f>
        <v>30.42</v>
      </c>
      <c r="E3708">
        <f>32</f>
        <v>32</v>
      </c>
    </row>
    <row r="3709" spans="1:5" x14ac:dyDescent="0.2">
      <c r="A3709" s="1">
        <v>39946</v>
      </c>
      <c r="B3709">
        <f>33.65</f>
        <v>33.65</v>
      </c>
      <c r="C3709">
        <f>36.4547</f>
        <v>36.454700000000003</v>
      </c>
      <c r="D3709">
        <f>30.91</f>
        <v>30.91</v>
      </c>
      <c r="E3709">
        <f>32</f>
        <v>32</v>
      </c>
    </row>
    <row r="3710" spans="1:5" x14ac:dyDescent="0.2">
      <c r="A3710" s="1">
        <v>39945</v>
      </c>
      <c r="B3710">
        <f>31.8</f>
        <v>31.8</v>
      </c>
      <c r="C3710">
        <f>34.9507</f>
        <v>34.950699999999998</v>
      </c>
      <c r="D3710">
        <f>30.21</f>
        <v>30.21</v>
      </c>
      <c r="E3710">
        <f>32.01</f>
        <v>32.01</v>
      </c>
    </row>
    <row r="3711" spans="1:5" x14ac:dyDescent="0.2">
      <c r="A3711" s="1">
        <v>39944</v>
      </c>
      <c r="B3711">
        <f>32.87</f>
        <v>32.869999999999997</v>
      </c>
      <c r="C3711">
        <f>36.8538</f>
        <v>36.8538</v>
      </c>
      <c r="D3711">
        <f>32.57</f>
        <v>32.57</v>
      </c>
      <c r="E3711">
        <f>32.01</f>
        <v>32.01</v>
      </c>
    </row>
    <row r="3712" spans="1:5" x14ac:dyDescent="0.2">
      <c r="A3712" s="1">
        <v>39941</v>
      </c>
      <c r="B3712">
        <f>32.05</f>
        <v>32.049999999999997</v>
      </c>
      <c r="C3712">
        <f>36.0588</f>
        <v>36.058799999999998</v>
      </c>
      <c r="D3712">
        <f>32.92</f>
        <v>32.92</v>
      </c>
      <c r="E3712">
        <f>32.66</f>
        <v>32.659999999999997</v>
      </c>
    </row>
    <row r="3713" spans="1:5" x14ac:dyDescent="0.2">
      <c r="A3713" s="1">
        <v>39940</v>
      </c>
      <c r="B3713">
        <f>33.44</f>
        <v>33.44</v>
      </c>
      <c r="C3713">
        <f>38.0156</f>
        <v>38.015599999999999</v>
      </c>
      <c r="D3713">
        <f>35.46</f>
        <v>35.46</v>
      </c>
      <c r="E3713">
        <f>32.98</f>
        <v>32.979999999999997</v>
      </c>
    </row>
    <row r="3714" spans="1:5" x14ac:dyDescent="0.2">
      <c r="A3714" s="1">
        <v>39939</v>
      </c>
      <c r="B3714">
        <f>32.45</f>
        <v>32.450000000000003</v>
      </c>
      <c r="C3714">
        <f>36.2625</f>
        <v>36.262500000000003</v>
      </c>
      <c r="D3714">
        <f>31.98</f>
        <v>31.98</v>
      </c>
      <c r="E3714">
        <f>32.98</f>
        <v>32.979999999999997</v>
      </c>
    </row>
    <row r="3715" spans="1:5" x14ac:dyDescent="0.2">
      <c r="A3715" s="1">
        <v>39938</v>
      </c>
      <c r="B3715">
        <f>33.36</f>
        <v>33.36</v>
      </c>
      <c r="C3715">
        <f>37.3667</f>
        <v>37.366700000000002</v>
      </c>
      <c r="D3715">
        <f>32.23</f>
        <v>32.229999999999997</v>
      </c>
      <c r="E3715">
        <f>32.98</f>
        <v>32.979999999999997</v>
      </c>
    </row>
    <row r="3716" spans="1:5" x14ac:dyDescent="0.2">
      <c r="A3716" s="1">
        <v>39937</v>
      </c>
      <c r="B3716">
        <f>34.53</f>
        <v>34.53</v>
      </c>
      <c r="C3716">
        <f>36.7636</f>
        <v>36.763599999999997</v>
      </c>
      <c r="D3716" t="e">
        <f>NA()</f>
        <v>#N/A</v>
      </c>
      <c r="E3716">
        <f>34.22</f>
        <v>34.22</v>
      </c>
    </row>
    <row r="3717" spans="1:5" x14ac:dyDescent="0.2">
      <c r="A3717" s="1">
        <v>39934</v>
      </c>
      <c r="B3717">
        <f>35.3</f>
        <v>35.299999999999997</v>
      </c>
      <c r="C3717" t="e">
        <f>NA()</f>
        <v>#N/A</v>
      </c>
      <c r="D3717">
        <f>31.47</f>
        <v>31.47</v>
      </c>
      <c r="E3717" t="e">
        <f>NA()</f>
        <v>#N/A</v>
      </c>
    </row>
    <row r="3718" spans="1:5" x14ac:dyDescent="0.2">
      <c r="A3718" s="1">
        <v>39933</v>
      </c>
      <c r="B3718">
        <f>36.5</f>
        <v>36.5</v>
      </c>
      <c r="C3718">
        <f>36.8821</f>
        <v>36.882100000000001</v>
      </c>
      <c r="D3718">
        <f>31.63</f>
        <v>31.63</v>
      </c>
      <c r="E3718">
        <f>34.96</f>
        <v>34.96</v>
      </c>
    </row>
    <row r="3719" spans="1:5" x14ac:dyDescent="0.2">
      <c r="A3719" s="1">
        <v>39932</v>
      </c>
      <c r="B3719">
        <f>36.08</f>
        <v>36.08</v>
      </c>
      <c r="C3719">
        <f>37.4512</f>
        <v>37.4512</v>
      </c>
      <c r="D3719">
        <f>32.26</f>
        <v>32.26</v>
      </c>
      <c r="E3719">
        <f>34.64</f>
        <v>34.64</v>
      </c>
    </row>
    <row r="3720" spans="1:5" x14ac:dyDescent="0.2">
      <c r="A3720" s="1">
        <v>39931</v>
      </c>
      <c r="B3720">
        <f>37.95</f>
        <v>37.950000000000003</v>
      </c>
      <c r="C3720">
        <f>39.7768</f>
        <v>39.776800000000001</v>
      </c>
      <c r="D3720">
        <f>33.9</f>
        <v>33.9</v>
      </c>
      <c r="E3720">
        <f>34.03</f>
        <v>34.03</v>
      </c>
    </row>
    <row r="3721" spans="1:5" x14ac:dyDescent="0.2">
      <c r="A3721" s="1">
        <v>39930</v>
      </c>
      <c r="B3721">
        <f>38.32</f>
        <v>38.32</v>
      </c>
      <c r="C3721">
        <f>37.8879</f>
        <v>37.887900000000002</v>
      </c>
      <c r="D3721">
        <f>32.24</f>
        <v>32.24</v>
      </c>
      <c r="E3721" t="e">
        <f>NA()</f>
        <v>#N/A</v>
      </c>
    </row>
    <row r="3722" spans="1:5" x14ac:dyDescent="0.2">
      <c r="A3722" s="1">
        <v>39927</v>
      </c>
      <c r="B3722">
        <f>36.82</f>
        <v>36.82</v>
      </c>
      <c r="C3722">
        <f>37.381</f>
        <v>37.381</v>
      </c>
      <c r="D3722">
        <f>31.49</f>
        <v>31.49</v>
      </c>
      <c r="E3722">
        <f>34.34</f>
        <v>34.340000000000003</v>
      </c>
    </row>
    <row r="3723" spans="1:5" x14ac:dyDescent="0.2">
      <c r="A3723" s="1">
        <v>39926</v>
      </c>
      <c r="B3723">
        <f>37.15</f>
        <v>37.15</v>
      </c>
      <c r="C3723">
        <f>39.1905</f>
        <v>39.1905</v>
      </c>
      <c r="D3723">
        <f>33.09</f>
        <v>33.090000000000003</v>
      </c>
      <c r="E3723">
        <f>33.67</f>
        <v>33.67</v>
      </c>
    </row>
    <row r="3724" spans="1:5" x14ac:dyDescent="0.2">
      <c r="A3724" s="1">
        <v>39925</v>
      </c>
      <c r="B3724">
        <f>38.1</f>
        <v>38.1</v>
      </c>
      <c r="C3724">
        <f>39.5964</f>
        <v>39.596400000000003</v>
      </c>
      <c r="D3724">
        <f>34.41</f>
        <v>34.409999999999997</v>
      </c>
      <c r="E3724" t="e">
        <f>NA()</f>
        <v>#N/A</v>
      </c>
    </row>
    <row r="3725" spans="1:5" x14ac:dyDescent="0.2">
      <c r="A3725" s="1">
        <v>39924</v>
      </c>
      <c r="B3725">
        <f>37.14</f>
        <v>37.14</v>
      </c>
      <c r="C3725">
        <f>40.8736</f>
        <v>40.873600000000003</v>
      </c>
      <c r="D3725">
        <f>35.02</f>
        <v>35.020000000000003</v>
      </c>
      <c r="E3725">
        <f>34.44</f>
        <v>34.44</v>
      </c>
    </row>
    <row r="3726" spans="1:5" x14ac:dyDescent="0.2">
      <c r="A3726" s="1">
        <v>39923</v>
      </c>
      <c r="B3726">
        <f>39.18</f>
        <v>39.18</v>
      </c>
      <c r="C3726">
        <f>41.0013</f>
        <v>41.001300000000001</v>
      </c>
      <c r="D3726">
        <f>35.17</f>
        <v>35.17</v>
      </c>
      <c r="E3726">
        <f>34.21</f>
        <v>34.21</v>
      </c>
    </row>
    <row r="3727" spans="1:5" x14ac:dyDescent="0.2">
      <c r="A3727" s="1">
        <v>39920</v>
      </c>
      <c r="B3727">
        <f>33.94</f>
        <v>33.94</v>
      </c>
      <c r="C3727">
        <f>36.7027</f>
        <v>36.7027</v>
      </c>
      <c r="D3727">
        <f>30.46</f>
        <v>30.46</v>
      </c>
      <c r="E3727">
        <f>31.61</f>
        <v>31.61</v>
      </c>
    </row>
    <row r="3728" spans="1:5" x14ac:dyDescent="0.2">
      <c r="A3728" s="1">
        <v>39919</v>
      </c>
      <c r="B3728">
        <f>35.79</f>
        <v>35.79</v>
      </c>
      <c r="C3728">
        <f>37.2958</f>
        <v>37.2958</v>
      </c>
      <c r="D3728">
        <f>32.16</f>
        <v>32.159999999999997</v>
      </c>
      <c r="E3728">
        <f>32.25</f>
        <v>32.25</v>
      </c>
    </row>
    <row r="3729" spans="1:5" x14ac:dyDescent="0.2">
      <c r="A3729" s="1">
        <v>39918</v>
      </c>
      <c r="B3729">
        <f>36.17</f>
        <v>36.17</v>
      </c>
      <c r="C3729">
        <f>39.7173</f>
        <v>39.717300000000002</v>
      </c>
      <c r="D3729">
        <f>33.83</f>
        <v>33.83</v>
      </c>
      <c r="E3729">
        <f>31.16</f>
        <v>31.16</v>
      </c>
    </row>
    <row r="3730" spans="1:5" x14ac:dyDescent="0.2">
      <c r="A3730" s="1">
        <v>39917</v>
      </c>
      <c r="B3730">
        <f>37.67</f>
        <v>37.67</v>
      </c>
      <c r="C3730">
        <f>40.2195</f>
        <v>40.219499999999996</v>
      </c>
      <c r="D3730">
        <f>34.77</f>
        <v>34.770000000000003</v>
      </c>
      <c r="E3730">
        <f>31.73</f>
        <v>31.73</v>
      </c>
    </row>
    <row r="3731" spans="1:5" x14ac:dyDescent="0.2">
      <c r="A3731" s="1">
        <v>39916</v>
      </c>
      <c r="B3731">
        <f>37.81</f>
        <v>37.81</v>
      </c>
      <c r="C3731" t="e">
        <f>NA()</f>
        <v>#N/A</v>
      </c>
      <c r="D3731" t="e">
        <f>NA()</f>
        <v>#N/A</v>
      </c>
      <c r="E3731" t="e">
        <f>NA()</f>
        <v>#N/A</v>
      </c>
    </row>
    <row r="3732" spans="1:5" x14ac:dyDescent="0.2">
      <c r="A3732" s="1">
        <v>39912</v>
      </c>
      <c r="B3732">
        <f>36.53</f>
        <v>36.53</v>
      </c>
      <c r="C3732">
        <f>37.6085</f>
        <v>37.608499999999999</v>
      </c>
      <c r="D3732">
        <f>33.87</f>
        <v>33.869999999999997</v>
      </c>
      <c r="E3732">
        <f>32.49</f>
        <v>32.49</v>
      </c>
    </row>
    <row r="3733" spans="1:5" x14ac:dyDescent="0.2">
      <c r="A3733" s="1">
        <v>39911</v>
      </c>
      <c r="B3733">
        <f>38.85</f>
        <v>38.85</v>
      </c>
      <c r="C3733">
        <f>38.9694</f>
        <v>38.9694</v>
      </c>
      <c r="D3733">
        <f>34.85</f>
        <v>34.85</v>
      </c>
      <c r="E3733">
        <f>33.89</f>
        <v>33.89</v>
      </c>
    </row>
    <row r="3734" spans="1:5" x14ac:dyDescent="0.2">
      <c r="A3734" s="1">
        <v>39910</v>
      </c>
      <c r="B3734">
        <f>40.39</f>
        <v>40.39</v>
      </c>
      <c r="C3734">
        <f>40.1621</f>
        <v>40.162100000000002</v>
      </c>
      <c r="D3734">
        <f>36.16</f>
        <v>36.159999999999997</v>
      </c>
      <c r="E3734">
        <f>34.34</f>
        <v>34.340000000000003</v>
      </c>
    </row>
    <row r="3735" spans="1:5" x14ac:dyDescent="0.2">
      <c r="A3735" s="1">
        <v>39909</v>
      </c>
      <c r="B3735">
        <f>40.93</f>
        <v>40.93</v>
      </c>
      <c r="C3735">
        <f>41.0818</f>
        <v>41.081800000000001</v>
      </c>
      <c r="D3735">
        <f>36.35</f>
        <v>36.35</v>
      </c>
      <c r="E3735">
        <f>34.01</f>
        <v>34.01</v>
      </c>
    </row>
    <row r="3736" spans="1:5" x14ac:dyDescent="0.2">
      <c r="A3736" s="1">
        <v>39906</v>
      </c>
      <c r="B3736">
        <f>39.7</f>
        <v>39.700000000000003</v>
      </c>
      <c r="C3736">
        <f>40.5362</f>
        <v>40.536200000000001</v>
      </c>
      <c r="D3736">
        <f>35.16</f>
        <v>35.159999999999997</v>
      </c>
      <c r="E3736">
        <f>32.68</f>
        <v>32.68</v>
      </c>
    </row>
    <row r="3737" spans="1:5" x14ac:dyDescent="0.2">
      <c r="A3737" s="1">
        <v>39905</v>
      </c>
      <c r="B3737">
        <f>42.04</f>
        <v>42.04</v>
      </c>
      <c r="C3737">
        <f>42.0951</f>
        <v>42.095100000000002</v>
      </c>
      <c r="D3737">
        <f>35.84</f>
        <v>35.840000000000003</v>
      </c>
      <c r="E3737">
        <f>32.79</f>
        <v>32.79</v>
      </c>
    </row>
    <row r="3738" spans="1:5" x14ac:dyDescent="0.2">
      <c r="A3738" s="1">
        <v>39904</v>
      </c>
      <c r="B3738">
        <f>42.28</f>
        <v>42.28</v>
      </c>
      <c r="C3738">
        <f>41.734</f>
        <v>41.734000000000002</v>
      </c>
      <c r="D3738">
        <f>35.84</f>
        <v>35.840000000000003</v>
      </c>
      <c r="E3738">
        <f>34.06</f>
        <v>34.06</v>
      </c>
    </row>
    <row r="3739" spans="1:5" x14ac:dyDescent="0.2">
      <c r="A3739" s="1">
        <v>39903</v>
      </c>
      <c r="B3739">
        <f>44.14</f>
        <v>44.14</v>
      </c>
      <c r="C3739">
        <f>42.4096</f>
        <v>42.409599999999998</v>
      </c>
      <c r="D3739">
        <f>36.39</f>
        <v>36.39</v>
      </c>
      <c r="E3739">
        <f>34.02</f>
        <v>34.020000000000003</v>
      </c>
    </row>
    <row r="3740" spans="1:5" x14ac:dyDescent="0.2">
      <c r="A3740" s="1">
        <v>39902</v>
      </c>
      <c r="B3740">
        <f>45.54</f>
        <v>45.54</v>
      </c>
      <c r="C3740">
        <f>44.91</f>
        <v>44.91</v>
      </c>
      <c r="D3740">
        <f>38.5</f>
        <v>38.5</v>
      </c>
      <c r="E3740">
        <f>35.5</f>
        <v>35.5</v>
      </c>
    </row>
    <row r="3741" spans="1:5" x14ac:dyDescent="0.2">
      <c r="A3741" s="1">
        <v>39899</v>
      </c>
      <c r="B3741">
        <f>41.04</f>
        <v>41.04</v>
      </c>
      <c r="C3741">
        <f>40.3235</f>
        <v>40.323500000000003</v>
      </c>
      <c r="D3741">
        <f>34.73</f>
        <v>34.729999999999997</v>
      </c>
      <c r="E3741">
        <f>33.5</f>
        <v>33.5</v>
      </c>
    </row>
    <row r="3742" spans="1:5" x14ac:dyDescent="0.2">
      <c r="A3742" s="1">
        <v>39898</v>
      </c>
      <c r="B3742">
        <f>40.36</f>
        <v>40.36</v>
      </c>
      <c r="C3742">
        <f>39.0276</f>
        <v>39.0276</v>
      </c>
      <c r="D3742">
        <f>34.68</f>
        <v>34.68</v>
      </c>
      <c r="E3742">
        <f>32.99</f>
        <v>32.99</v>
      </c>
    </row>
    <row r="3743" spans="1:5" x14ac:dyDescent="0.2">
      <c r="A3743" s="1">
        <v>39897</v>
      </c>
      <c r="B3743">
        <f>42.25</f>
        <v>42.25</v>
      </c>
      <c r="C3743">
        <f>40.2273</f>
        <v>40.2273</v>
      </c>
      <c r="D3743">
        <f>35.63</f>
        <v>35.630000000000003</v>
      </c>
      <c r="E3743">
        <f>33.45</f>
        <v>33.450000000000003</v>
      </c>
    </row>
    <row r="3744" spans="1:5" x14ac:dyDescent="0.2">
      <c r="A3744" s="1">
        <v>39896</v>
      </c>
      <c r="B3744">
        <f>42.93</f>
        <v>42.93</v>
      </c>
      <c r="C3744">
        <f>40.8814</f>
        <v>40.881399999999999</v>
      </c>
      <c r="D3744">
        <f>36.84</f>
        <v>36.840000000000003</v>
      </c>
      <c r="E3744">
        <f>33.82</f>
        <v>33.82</v>
      </c>
    </row>
    <row r="3745" spans="1:5" x14ac:dyDescent="0.2">
      <c r="A3745" s="1">
        <v>39895</v>
      </c>
      <c r="B3745">
        <f>43.23</f>
        <v>43.23</v>
      </c>
      <c r="C3745">
        <f>41.943</f>
        <v>41.942999999999998</v>
      </c>
      <c r="D3745">
        <f>37.17</f>
        <v>37.17</v>
      </c>
      <c r="E3745">
        <f>32.04</f>
        <v>32.04</v>
      </c>
    </row>
    <row r="3746" spans="1:5" x14ac:dyDescent="0.2">
      <c r="A3746" s="1">
        <v>39892</v>
      </c>
      <c r="B3746">
        <f>45.89</f>
        <v>45.89</v>
      </c>
      <c r="C3746">
        <f>43.4136</f>
        <v>43.413600000000002</v>
      </c>
      <c r="D3746">
        <f>37.84</f>
        <v>37.840000000000003</v>
      </c>
      <c r="E3746">
        <f>35.73</f>
        <v>35.729999999999997</v>
      </c>
    </row>
    <row r="3747" spans="1:5" x14ac:dyDescent="0.2">
      <c r="A3747" s="1">
        <v>39891</v>
      </c>
      <c r="B3747">
        <f>43.68</f>
        <v>43.68</v>
      </c>
      <c r="C3747">
        <f>42.6267</f>
        <v>42.6267</v>
      </c>
      <c r="D3747">
        <f>38.79</f>
        <v>38.79</v>
      </c>
      <c r="E3747">
        <f>36.5</f>
        <v>36.5</v>
      </c>
    </row>
    <row r="3748" spans="1:5" x14ac:dyDescent="0.2">
      <c r="A3748" s="1">
        <v>39890</v>
      </c>
      <c r="B3748">
        <f>40.06</f>
        <v>40.06</v>
      </c>
      <c r="C3748">
        <f>42.9651</f>
        <v>42.9651</v>
      </c>
      <c r="D3748">
        <f>39.13</f>
        <v>39.130000000000003</v>
      </c>
      <c r="E3748">
        <f>37.71</f>
        <v>37.71</v>
      </c>
    </row>
    <row r="3749" spans="1:5" x14ac:dyDescent="0.2">
      <c r="A3749" s="1">
        <v>39889</v>
      </c>
      <c r="B3749">
        <f>40.8</f>
        <v>40.799999999999997</v>
      </c>
      <c r="C3749">
        <f>43.4147</f>
        <v>43.414700000000003</v>
      </c>
      <c r="D3749">
        <f>38.69</f>
        <v>38.69</v>
      </c>
      <c r="E3749">
        <f>37.61</f>
        <v>37.61</v>
      </c>
    </row>
    <row r="3750" spans="1:5" x14ac:dyDescent="0.2">
      <c r="A3750" s="1">
        <v>39888</v>
      </c>
      <c r="B3750">
        <f>43.74</f>
        <v>43.74</v>
      </c>
      <c r="C3750">
        <f>43.5812</f>
        <v>43.581200000000003</v>
      </c>
      <c r="D3750">
        <f>38.77</f>
        <v>38.770000000000003</v>
      </c>
      <c r="E3750">
        <f>36.69</f>
        <v>36.69</v>
      </c>
    </row>
    <row r="3751" spans="1:5" x14ac:dyDescent="0.2">
      <c r="A3751" s="1">
        <v>39885</v>
      </c>
      <c r="B3751">
        <f>42.36</f>
        <v>42.36</v>
      </c>
      <c r="C3751">
        <f>43.8933</f>
        <v>43.893300000000004</v>
      </c>
      <c r="D3751">
        <f>40.26</f>
        <v>40.26</v>
      </c>
      <c r="E3751">
        <f>36.97</f>
        <v>36.97</v>
      </c>
    </row>
    <row r="3752" spans="1:5" x14ac:dyDescent="0.2">
      <c r="A3752" s="1">
        <v>39884</v>
      </c>
      <c r="B3752">
        <f>41.18</f>
        <v>41.18</v>
      </c>
      <c r="C3752">
        <f>45.351</f>
        <v>45.350999999999999</v>
      </c>
      <c r="D3752">
        <f>41.57</f>
        <v>41.57</v>
      </c>
      <c r="E3752">
        <f>39.16</f>
        <v>39.159999999999997</v>
      </c>
    </row>
    <row r="3753" spans="1:5" x14ac:dyDescent="0.2">
      <c r="A3753" s="1">
        <v>39883</v>
      </c>
      <c r="B3753">
        <f>43.61</f>
        <v>43.61</v>
      </c>
      <c r="C3753">
        <f>45.0484</f>
        <v>45.048400000000001</v>
      </c>
      <c r="D3753">
        <f>40.65</f>
        <v>40.65</v>
      </c>
      <c r="E3753">
        <f>39.87</f>
        <v>39.869999999999997</v>
      </c>
    </row>
    <row r="3754" spans="1:5" x14ac:dyDescent="0.2">
      <c r="A3754" s="1">
        <v>39882</v>
      </c>
      <c r="B3754">
        <f>44.37</f>
        <v>44.37</v>
      </c>
      <c r="C3754">
        <f>45.3903</f>
        <v>45.390300000000003</v>
      </c>
      <c r="D3754">
        <f>40.29</f>
        <v>40.29</v>
      </c>
      <c r="E3754">
        <f>40.88</f>
        <v>40.880000000000003</v>
      </c>
    </row>
    <row r="3755" spans="1:5" x14ac:dyDescent="0.2">
      <c r="A3755" s="1">
        <v>39881</v>
      </c>
      <c r="B3755">
        <f>49.68</f>
        <v>49.68</v>
      </c>
      <c r="C3755">
        <f>47.2138</f>
        <v>47.213799999999999</v>
      </c>
      <c r="D3755">
        <f>43.23</f>
        <v>43.23</v>
      </c>
      <c r="E3755">
        <f>41.18</f>
        <v>41.18</v>
      </c>
    </row>
    <row r="3756" spans="1:5" x14ac:dyDescent="0.2">
      <c r="A3756" s="1">
        <v>39878</v>
      </c>
      <c r="B3756">
        <f>49.33</f>
        <v>49.33</v>
      </c>
      <c r="C3756">
        <f>49.5518</f>
        <v>49.5518</v>
      </c>
      <c r="D3756">
        <f>44.35</f>
        <v>44.35</v>
      </c>
      <c r="E3756">
        <f>41.35</f>
        <v>41.35</v>
      </c>
    </row>
    <row r="3757" spans="1:5" x14ac:dyDescent="0.2">
      <c r="A3757" s="1">
        <v>39877</v>
      </c>
      <c r="B3757">
        <f>50.17</f>
        <v>50.17</v>
      </c>
      <c r="C3757">
        <f>47.161</f>
        <v>47.161000000000001</v>
      </c>
      <c r="D3757">
        <f>43.87</f>
        <v>43.87</v>
      </c>
      <c r="E3757">
        <f>42.02</f>
        <v>42.02</v>
      </c>
    </row>
    <row r="3758" spans="1:5" x14ac:dyDescent="0.2">
      <c r="A3758" s="1">
        <v>39876</v>
      </c>
      <c r="B3758">
        <f>47.56</f>
        <v>47.56</v>
      </c>
      <c r="C3758">
        <f>44.6056</f>
        <v>44.605600000000003</v>
      </c>
      <c r="D3758">
        <f>42.66</f>
        <v>42.66</v>
      </c>
      <c r="E3758">
        <f>41.79</f>
        <v>41.79</v>
      </c>
    </row>
    <row r="3759" spans="1:5" x14ac:dyDescent="0.2">
      <c r="A3759" s="1">
        <v>39875</v>
      </c>
      <c r="B3759">
        <f>50.93</f>
        <v>50.93</v>
      </c>
      <c r="C3759">
        <f>48.6386</f>
        <v>48.638599999999997</v>
      </c>
      <c r="D3759">
        <f>46.47</f>
        <v>46.47</v>
      </c>
      <c r="E3759">
        <f>42.47</f>
        <v>42.47</v>
      </c>
    </row>
    <row r="3760" spans="1:5" x14ac:dyDescent="0.2">
      <c r="A3760" s="1">
        <v>39874</v>
      </c>
      <c r="B3760">
        <f>52.65</f>
        <v>52.65</v>
      </c>
      <c r="C3760">
        <f>49.5401</f>
        <v>49.540100000000002</v>
      </c>
      <c r="D3760">
        <f>46.07</f>
        <v>46.07</v>
      </c>
      <c r="E3760">
        <f>42.07</f>
        <v>42.07</v>
      </c>
    </row>
    <row r="3761" spans="1:5" x14ac:dyDescent="0.2">
      <c r="A3761" s="1">
        <v>39871</v>
      </c>
      <c r="B3761">
        <f>46.35</f>
        <v>46.35</v>
      </c>
      <c r="C3761">
        <f>42.8901</f>
        <v>42.890099999999997</v>
      </c>
      <c r="D3761">
        <f>38.47</f>
        <v>38.47</v>
      </c>
      <c r="E3761">
        <f>42.37</f>
        <v>42.37</v>
      </c>
    </row>
    <row r="3762" spans="1:5" x14ac:dyDescent="0.2">
      <c r="A3762" s="1">
        <v>39870</v>
      </c>
      <c r="B3762">
        <f>44.66</f>
        <v>44.66</v>
      </c>
      <c r="C3762">
        <f>42.3922</f>
        <v>42.392200000000003</v>
      </c>
      <c r="D3762">
        <f>38.23</f>
        <v>38.229999999999997</v>
      </c>
      <c r="E3762">
        <f>40.97</f>
        <v>40.97</v>
      </c>
    </row>
    <row r="3763" spans="1:5" x14ac:dyDescent="0.2">
      <c r="A3763" s="1">
        <v>39869</v>
      </c>
      <c r="B3763">
        <f>44.67</f>
        <v>44.67</v>
      </c>
      <c r="C3763">
        <f>47.2166</f>
        <v>47.2166</v>
      </c>
      <c r="D3763">
        <f>41.2</f>
        <v>41.2</v>
      </c>
      <c r="E3763">
        <f>40.69</f>
        <v>40.69</v>
      </c>
    </row>
    <row r="3764" spans="1:5" x14ac:dyDescent="0.2">
      <c r="A3764" s="1">
        <v>39868</v>
      </c>
      <c r="B3764">
        <f>45.49</f>
        <v>45.49</v>
      </c>
      <c r="C3764">
        <f>49.5507</f>
        <v>49.550699999999999</v>
      </c>
      <c r="D3764">
        <f>44.18</f>
        <v>44.18</v>
      </c>
      <c r="E3764">
        <f>41.32</f>
        <v>41.32</v>
      </c>
    </row>
    <row r="3765" spans="1:5" x14ac:dyDescent="0.2">
      <c r="A3765" s="1">
        <v>39867</v>
      </c>
      <c r="B3765">
        <f>52.62</f>
        <v>52.62</v>
      </c>
      <c r="C3765">
        <f>50.2729</f>
        <v>50.2729</v>
      </c>
      <c r="D3765">
        <f>45.58</f>
        <v>45.58</v>
      </c>
      <c r="E3765">
        <f>39.6</f>
        <v>39.6</v>
      </c>
    </row>
    <row r="3766" spans="1:5" x14ac:dyDescent="0.2">
      <c r="A3766" s="1">
        <v>39864</v>
      </c>
      <c r="B3766">
        <f>49.3</f>
        <v>49.3</v>
      </c>
      <c r="C3766">
        <f>48.5138</f>
        <v>48.513800000000003</v>
      </c>
      <c r="D3766">
        <f>42.68</f>
        <v>42.68</v>
      </c>
      <c r="E3766">
        <f>40.63</f>
        <v>40.630000000000003</v>
      </c>
    </row>
    <row r="3767" spans="1:5" x14ac:dyDescent="0.2">
      <c r="A3767" s="1">
        <v>39863</v>
      </c>
      <c r="B3767">
        <f>47.08</f>
        <v>47.08</v>
      </c>
      <c r="C3767">
        <f>45.144</f>
        <v>45.143999999999998</v>
      </c>
      <c r="D3767">
        <f>40.21</f>
        <v>40.21</v>
      </c>
      <c r="E3767">
        <f>39</f>
        <v>39</v>
      </c>
    </row>
    <row r="3768" spans="1:5" x14ac:dyDescent="0.2">
      <c r="A3768" s="1">
        <v>39862</v>
      </c>
      <c r="B3768">
        <f>48.46</f>
        <v>48.46</v>
      </c>
      <c r="C3768">
        <f>47.9571</f>
        <v>47.957099999999997</v>
      </c>
      <c r="D3768">
        <f>42.41</f>
        <v>42.41</v>
      </c>
      <c r="E3768">
        <f>39.37</f>
        <v>39.369999999999997</v>
      </c>
    </row>
    <row r="3769" spans="1:5" x14ac:dyDescent="0.2">
      <c r="A3769" s="1">
        <v>39861</v>
      </c>
      <c r="B3769">
        <f>48.66</f>
        <v>48.66</v>
      </c>
      <c r="C3769">
        <f>48.4869</f>
        <v>48.486899999999999</v>
      </c>
      <c r="D3769">
        <f>43.8</f>
        <v>43.8</v>
      </c>
      <c r="E3769">
        <f>39.14</f>
        <v>39.14</v>
      </c>
    </row>
    <row r="3770" spans="1:5" x14ac:dyDescent="0.2">
      <c r="A3770" s="1">
        <v>39860</v>
      </c>
      <c r="B3770" t="e">
        <f>NA()</f>
        <v>#N/A</v>
      </c>
      <c r="C3770">
        <f>44.3442</f>
        <v>44.344200000000001</v>
      </c>
      <c r="D3770">
        <f>40.99</f>
        <v>40.99</v>
      </c>
      <c r="E3770">
        <f>37.97</f>
        <v>37.97</v>
      </c>
    </row>
    <row r="3771" spans="1:5" x14ac:dyDescent="0.2">
      <c r="A3771" s="1">
        <v>39857</v>
      </c>
      <c r="B3771">
        <f>42.93</f>
        <v>42.93</v>
      </c>
      <c r="C3771">
        <f>41.8443</f>
        <v>41.844299999999997</v>
      </c>
      <c r="D3771">
        <f>39.85</f>
        <v>39.85</v>
      </c>
      <c r="E3771">
        <f>38.16</f>
        <v>38.159999999999997</v>
      </c>
    </row>
    <row r="3772" spans="1:5" x14ac:dyDescent="0.2">
      <c r="A3772" s="1">
        <v>39856</v>
      </c>
      <c r="B3772">
        <f>41.25</f>
        <v>41.25</v>
      </c>
      <c r="C3772">
        <f>44.3833</f>
        <v>44.383299999999998</v>
      </c>
      <c r="D3772">
        <f>42.65</f>
        <v>42.65</v>
      </c>
      <c r="E3772">
        <f>38.98</f>
        <v>38.979999999999997</v>
      </c>
    </row>
    <row r="3773" spans="1:5" x14ac:dyDescent="0.2">
      <c r="A3773" s="1">
        <v>39855</v>
      </c>
      <c r="B3773">
        <f>44.53</f>
        <v>44.53</v>
      </c>
      <c r="C3773">
        <f>43.4229</f>
        <v>43.422899999999998</v>
      </c>
      <c r="D3773">
        <f>40</f>
        <v>40</v>
      </c>
      <c r="E3773">
        <f>38.54</f>
        <v>38.54</v>
      </c>
    </row>
    <row r="3774" spans="1:5" x14ac:dyDescent="0.2">
      <c r="A3774" s="1">
        <v>39854</v>
      </c>
      <c r="B3774">
        <f>46.67</f>
        <v>46.67</v>
      </c>
      <c r="C3774">
        <f>44.8143</f>
        <v>44.814300000000003</v>
      </c>
      <c r="D3774">
        <f>41.04</f>
        <v>41.04</v>
      </c>
      <c r="E3774">
        <f>38.11</f>
        <v>38.11</v>
      </c>
    </row>
    <row r="3775" spans="1:5" x14ac:dyDescent="0.2">
      <c r="A3775" s="1">
        <v>39853</v>
      </c>
      <c r="B3775">
        <f>43.64</f>
        <v>43.64</v>
      </c>
      <c r="C3775">
        <f>42.2965</f>
        <v>42.296500000000002</v>
      </c>
      <c r="D3775">
        <f>38.71</f>
        <v>38.71</v>
      </c>
      <c r="E3775">
        <f>38.04</f>
        <v>38.04</v>
      </c>
    </row>
    <row r="3776" spans="1:5" x14ac:dyDescent="0.2">
      <c r="A3776" s="1">
        <v>39850</v>
      </c>
      <c r="B3776">
        <f>43.37</f>
        <v>43.37</v>
      </c>
      <c r="C3776">
        <f>41.8338</f>
        <v>41.833799999999997</v>
      </c>
      <c r="D3776">
        <f>38.67</f>
        <v>38.67</v>
      </c>
      <c r="E3776">
        <f>39.27</f>
        <v>39.270000000000003</v>
      </c>
    </row>
    <row r="3777" spans="1:5" x14ac:dyDescent="0.2">
      <c r="A3777" s="1">
        <v>39849</v>
      </c>
      <c r="B3777">
        <f>43.73</f>
        <v>43.73</v>
      </c>
      <c r="C3777">
        <f>42.5783</f>
        <v>42.578299999999999</v>
      </c>
      <c r="D3777">
        <f>40.45</f>
        <v>40.450000000000003</v>
      </c>
      <c r="E3777">
        <f>40.61</f>
        <v>40.61</v>
      </c>
    </row>
    <row r="3778" spans="1:5" x14ac:dyDescent="0.2">
      <c r="A3778" s="1">
        <v>39848</v>
      </c>
      <c r="B3778">
        <f>43.85</f>
        <v>43.85</v>
      </c>
      <c r="C3778">
        <f>41.6801</f>
        <v>41.680100000000003</v>
      </c>
      <c r="D3778">
        <f>40.37</f>
        <v>40.369999999999997</v>
      </c>
      <c r="E3778">
        <f>40.78</f>
        <v>40.78</v>
      </c>
    </row>
    <row r="3779" spans="1:5" x14ac:dyDescent="0.2">
      <c r="A3779" s="1">
        <v>39847</v>
      </c>
      <c r="B3779">
        <f>43.06</f>
        <v>43.06</v>
      </c>
      <c r="C3779">
        <f>45.1034</f>
        <v>45.103400000000001</v>
      </c>
      <c r="D3779">
        <f>42.58</f>
        <v>42.58</v>
      </c>
      <c r="E3779">
        <f>42.65</f>
        <v>42.65</v>
      </c>
    </row>
    <row r="3780" spans="1:5" x14ac:dyDescent="0.2">
      <c r="A3780" s="1">
        <v>39846</v>
      </c>
      <c r="B3780">
        <f>45.52</f>
        <v>45.52</v>
      </c>
      <c r="C3780">
        <f>47.7669</f>
        <v>47.7669</v>
      </c>
      <c r="D3780">
        <f>46.16</f>
        <v>46.16</v>
      </c>
      <c r="E3780">
        <f>42.52</f>
        <v>42.52</v>
      </c>
    </row>
    <row r="3781" spans="1:5" x14ac:dyDescent="0.2">
      <c r="A3781" s="1">
        <v>39843</v>
      </c>
      <c r="B3781">
        <f>44.84</f>
        <v>44.84</v>
      </c>
      <c r="C3781">
        <f>44.7879</f>
        <v>44.7879</v>
      </c>
      <c r="D3781">
        <f>42.13</f>
        <v>42.13</v>
      </c>
      <c r="E3781">
        <f>41.62</f>
        <v>41.62</v>
      </c>
    </row>
    <row r="3782" spans="1:5" x14ac:dyDescent="0.2">
      <c r="A3782" s="1">
        <v>39842</v>
      </c>
      <c r="B3782">
        <f>42.63</f>
        <v>42.63</v>
      </c>
      <c r="C3782">
        <f>44.0922</f>
        <v>44.092199999999998</v>
      </c>
      <c r="D3782">
        <f>41.72</f>
        <v>41.72</v>
      </c>
      <c r="E3782">
        <f>42.05</f>
        <v>42.05</v>
      </c>
    </row>
    <row r="3783" spans="1:5" x14ac:dyDescent="0.2">
      <c r="A3783" s="1">
        <v>39841</v>
      </c>
      <c r="B3783">
        <f>39.66</f>
        <v>39.659999999999997</v>
      </c>
      <c r="C3783">
        <f>42.9118</f>
        <v>42.911799999999999</v>
      </c>
      <c r="D3783">
        <f>40.16</f>
        <v>40.159999999999997</v>
      </c>
      <c r="E3783">
        <f>42.18</f>
        <v>42.18</v>
      </c>
    </row>
    <row r="3784" spans="1:5" x14ac:dyDescent="0.2">
      <c r="A3784" s="1">
        <v>39840</v>
      </c>
      <c r="B3784">
        <f>42.25</f>
        <v>42.25</v>
      </c>
      <c r="C3784">
        <f>44.5956</f>
        <v>44.595599999999997</v>
      </c>
      <c r="D3784">
        <f>41.96</f>
        <v>41.96</v>
      </c>
      <c r="E3784">
        <f>43.62</f>
        <v>43.62</v>
      </c>
    </row>
    <row r="3785" spans="1:5" x14ac:dyDescent="0.2">
      <c r="A3785" s="1">
        <v>39839</v>
      </c>
      <c r="B3785">
        <f>45.69</f>
        <v>45.69</v>
      </c>
      <c r="C3785">
        <f>47.0806</f>
        <v>47.080599999999997</v>
      </c>
      <c r="D3785">
        <f>43.31</f>
        <v>43.31</v>
      </c>
      <c r="E3785">
        <f>44.76</f>
        <v>44.76</v>
      </c>
    </row>
    <row r="3786" spans="1:5" x14ac:dyDescent="0.2">
      <c r="A3786" s="1">
        <v>39836</v>
      </c>
      <c r="B3786">
        <f>47.27</f>
        <v>47.27</v>
      </c>
      <c r="C3786">
        <f>50.2258</f>
        <v>50.2258</v>
      </c>
      <c r="D3786">
        <f>45.49</f>
        <v>45.49</v>
      </c>
      <c r="E3786">
        <f>47.69</f>
        <v>47.69</v>
      </c>
    </row>
    <row r="3787" spans="1:5" x14ac:dyDescent="0.2">
      <c r="A3787" s="1">
        <v>39835</v>
      </c>
      <c r="B3787">
        <f>47.29</f>
        <v>47.29</v>
      </c>
      <c r="C3787">
        <f>50.2596</f>
        <v>50.259599999999999</v>
      </c>
      <c r="D3787">
        <f>46.08</f>
        <v>46.08</v>
      </c>
      <c r="E3787">
        <f>45.93</f>
        <v>45.93</v>
      </c>
    </row>
    <row r="3788" spans="1:5" x14ac:dyDescent="0.2">
      <c r="A3788" s="1">
        <v>39834</v>
      </c>
      <c r="B3788">
        <f>46.42</f>
        <v>46.42</v>
      </c>
      <c r="C3788">
        <f>52.8565</f>
        <v>52.856499999999997</v>
      </c>
      <c r="D3788">
        <f>46.7</f>
        <v>46.7</v>
      </c>
      <c r="E3788">
        <f>45.77</f>
        <v>45.77</v>
      </c>
    </row>
    <row r="3789" spans="1:5" x14ac:dyDescent="0.2">
      <c r="A3789" s="1">
        <v>39833</v>
      </c>
      <c r="B3789">
        <f>56.65</f>
        <v>56.65</v>
      </c>
      <c r="C3789">
        <f>53.5249</f>
        <v>53.524900000000002</v>
      </c>
      <c r="D3789">
        <f>47.49</f>
        <v>47.49</v>
      </c>
      <c r="E3789">
        <f>44.25</f>
        <v>44.25</v>
      </c>
    </row>
    <row r="3790" spans="1:5" x14ac:dyDescent="0.2">
      <c r="A3790" s="1">
        <v>39832</v>
      </c>
      <c r="B3790" t="e">
        <f>NA()</f>
        <v>#N/A</v>
      </c>
      <c r="C3790">
        <f>50.4385</f>
        <v>50.438499999999998</v>
      </c>
      <c r="D3790">
        <f>44.99</f>
        <v>44.99</v>
      </c>
      <c r="E3790">
        <f>44.15</f>
        <v>44.15</v>
      </c>
    </row>
    <row r="3791" spans="1:5" x14ac:dyDescent="0.2">
      <c r="A3791" s="1">
        <v>39829</v>
      </c>
      <c r="B3791">
        <f>46.11</f>
        <v>46.11</v>
      </c>
      <c r="C3791">
        <f>48.8924</f>
        <v>48.892400000000002</v>
      </c>
      <c r="D3791">
        <f>43.08</f>
        <v>43.08</v>
      </c>
      <c r="E3791">
        <f>42.41</f>
        <v>42.41</v>
      </c>
    </row>
    <row r="3792" spans="1:5" x14ac:dyDescent="0.2">
      <c r="A3792" s="1">
        <v>39828</v>
      </c>
      <c r="B3792">
        <f>51</f>
        <v>51</v>
      </c>
      <c r="C3792">
        <f>56.3255</f>
        <v>56.325499999999998</v>
      </c>
      <c r="D3792">
        <f>49.53</f>
        <v>49.53</v>
      </c>
      <c r="E3792">
        <f>43.6</f>
        <v>43.6</v>
      </c>
    </row>
    <row r="3793" spans="1:5" x14ac:dyDescent="0.2">
      <c r="A3793" s="1">
        <v>39827</v>
      </c>
      <c r="B3793">
        <f>49.14</f>
        <v>49.14</v>
      </c>
      <c r="C3793">
        <f>52.9712</f>
        <v>52.971200000000003</v>
      </c>
      <c r="D3793">
        <f>47.86</f>
        <v>47.86</v>
      </c>
      <c r="E3793">
        <f>43.57</f>
        <v>43.57</v>
      </c>
    </row>
    <row r="3794" spans="1:5" x14ac:dyDescent="0.2">
      <c r="A3794" s="1">
        <v>39826</v>
      </c>
      <c r="B3794">
        <f>43.27</f>
        <v>43.27</v>
      </c>
      <c r="C3794">
        <f>46.211</f>
        <v>46.210999999999999</v>
      </c>
      <c r="D3794">
        <f>39.42</f>
        <v>39.42</v>
      </c>
      <c r="E3794">
        <f>42.17</f>
        <v>42.17</v>
      </c>
    </row>
    <row r="3795" spans="1:5" x14ac:dyDescent="0.2">
      <c r="A3795" s="1">
        <v>39825</v>
      </c>
      <c r="B3795">
        <f>45.84</f>
        <v>45.84</v>
      </c>
      <c r="C3795">
        <f>44.3165</f>
        <v>44.316499999999998</v>
      </c>
      <c r="D3795">
        <f>38.4</f>
        <v>38.4</v>
      </c>
      <c r="E3795">
        <f>40.39</f>
        <v>40.39</v>
      </c>
    </row>
    <row r="3796" spans="1:5" x14ac:dyDescent="0.2">
      <c r="A3796" s="1">
        <v>39822</v>
      </c>
      <c r="B3796">
        <f>42.82</f>
        <v>42.82</v>
      </c>
      <c r="C3796">
        <f>41.2944</f>
        <v>41.294400000000003</v>
      </c>
      <c r="D3796">
        <f>36.88</f>
        <v>36.880000000000003</v>
      </c>
      <c r="E3796">
        <f>41.77</f>
        <v>41.77</v>
      </c>
    </row>
    <row r="3797" spans="1:5" x14ac:dyDescent="0.2">
      <c r="A3797" s="1">
        <v>39821</v>
      </c>
      <c r="B3797">
        <f>42.56</f>
        <v>42.56</v>
      </c>
      <c r="C3797">
        <f>41.7652</f>
        <v>41.7652</v>
      </c>
      <c r="D3797">
        <f>35.95</f>
        <v>35.950000000000003</v>
      </c>
      <c r="E3797">
        <f>42.74</f>
        <v>42.74</v>
      </c>
    </row>
    <row r="3798" spans="1:5" x14ac:dyDescent="0.2">
      <c r="A3798" s="1">
        <v>39820</v>
      </c>
      <c r="B3798">
        <f>43.39</f>
        <v>43.39</v>
      </c>
      <c r="C3798">
        <f>40.8587</f>
        <v>40.858699999999999</v>
      </c>
      <c r="D3798">
        <f>37.46</f>
        <v>37.46</v>
      </c>
      <c r="E3798">
        <f>41.17</f>
        <v>41.17</v>
      </c>
    </row>
    <row r="3799" spans="1:5" x14ac:dyDescent="0.2">
      <c r="A3799" s="1">
        <v>39819</v>
      </c>
      <c r="B3799">
        <f>38.56</f>
        <v>38.56</v>
      </c>
      <c r="C3799">
        <f>40.2438</f>
        <v>40.2438</v>
      </c>
      <c r="D3799">
        <f>35.25</f>
        <v>35.25</v>
      </c>
      <c r="E3799">
        <f>41.14</f>
        <v>41.14</v>
      </c>
    </row>
    <row r="3800" spans="1:5" x14ac:dyDescent="0.2">
      <c r="A3800" s="1">
        <v>39818</v>
      </c>
      <c r="B3800">
        <f>39.08</f>
        <v>39.08</v>
      </c>
      <c r="C3800">
        <f>41.2661</f>
        <v>41.266100000000002</v>
      </c>
      <c r="D3800">
        <f>36.48</f>
        <v>36.479999999999997</v>
      </c>
      <c r="E3800">
        <f>41.84</f>
        <v>41.84</v>
      </c>
    </row>
    <row r="3801" spans="1:5" x14ac:dyDescent="0.2">
      <c r="A3801" s="1">
        <v>39815</v>
      </c>
      <c r="B3801">
        <f>39.19</f>
        <v>39.19</v>
      </c>
      <c r="C3801">
        <f>42.0759</f>
        <v>42.075899999999997</v>
      </c>
      <c r="D3801">
        <f>36.92</f>
        <v>36.92</v>
      </c>
      <c r="E3801">
        <f>42.91</f>
        <v>42.91</v>
      </c>
    </row>
    <row r="3802" spans="1:5" x14ac:dyDescent="0.2">
      <c r="A3802" s="1">
        <v>39813</v>
      </c>
      <c r="B3802">
        <f>40</f>
        <v>40</v>
      </c>
      <c r="C3802" t="e">
        <f>NA()</f>
        <v>#N/A</v>
      </c>
      <c r="D3802">
        <f>38.78</f>
        <v>38.78</v>
      </c>
      <c r="E3802">
        <f>43.02</f>
        <v>43.02</v>
      </c>
    </row>
    <row r="3803" spans="1:5" x14ac:dyDescent="0.2">
      <c r="A3803" s="1">
        <v>39812</v>
      </c>
      <c r="B3803">
        <f>41.63</f>
        <v>41.63</v>
      </c>
      <c r="C3803">
        <f>43.867</f>
        <v>43.866999999999997</v>
      </c>
      <c r="D3803">
        <f>39.09</f>
        <v>39.090000000000003</v>
      </c>
      <c r="E3803">
        <f>44.62</f>
        <v>44.62</v>
      </c>
    </row>
    <row r="3804" spans="1:5" x14ac:dyDescent="0.2">
      <c r="A3804" s="1">
        <v>39811</v>
      </c>
      <c r="B3804">
        <f>43.9</f>
        <v>43.9</v>
      </c>
      <c r="C3804">
        <f>43.1535</f>
        <v>43.153500000000001</v>
      </c>
      <c r="D3804">
        <f>39.17</f>
        <v>39.17</v>
      </c>
      <c r="E3804">
        <f>43.49</f>
        <v>43.49</v>
      </c>
    </row>
    <row r="3805" spans="1:5" x14ac:dyDescent="0.2">
      <c r="A3805" s="1">
        <v>39808</v>
      </c>
      <c r="B3805">
        <f>43.38</f>
        <v>43.38</v>
      </c>
      <c r="C3805" t="e">
        <f>NA()</f>
        <v>#N/A</v>
      </c>
      <c r="D3805" t="e">
        <f>NA()</f>
        <v>#N/A</v>
      </c>
      <c r="E3805" t="e">
        <f>NA()</f>
        <v>#N/A</v>
      </c>
    </row>
    <row r="3806" spans="1:5" x14ac:dyDescent="0.2">
      <c r="A3806" s="1">
        <v>39806</v>
      </c>
      <c r="B3806">
        <f>44.21</f>
        <v>44.21</v>
      </c>
      <c r="C3806" t="e">
        <f>NA()</f>
        <v>#N/A</v>
      </c>
      <c r="D3806">
        <f>36.64</f>
        <v>36.64</v>
      </c>
      <c r="E3806">
        <f>44.32</f>
        <v>44.32</v>
      </c>
    </row>
    <row r="3807" spans="1:5" x14ac:dyDescent="0.2">
      <c r="A3807" s="1">
        <v>39805</v>
      </c>
      <c r="B3807">
        <f>45.02</f>
        <v>45.02</v>
      </c>
      <c r="C3807">
        <f>40.2933</f>
        <v>40.293300000000002</v>
      </c>
      <c r="D3807">
        <f>36.53</f>
        <v>36.53</v>
      </c>
      <c r="E3807">
        <f>44.14</f>
        <v>44.14</v>
      </c>
    </row>
    <row r="3808" spans="1:5" x14ac:dyDescent="0.2">
      <c r="A3808" s="1">
        <v>39804</v>
      </c>
      <c r="B3808">
        <f>44.56</f>
        <v>44.56</v>
      </c>
      <c r="C3808">
        <f>40.2847</f>
        <v>40.284700000000001</v>
      </c>
      <c r="D3808">
        <f>36.87</f>
        <v>36.869999999999997</v>
      </c>
      <c r="E3808">
        <f>44.42</f>
        <v>44.42</v>
      </c>
    </row>
    <row r="3809" spans="1:5" x14ac:dyDescent="0.2">
      <c r="A3809" s="1">
        <v>39801</v>
      </c>
      <c r="B3809">
        <f>44.93</f>
        <v>44.93</v>
      </c>
      <c r="C3809">
        <f>41.3543</f>
        <v>41.354300000000002</v>
      </c>
      <c r="D3809">
        <f>38.49</f>
        <v>38.49</v>
      </c>
      <c r="E3809">
        <f>45.21</f>
        <v>45.21</v>
      </c>
    </row>
    <row r="3810" spans="1:5" x14ac:dyDescent="0.2">
      <c r="A3810" s="1">
        <v>39800</v>
      </c>
      <c r="B3810">
        <f>47.34</f>
        <v>47.34</v>
      </c>
      <c r="C3810">
        <f>46.9906</f>
        <v>46.990600000000001</v>
      </c>
      <c r="D3810">
        <f>43.03</f>
        <v>43.03</v>
      </c>
      <c r="E3810" t="e">
        <f>NA()</f>
        <v>#N/A</v>
      </c>
    </row>
    <row r="3811" spans="1:5" x14ac:dyDescent="0.2">
      <c r="A3811" s="1">
        <v>39799</v>
      </c>
      <c r="B3811">
        <f>49.84</f>
        <v>49.84</v>
      </c>
      <c r="C3811">
        <f>49.6669</f>
        <v>49.666899999999998</v>
      </c>
      <c r="D3811">
        <f>45.92</f>
        <v>45.92</v>
      </c>
      <c r="E3811">
        <f>43.83</f>
        <v>43.83</v>
      </c>
    </row>
    <row r="3812" spans="1:5" x14ac:dyDescent="0.2">
      <c r="A3812" s="1">
        <v>39798</v>
      </c>
      <c r="B3812">
        <f>52.37</f>
        <v>52.37</v>
      </c>
      <c r="C3812">
        <f>50.8983</f>
        <v>50.898299999999999</v>
      </c>
      <c r="D3812">
        <f>46.94</f>
        <v>46.94</v>
      </c>
      <c r="E3812" t="e">
        <f>NA()</f>
        <v>#N/A</v>
      </c>
    </row>
    <row r="3813" spans="1:5" x14ac:dyDescent="0.2">
      <c r="A3813" s="1">
        <v>39797</v>
      </c>
      <c r="B3813">
        <f>56.76</f>
        <v>56.76</v>
      </c>
      <c r="C3813">
        <f>53.2142</f>
        <v>53.214199999999998</v>
      </c>
      <c r="D3813">
        <f>48.46</f>
        <v>48.46</v>
      </c>
      <c r="E3813">
        <f>47.73</f>
        <v>47.73</v>
      </c>
    </row>
    <row r="3814" spans="1:5" x14ac:dyDescent="0.2">
      <c r="A3814" s="1">
        <v>39794</v>
      </c>
      <c r="B3814">
        <f>54.28</f>
        <v>54.28</v>
      </c>
      <c r="C3814">
        <f>52.8018</f>
        <v>52.8018</v>
      </c>
      <c r="D3814">
        <f>48.39</f>
        <v>48.39</v>
      </c>
      <c r="E3814">
        <f>47.43</f>
        <v>47.43</v>
      </c>
    </row>
    <row r="3815" spans="1:5" x14ac:dyDescent="0.2">
      <c r="A3815" s="1">
        <v>39793</v>
      </c>
      <c r="B3815">
        <f>55.78</f>
        <v>55.78</v>
      </c>
      <c r="C3815">
        <f>48.9477</f>
        <v>48.947699999999998</v>
      </c>
      <c r="D3815">
        <f>44.91</f>
        <v>44.91</v>
      </c>
      <c r="E3815">
        <f>47.31</f>
        <v>47.31</v>
      </c>
    </row>
    <row r="3816" spans="1:5" x14ac:dyDescent="0.2">
      <c r="A3816" s="1">
        <v>39792</v>
      </c>
      <c r="B3816">
        <f>55.73</f>
        <v>55.73</v>
      </c>
      <c r="C3816">
        <f>50.4021</f>
        <v>50.402099999999997</v>
      </c>
      <c r="D3816">
        <f>46.43</f>
        <v>46.43</v>
      </c>
      <c r="E3816">
        <f>46.61</f>
        <v>46.61</v>
      </c>
    </row>
    <row r="3817" spans="1:5" x14ac:dyDescent="0.2">
      <c r="A3817" s="1">
        <v>39791</v>
      </c>
      <c r="B3817">
        <f>58.91</f>
        <v>58.91</v>
      </c>
      <c r="C3817">
        <f>52.6486</f>
        <v>52.648600000000002</v>
      </c>
      <c r="D3817">
        <f>48.31</f>
        <v>48.31</v>
      </c>
      <c r="E3817">
        <f>48.14</f>
        <v>48.14</v>
      </c>
    </row>
    <row r="3818" spans="1:5" x14ac:dyDescent="0.2">
      <c r="A3818" s="1">
        <v>39790</v>
      </c>
      <c r="B3818">
        <f>58.49</f>
        <v>58.49</v>
      </c>
      <c r="C3818">
        <f>54.4561</f>
        <v>54.456099999999999</v>
      </c>
      <c r="D3818">
        <f>50.34</f>
        <v>50.34</v>
      </c>
      <c r="E3818">
        <f>49.89</f>
        <v>49.89</v>
      </c>
    </row>
    <row r="3819" spans="1:5" x14ac:dyDescent="0.2">
      <c r="A3819" s="1">
        <v>39787</v>
      </c>
      <c r="B3819">
        <f>59.93</f>
        <v>59.93</v>
      </c>
      <c r="C3819">
        <f>58.7765</f>
        <v>58.776499999999999</v>
      </c>
      <c r="D3819">
        <f>54.46</f>
        <v>54.46</v>
      </c>
      <c r="E3819">
        <f>51.18</f>
        <v>51.18</v>
      </c>
    </row>
    <row r="3820" spans="1:5" x14ac:dyDescent="0.2">
      <c r="A3820" s="1">
        <v>39786</v>
      </c>
      <c r="B3820">
        <f>63.64</f>
        <v>63.64</v>
      </c>
      <c r="C3820">
        <f>54.5307</f>
        <v>54.530700000000003</v>
      </c>
      <c r="D3820">
        <f>52.1</f>
        <v>52.1</v>
      </c>
      <c r="E3820">
        <f>51.59</f>
        <v>51.59</v>
      </c>
    </row>
    <row r="3821" spans="1:5" x14ac:dyDescent="0.2">
      <c r="A3821" s="1">
        <v>39785</v>
      </c>
      <c r="B3821">
        <f>60.72</f>
        <v>60.72</v>
      </c>
      <c r="C3821">
        <f>54.1926</f>
        <v>54.192599999999999</v>
      </c>
      <c r="D3821">
        <f>52.6</f>
        <v>52.6</v>
      </c>
      <c r="E3821">
        <f>52.2</f>
        <v>52.2</v>
      </c>
    </row>
    <row r="3822" spans="1:5" x14ac:dyDescent="0.2">
      <c r="A3822" s="1">
        <v>39784</v>
      </c>
      <c r="B3822">
        <f>62.98</f>
        <v>62.98</v>
      </c>
      <c r="C3822">
        <f>55.725</f>
        <v>55.725000000000001</v>
      </c>
      <c r="D3822">
        <f>54.3</f>
        <v>54.3</v>
      </c>
      <c r="E3822">
        <f>50.86</f>
        <v>50.86</v>
      </c>
    </row>
    <row r="3823" spans="1:5" x14ac:dyDescent="0.2">
      <c r="A3823" s="1">
        <v>39783</v>
      </c>
      <c r="B3823">
        <f>68.51</f>
        <v>68.510000000000005</v>
      </c>
      <c r="C3823">
        <f>57.5519</f>
        <v>57.551900000000003</v>
      </c>
      <c r="D3823">
        <f>56.83</f>
        <v>56.83</v>
      </c>
      <c r="E3823">
        <f>49.66</f>
        <v>49.66</v>
      </c>
    </row>
    <row r="3824" spans="1:5" x14ac:dyDescent="0.2">
      <c r="A3824" s="1">
        <v>39780</v>
      </c>
      <c r="B3824">
        <f>55.28</f>
        <v>55.28</v>
      </c>
      <c r="C3824">
        <f>51.4443</f>
        <v>51.444299999999998</v>
      </c>
      <c r="D3824">
        <f>50.1</f>
        <v>50.1</v>
      </c>
      <c r="E3824">
        <f>47.15</f>
        <v>47.15</v>
      </c>
    </row>
    <row r="3825" spans="1:5" x14ac:dyDescent="0.2">
      <c r="A3825" s="1">
        <v>39779</v>
      </c>
      <c r="B3825" t="e">
        <f>NA()</f>
        <v>#N/A</v>
      </c>
      <c r="C3825">
        <f>51.4683</f>
        <v>51.468299999999999</v>
      </c>
      <c r="D3825">
        <f>51.31</f>
        <v>51.31</v>
      </c>
      <c r="E3825">
        <f>49.04</f>
        <v>49.04</v>
      </c>
    </row>
    <row r="3826" spans="1:5" x14ac:dyDescent="0.2">
      <c r="A3826" s="1">
        <v>39778</v>
      </c>
      <c r="B3826">
        <f>54.92</f>
        <v>54.92</v>
      </c>
      <c r="C3826">
        <f>56.4852</f>
        <v>56.485199999999999</v>
      </c>
      <c r="D3826">
        <f>55.57</f>
        <v>55.57</v>
      </c>
      <c r="E3826">
        <f>51.59</f>
        <v>51.59</v>
      </c>
    </row>
    <row r="3827" spans="1:5" x14ac:dyDescent="0.2">
      <c r="A3827" s="1">
        <v>39777</v>
      </c>
      <c r="B3827">
        <f>60.9</f>
        <v>60.9</v>
      </c>
      <c r="C3827">
        <f>61.2037</f>
        <v>61.203699999999998</v>
      </c>
      <c r="D3827">
        <f>59.53</f>
        <v>59.53</v>
      </c>
      <c r="E3827">
        <f>52.28</f>
        <v>52.28</v>
      </c>
    </row>
    <row r="3828" spans="1:5" x14ac:dyDescent="0.2">
      <c r="A3828" s="1">
        <v>39776</v>
      </c>
      <c r="B3828">
        <f>64.7</f>
        <v>64.7</v>
      </c>
      <c r="C3828">
        <f>63.6637</f>
        <v>63.663699999999999</v>
      </c>
      <c r="D3828">
        <f>60.53</f>
        <v>60.53</v>
      </c>
      <c r="E3828">
        <f>55.45</f>
        <v>55.45</v>
      </c>
    </row>
    <row r="3829" spans="1:5" x14ac:dyDescent="0.2">
      <c r="A3829" s="1">
        <v>39773</v>
      </c>
      <c r="B3829">
        <f>72.67</f>
        <v>72.67</v>
      </c>
      <c r="C3829">
        <f>74.135</f>
        <v>74.135000000000005</v>
      </c>
      <c r="D3829">
        <f>69.59</f>
        <v>69.59</v>
      </c>
      <c r="E3829">
        <f>56.23</f>
        <v>56.23</v>
      </c>
    </row>
    <row r="3830" spans="1:5" x14ac:dyDescent="0.2">
      <c r="A3830" s="1">
        <v>39772</v>
      </c>
      <c r="B3830">
        <f>80.86</f>
        <v>80.86</v>
      </c>
      <c r="C3830">
        <f>72.8475</f>
        <v>72.847499999999997</v>
      </c>
      <c r="D3830">
        <f>69.2</f>
        <v>69.2</v>
      </c>
      <c r="E3830">
        <f>57.01</f>
        <v>57.01</v>
      </c>
    </row>
    <row r="3831" spans="1:5" x14ac:dyDescent="0.2">
      <c r="A3831" s="1">
        <v>39771</v>
      </c>
      <c r="B3831">
        <f>74.26</f>
        <v>74.260000000000005</v>
      </c>
      <c r="C3831">
        <f>68.5178</f>
        <v>68.517799999999994</v>
      </c>
      <c r="D3831">
        <f>64.84</f>
        <v>64.84</v>
      </c>
      <c r="E3831">
        <f>55.89</f>
        <v>55.89</v>
      </c>
    </row>
    <row r="3832" spans="1:5" x14ac:dyDescent="0.2">
      <c r="A3832" s="1">
        <v>39770</v>
      </c>
      <c r="B3832">
        <f>67.64</f>
        <v>67.64</v>
      </c>
      <c r="C3832">
        <f>63.9043</f>
        <v>63.904299999999999</v>
      </c>
      <c r="D3832">
        <f>59.26</f>
        <v>59.26</v>
      </c>
      <c r="E3832">
        <f>56.42</f>
        <v>56.42</v>
      </c>
    </row>
    <row r="3833" spans="1:5" x14ac:dyDescent="0.2">
      <c r="A3833" s="1">
        <v>39769</v>
      </c>
      <c r="B3833">
        <f>69.15</f>
        <v>69.150000000000006</v>
      </c>
      <c r="C3833">
        <f>66.8718</f>
        <v>66.871799999999993</v>
      </c>
      <c r="D3833">
        <f>63.78</f>
        <v>63.78</v>
      </c>
      <c r="E3833">
        <f>53.01</f>
        <v>53.01</v>
      </c>
    </row>
    <row r="3834" spans="1:5" x14ac:dyDescent="0.2">
      <c r="A3834" s="1">
        <v>39766</v>
      </c>
      <c r="B3834">
        <f>66.31</f>
        <v>66.31</v>
      </c>
      <c r="C3834">
        <f>62.4765</f>
        <v>62.476500000000001</v>
      </c>
      <c r="D3834">
        <f>58.36</f>
        <v>58.36</v>
      </c>
      <c r="E3834">
        <f>50.22</f>
        <v>50.22</v>
      </c>
    </row>
    <row r="3835" spans="1:5" x14ac:dyDescent="0.2">
      <c r="A3835" s="1">
        <v>39765</v>
      </c>
      <c r="B3835">
        <f>59.83</f>
        <v>59.83</v>
      </c>
      <c r="C3835">
        <f>64.4387</f>
        <v>64.438699999999997</v>
      </c>
      <c r="D3835">
        <f>61.69</f>
        <v>61.69</v>
      </c>
      <c r="E3835">
        <f>52.25</f>
        <v>52.25</v>
      </c>
    </row>
    <row r="3836" spans="1:5" x14ac:dyDescent="0.2">
      <c r="A3836" s="1">
        <v>39764</v>
      </c>
      <c r="B3836">
        <f>66.46</f>
        <v>66.459999999999994</v>
      </c>
      <c r="C3836">
        <f>66.423</f>
        <v>66.423000000000002</v>
      </c>
      <c r="D3836">
        <f>62.5</f>
        <v>62.5</v>
      </c>
      <c r="E3836">
        <f>49.6</f>
        <v>49.6</v>
      </c>
    </row>
    <row r="3837" spans="1:5" x14ac:dyDescent="0.2">
      <c r="A3837" s="1">
        <v>39763</v>
      </c>
      <c r="B3837">
        <f>61.44</f>
        <v>61.44</v>
      </c>
      <c r="C3837">
        <f>63.4876</f>
        <v>63.4876</v>
      </c>
      <c r="D3837">
        <f>59.36</f>
        <v>59.36</v>
      </c>
      <c r="E3837">
        <f>48.89</f>
        <v>48.89</v>
      </c>
    </row>
    <row r="3838" spans="1:5" x14ac:dyDescent="0.2">
      <c r="A3838" s="1">
        <v>39762</v>
      </c>
      <c r="B3838">
        <f>59.98</f>
        <v>59.98</v>
      </c>
      <c r="C3838">
        <f>55.6689</f>
        <v>55.668900000000001</v>
      </c>
      <c r="D3838">
        <f>52.01</f>
        <v>52.01</v>
      </c>
      <c r="E3838">
        <f>47.62</f>
        <v>47.62</v>
      </c>
    </row>
    <row r="3839" spans="1:5" x14ac:dyDescent="0.2">
      <c r="A3839" s="1">
        <v>39759</v>
      </c>
      <c r="B3839">
        <f>56.1</f>
        <v>56.1</v>
      </c>
      <c r="C3839">
        <f>56.5929</f>
        <v>56.5929</v>
      </c>
      <c r="D3839">
        <f>53.76</f>
        <v>53.76</v>
      </c>
      <c r="E3839">
        <f>50.07</f>
        <v>50.07</v>
      </c>
    </row>
    <row r="3840" spans="1:5" x14ac:dyDescent="0.2">
      <c r="A3840" s="1">
        <v>39758</v>
      </c>
      <c r="B3840">
        <f>63.68</f>
        <v>63.68</v>
      </c>
      <c r="C3840">
        <f>60.7084</f>
        <v>60.708399999999997</v>
      </c>
      <c r="D3840">
        <f>56.7</f>
        <v>56.7</v>
      </c>
      <c r="E3840">
        <f>49.71</f>
        <v>49.71</v>
      </c>
    </row>
    <row r="3841" spans="1:5" x14ac:dyDescent="0.2">
      <c r="A3841" s="1">
        <v>39757</v>
      </c>
      <c r="B3841">
        <f>54.56</f>
        <v>54.56</v>
      </c>
      <c r="C3841">
        <f>49.1021</f>
        <v>49.1021</v>
      </c>
      <c r="D3841">
        <f>46.06</f>
        <v>46.06</v>
      </c>
      <c r="E3841">
        <f>47.45</f>
        <v>47.45</v>
      </c>
    </row>
    <row r="3842" spans="1:5" x14ac:dyDescent="0.2">
      <c r="A3842" s="1">
        <v>39756</v>
      </c>
      <c r="B3842">
        <f>47.73</f>
        <v>47.73</v>
      </c>
      <c r="C3842">
        <f>47.9394</f>
        <v>47.939399999999999</v>
      </c>
      <c r="D3842">
        <f>43.67</f>
        <v>43.67</v>
      </c>
      <c r="E3842">
        <f>48.28</f>
        <v>48.28</v>
      </c>
    </row>
    <row r="3843" spans="1:5" x14ac:dyDescent="0.2">
      <c r="A3843" s="1">
        <v>39755</v>
      </c>
      <c r="B3843">
        <f>53.68</f>
        <v>53.68</v>
      </c>
      <c r="C3843">
        <f>54.6093</f>
        <v>54.609299999999998</v>
      </c>
      <c r="D3843">
        <f>50.01</f>
        <v>50.01</v>
      </c>
      <c r="E3843">
        <f>50.71</f>
        <v>50.71</v>
      </c>
    </row>
    <row r="3844" spans="1:5" x14ac:dyDescent="0.2">
      <c r="A3844" s="1">
        <v>39752</v>
      </c>
      <c r="B3844">
        <f>59.89</f>
        <v>59.89</v>
      </c>
      <c r="C3844">
        <f>60.6773</f>
        <v>60.677300000000002</v>
      </c>
      <c r="D3844">
        <f>55.08</f>
        <v>55.08</v>
      </c>
      <c r="E3844">
        <f>52.14</f>
        <v>52.14</v>
      </c>
    </row>
    <row r="3845" spans="1:5" x14ac:dyDescent="0.2">
      <c r="A3845" s="1">
        <v>39751</v>
      </c>
      <c r="B3845">
        <f>62.9</f>
        <v>62.9</v>
      </c>
      <c r="C3845">
        <f>66.1426</f>
        <v>66.142600000000002</v>
      </c>
      <c r="D3845">
        <f>59.39</f>
        <v>59.39</v>
      </c>
      <c r="E3845">
        <f>52.22</f>
        <v>52.22</v>
      </c>
    </row>
    <row r="3846" spans="1:5" x14ac:dyDescent="0.2">
      <c r="A3846" s="1">
        <v>39750</v>
      </c>
      <c r="B3846">
        <f>69.96</f>
        <v>69.959999999999994</v>
      </c>
      <c r="C3846">
        <f>71.0051</f>
        <v>71.005099999999999</v>
      </c>
      <c r="D3846">
        <f>62.24</f>
        <v>62.24</v>
      </c>
      <c r="E3846">
        <f>53.8</f>
        <v>53.8</v>
      </c>
    </row>
    <row r="3847" spans="1:5" x14ac:dyDescent="0.2">
      <c r="A3847" s="1">
        <v>39749</v>
      </c>
      <c r="B3847">
        <f>66.96</f>
        <v>66.959999999999994</v>
      </c>
      <c r="C3847">
        <f>74.6871</f>
        <v>74.687100000000001</v>
      </c>
      <c r="D3847">
        <f>62.44</f>
        <v>62.44</v>
      </c>
      <c r="E3847">
        <f>53.99</f>
        <v>53.99</v>
      </c>
    </row>
    <row r="3848" spans="1:5" x14ac:dyDescent="0.2">
      <c r="A3848" s="1">
        <v>39748</v>
      </c>
      <c r="B3848">
        <f>80.06</f>
        <v>80.06</v>
      </c>
      <c r="C3848">
        <f>76.5431</f>
        <v>76.543099999999995</v>
      </c>
      <c r="D3848">
        <f>63.1</f>
        <v>63.1</v>
      </c>
      <c r="E3848">
        <f>57.97</f>
        <v>57.97</v>
      </c>
    </row>
    <row r="3849" spans="1:5" x14ac:dyDescent="0.2">
      <c r="A3849" s="1">
        <v>39745</v>
      </c>
      <c r="B3849">
        <f>79.13</f>
        <v>79.13</v>
      </c>
      <c r="C3849">
        <f>74.7359</f>
        <v>74.735900000000001</v>
      </c>
      <c r="D3849">
        <f>63.9</f>
        <v>63.9</v>
      </c>
      <c r="E3849">
        <f>55.53</f>
        <v>55.53</v>
      </c>
    </row>
    <row r="3850" spans="1:5" x14ac:dyDescent="0.2">
      <c r="A3850" s="1">
        <v>39744</v>
      </c>
      <c r="B3850">
        <f>67.8</f>
        <v>67.8</v>
      </c>
      <c r="C3850">
        <f>64.709</f>
        <v>64.709000000000003</v>
      </c>
      <c r="D3850">
        <f>58.94</f>
        <v>58.94</v>
      </c>
      <c r="E3850">
        <f>47.69</f>
        <v>47.69</v>
      </c>
    </row>
    <row r="3851" spans="1:5" x14ac:dyDescent="0.2">
      <c r="A3851" s="1">
        <v>39743</v>
      </c>
      <c r="B3851">
        <f>69.65</f>
        <v>69.650000000000006</v>
      </c>
      <c r="C3851">
        <f>61.8945</f>
        <v>61.894500000000001</v>
      </c>
      <c r="D3851">
        <f>61.18</f>
        <v>61.18</v>
      </c>
      <c r="E3851">
        <f>45.35</f>
        <v>45.35</v>
      </c>
    </row>
    <row r="3852" spans="1:5" x14ac:dyDescent="0.2">
      <c r="A3852" s="1">
        <v>39742</v>
      </c>
      <c r="B3852">
        <f>53.11</f>
        <v>53.11</v>
      </c>
      <c r="C3852">
        <f>56.1841</f>
        <v>56.184100000000001</v>
      </c>
      <c r="D3852">
        <f>56.38</f>
        <v>56.38</v>
      </c>
      <c r="E3852">
        <f>43.42</f>
        <v>43.42</v>
      </c>
    </row>
    <row r="3853" spans="1:5" x14ac:dyDescent="0.2">
      <c r="A3853" s="1">
        <v>39741</v>
      </c>
      <c r="B3853">
        <f>52.97</f>
        <v>52.97</v>
      </c>
      <c r="C3853">
        <f>63.2838</f>
        <v>63.283799999999999</v>
      </c>
      <c r="D3853">
        <f>61.61</f>
        <v>61.61</v>
      </c>
      <c r="E3853">
        <f>45.53</f>
        <v>45.53</v>
      </c>
    </row>
    <row r="3854" spans="1:5" x14ac:dyDescent="0.2">
      <c r="A3854" s="1">
        <v>39738</v>
      </c>
      <c r="B3854">
        <f>70.33</f>
        <v>70.33</v>
      </c>
      <c r="C3854">
        <f>77.1459</f>
        <v>77.145899999999997</v>
      </c>
      <c r="D3854">
        <f>74.13</f>
        <v>74.13</v>
      </c>
      <c r="E3854">
        <f>46.94</f>
        <v>46.94</v>
      </c>
    </row>
    <row r="3855" spans="1:5" x14ac:dyDescent="0.2">
      <c r="A3855" s="1">
        <v>39737</v>
      </c>
      <c r="B3855">
        <f>67.61</f>
        <v>67.61</v>
      </c>
      <c r="C3855">
        <f>87.5127</f>
        <v>87.512699999999995</v>
      </c>
      <c r="D3855">
        <f>84.82</f>
        <v>84.82</v>
      </c>
      <c r="E3855">
        <f>46.15</f>
        <v>46.15</v>
      </c>
    </row>
    <row r="3856" spans="1:5" x14ac:dyDescent="0.2">
      <c r="A3856" s="1">
        <v>39736</v>
      </c>
      <c r="B3856">
        <f>69.25</f>
        <v>69.25</v>
      </c>
      <c r="C3856">
        <f>65.453</f>
        <v>65.453000000000003</v>
      </c>
      <c r="D3856">
        <f>68.29</f>
        <v>68.290000000000006</v>
      </c>
      <c r="E3856">
        <f>46.14</f>
        <v>46.14</v>
      </c>
    </row>
    <row r="3857" spans="1:5" x14ac:dyDescent="0.2">
      <c r="A3857" s="1">
        <v>39735</v>
      </c>
      <c r="B3857">
        <f>55.13</f>
        <v>55.13</v>
      </c>
      <c r="C3857">
        <f>60.3095</f>
        <v>60.3095</v>
      </c>
      <c r="D3857">
        <f>64.52</f>
        <v>64.52</v>
      </c>
      <c r="E3857">
        <f>43.82</f>
        <v>43.82</v>
      </c>
    </row>
    <row r="3858" spans="1:5" x14ac:dyDescent="0.2">
      <c r="A3858" s="1">
        <v>39734</v>
      </c>
      <c r="B3858">
        <f>54.99</f>
        <v>54.99</v>
      </c>
      <c r="C3858">
        <f>67.0469</f>
        <v>67.046899999999994</v>
      </c>
      <c r="D3858">
        <f>74.39</f>
        <v>74.39</v>
      </c>
      <c r="E3858" t="e">
        <f>NA()</f>
        <v>#N/A</v>
      </c>
    </row>
    <row r="3859" spans="1:5" x14ac:dyDescent="0.2">
      <c r="A3859" s="1">
        <v>39731</v>
      </c>
      <c r="B3859">
        <f>69.95</f>
        <v>69.95</v>
      </c>
      <c r="C3859">
        <f>81.0342</f>
        <v>81.034199999999998</v>
      </c>
      <c r="D3859">
        <f>80.51</f>
        <v>80.510000000000005</v>
      </c>
      <c r="E3859">
        <f>45.47</f>
        <v>45.47</v>
      </c>
    </row>
    <row r="3860" spans="1:5" x14ac:dyDescent="0.2">
      <c r="A3860" s="1">
        <v>39730</v>
      </c>
      <c r="B3860">
        <f>63.92</f>
        <v>63.92</v>
      </c>
      <c r="C3860">
        <f>58.3927</f>
        <v>58.392699999999998</v>
      </c>
      <c r="D3860">
        <f>63.18</f>
        <v>63.18</v>
      </c>
      <c r="E3860">
        <f>42.01</f>
        <v>42.01</v>
      </c>
    </row>
    <row r="3861" spans="1:5" x14ac:dyDescent="0.2">
      <c r="A3861" s="1">
        <v>39729</v>
      </c>
      <c r="B3861">
        <f>57.53</f>
        <v>57.53</v>
      </c>
      <c r="C3861">
        <f>60.6701</f>
        <v>60.670099999999998</v>
      </c>
      <c r="D3861">
        <f>57.58</f>
        <v>57.58</v>
      </c>
      <c r="E3861">
        <f>43.19</f>
        <v>43.19</v>
      </c>
    </row>
    <row r="3862" spans="1:5" x14ac:dyDescent="0.2">
      <c r="A3862" s="1">
        <v>39728</v>
      </c>
      <c r="B3862">
        <f>53.68</f>
        <v>53.68</v>
      </c>
      <c r="C3862">
        <f>50.7059</f>
        <v>50.7059</v>
      </c>
      <c r="D3862">
        <f>48.52</f>
        <v>48.52</v>
      </c>
      <c r="E3862">
        <f>41.82</f>
        <v>41.82</v>
      </c>
    </row>
    <row r="3863" spans="1:5" x14ac:dyDescent="0.2">
      <c r="A3863" s="1">
        <v>39727</v>
      </c>
      <c r="B3863">
        <f>52.05</f>
        <v>52.05</v>
      </c>
      <c r="C3863">
        <f>51.0569</f>
        <v>51.056899999999999</v>
      </c>
      <c r="D3863">
        <f>50.35</f>
        <v>50.35</v>
      </c>
      <c r="E3863">
        <f>40.49</f>
        <v>40.49</v>
      </c>
    </row>
    <row r="3864" spans="1:5" x14ac:dyDescent="0.2">
      <c r="A3864" s="1">
        <v>39724</v>
      </c>
      <c r="B3864">
        <f>45.14</f>
        <v>45.14</v>
      </c>
      <c r="C3864">
        <f>41.163</f>
        <v>41.162999999999997</v>
      </c>
      <c r="D3864">
        <f>39.6</f>
        <v>39.6</v>
      </c>
      <c r="E3864">
        <f>38.2</f>
        <v>38.200000000000003</v>
      </c>
    </row>
    <row r="3865" spans="1:5" x14ac:dyDescent="0.2">
      <c r="A3865" s="1">
        <v>39723</v>
      </c>
      <c r="B3865">
        <f>45.26</f>
        <v>45.26</v>
      </c>
      <c r="C3865">
        <f>42.9811</f>
        <v>42.981099999999998</v>
      </c>
      <c r="D3865">
        <f>41.44</f>
        <v>41.44</v>
      </c>
      <c r="E3865">
        <f>38.48</f>
        <v>38.479999999999997</v>
      </c>
    </row>
    <row r="3866" spans="1:5" x14ac:dyDescent="0.2">
      <c r="A3866" s="1">
        <v>39722</v>
      </c>
      <c r="B3866">
        <f>39.81</f>
        <v>39.81</v>
      </c>
      <c r="C3866">
        <f>41.9211</f>
        <v>41.921100000000003</v>
      </c>
      <c r="D3866">
        <f>41</f>
        <v>41</v>
      </c>
      <c r="E3866">
        <f>37.26</f>
        <v>37.26</v>
      </c>
    </row>
    <row r="3867" spans="1:5" x14ac:dyDescent="0.2">
      <c r="A3867" s="1">
        <v>39721</v>
      </c>
      <c r="B3867">
        <f>39.39</f>
        <v>39.39</v>
      </c>
      <c r="C3867">
        <f>40.3874</f>
        <v>40.3874</v>
      </c>
      <c r="D3867">
        <f>39.89</f>
        <v>39.89</v>
      </c>
      <c r="E3867">
        <f>37.29</f>
        <v>37.29</v>
      </c>
    </row>
    <row r="3868" spans="1:5" x14ac:dyDescent="0.2">
      <c r="A3868" s="1">
        <v>39720</v>
      </c>
      <c r="B3868">
        <f>46.72</f>
        <v>46.72</v>
      </c>
      <c r="C3868">
        <f>39.4009</f>
        <v>39.4009</v>
      </c>
      <c r="D3868">
        <f>38.63</f>
        <v>38.630000000000003</v>
      </c>
      <c r="E3868">
        <f>37.97</f>
        <v>37.97</v>
      </c>
    </row>
    <row r="3869" spans="1:5" x14ac:dyDescent="0.2">
      <c r="A3869" s="1">
        <v>39717</v>
      </c>
      <c r="B3869">
        <f>34.74</f>
        <v>34.74</v>
      </c>
      <c r="C3869">
        <f>38.3677</f>
        <v>38.367699999999999</v>
      </c>
      <c r="D3869">
        <f>35.91</f>
        <v>35.909999999999997</v>
      </c>
      <c r="E3869">
        <f>34.82</f>
        <v>34.82</v>
      </c>
    </row>
    <row r="3870" spans="1:5" x14ac:dyDescent="0.2">
      <c r="A3870" s="1">
        <v>39716</v>
      </c>
      <c r="B3870">
        <f>32.82</f>
        <v>32.82</v>
      </c>
      <c r="C3870">
        <f>32.6568</f>
        <v>32.656799999999997</v>
      </c>
      <c r="D3870">
        <f>31.65</f>
        <v>31.65</v>
      </c>
      <c r="E3870">
        <f>34.33</f>
        <v>34.33</v>
      </c>
    </row>
    <row r="3871" spans="1:5" x14ac:dyDescent="0.2">
      <c r="A3871" s="1">
        <v>39715</v>
      </c>
      <c r="B3871">
        <f>35.19</f>
        <v>35.19</v>
      </c>
      <c r="C3871">
        <f>32.62</f>
        <v>32.619999999999997</v>
      </c>
      <c r="D3871">
        <f>32.7</f>
        <v>32.700000000000003</v>
      </c>
      <c r="E3871" t="e">
        <f>NA()</f>
        <v>#N/A</v>
      </c>
    </row>
    <row r="3872" spans="1:5" x14ac:dyDescent="0.2">
      <c r="A3872" s="1">
        <v>39714</v>
      </c>
      <c r="B3872">
        <f>35.72</f>
        <v>35.72</v>
      </c>
      <c r="C3872">
        <f>32.5721</f>
        <v>32.572099999999999</v>
      </c>
      <c r="D3872">
        <f>32.26</f>
        <v>32.26</v>
      </c>
      <c r="E3872">
        <f>33.19</f>
        <v>33.19</v>
      </c>
    </row>
    <row r="3873" spans="1:5" x14ac:dyDescent="0.2">
      <c r="A3873" s="1">
        <v>39713</v>
      </c>
      <c r="B3873">
        <f>33.85</f>
        <v>33.85</v>
      </c>
      <c r="C3873">
        <f>32.7151</f>
        <v>32.7151</v>
      </c>
      <c r="D3873">
        <f>31.45</f>
        <v>31.45</v>
      </c>
      <c r="E3873">
        <f>31.97</f>
        <v>31.97</v>
      </c>
    </row>
    <row r="3874" spans="1:5" x14ac:dyDescent="0.2">
      <c r="A3874" s="1">
        <v>39710</v>
      </c>
      <c r="B3874">
        <f>32.07</f>
        <v>32.07</v>
      </c>
      <c r="C3874">
        <f>35.189</f>
        <v>35.189</v>
      </c>
      <c r="D3874">
        <f>32.78</f>
        <v>32.78</v>
      </c>
      <c r="E3874">
        <f>32.33</f>
        <v>32.33</v>
      </c>
    </row>
    <row r="3875" spans="1:5" x14ac:dyDescent="0.2">
      <c r="A3875" s="1">
        <v>39709</v>
      </c>
      <c r="B3875">
        <f>33.1</f>
        <v>33.1</v>
      </c>
      <c r="C3875">
        <f>37.5541</f>
        <v>37.554099999999998</v>
      </c>
      <c r="D3875">
        <f>35.37</f>
        <v>35.369999999999997</v>
      </c>
      <c r="E3875">
        <f>32.56</f>
        <v>32.56</v>
      </c>
    </row>
    <row r="3876" spans="1:5" x14ac:dyDescent="0.2">
      <c r="A3876" s="1">
        <v>39708</v>
      </c>
      <c r="B3876">
        <f>36.22</f>
        <v>36.22</v>
      </c>
      <c r="C3876">
        <f>37.5264</f>
        <v>37.526400000000002</v>
      </c>
      <c r="D3876">
        <f>35.31</f>
        <v>35.31</v>
      </c>
      <c r="E3876">
        <f>33.01</f>
        <v>33.01</v>
      </c>
    </row>
    <row r="3877" spans="1:5" x14ac:dyDescent="0.2">
      <c r="A3877" s="1">
        <v>39707</v>
      </c>
      <c r="B3877">
        <f>30.3</f>
        <v>30.3</v>
      </c>
      <c r="C3877">
        <f>36.1855</f>
        <v>36.185499999999998</v>
      </c>
      <c r="D3877">
        <f>33.19</f>
        <v>33.19</v>
      </c>
      <c r="E3877">
        <f>32.12</f>
        <v>32.119999999999997</v>
      </c>
    </row>
    <row r="3878" spans="1:5" x14ac:dyDescent="0.2">
      <c r="A3878" s="1">
        <v>39706</v>
      </c>
      <c r="B3878">
        <f>31.7</f>
        <v>31.7</v>
      </c>
      <c r="C3878">
        <f>32.5904</f>
        <v>32.590400000000002</v>
      </c>
      <c r="D3878">
        <f>30.99</f>
        <v>30.99</v>
      </c>
      <c r="E3878">
        <f>29.79</f>
        <v>29.79</v>
      </c>
    </row>
    <row r="3879" spans="1:5" x14ac:dyDescent="0.2">
      <c r="A3879" s="1">
        <v>39703</v>
      </c>
      <c r="B3879">
        <f>25.66</f>
        <v>25.66</v>
      </c>
      <c r="C3879">
        <f>27.0376</f>
        <v>27.037600000000001</v>
      </c>
      <c r="D3879">
        <f>26.41</f>
        <v>26.41</v>
      </c>
      <c r="E3879">
        <f>29.22</f>
        <v>29.22</v>
      </c>
    </row>
    <row r="3880" spans="1:5" x14ac:dyDescent="0.2">
      <c r="A3880" s="1">
        <v>39702</v>
      </c>
      <c r="B3880">
        <f>24.39</f>
        <v>24.39</v>
      </c>
      <c r="C3880">
        <f>28.0361</f>
        <v>28.036100000000001</v>
      </c>
      <c r="D3880">
        <f>27.44</f>
        <v>27.44</v>
      </c>
      <c r="E3880">
        <f>30.44</f>
        <v>30.44</v>
      </c>
    </row>
    <row r="3881" spans="1:5" x14ac:dyDescent="0.2">
      <c r="A3881" s="1">
        <v>39701</v>
      </c>
      <c r="B3881">
        <f>24.52</f>
        <v>24.52</v>
      </c>
      <c r="C3881">
        <f>27.5169</f>
        <v>27.5169</v>
      </c>
      <c r="D3881">
        <f>26.52</f>
        <v>26.52</v>
      </c>
      <c r="E3881">
        <f>31.9</f>
        <v>31.9</v>
      </c>
    </row>
    <row r="3882" spans="1:5" x14ac:dyDescent="0.2">
      <c r="A3882" s="1">
        <v>39700</v>
      </c>
      <c r="B3882">
        <f>25.47</f>
        <v>25.47</v>
      </c>
      <c r="C3882">
        <f>26.7135</f>
        <v>26.7135</v>
      </c>
      <c r="D3882">
        <f>26.19</f>
        <v>26.19</v>
      </c>
      <c r="E3882">
        <f>32.95</f>
        <v>32.950000000000003</v>
      </c>
    </row>
    <row r="3883" spans="1:5" x14ac:dyDescent="0.2">
      <c r="A3883" s="1">
        <v>39699</v>
      </c>
      <c r="B3883">
        <f>22.64</f>
        <v>22.64</v>
      </c>
      <c r="C3883">
        <f>26.1796</f>
        <v>26.179600000000001</v>
      </c>
      <c r="D3883">
        <f>25.68</f>
        <v>25.68</v>
      </c>
      <c r="E3883" t="e">
        <f>NA()</f>
        <v>#N/A</v>
      </c>
    </row>
    <row r="3884" spans="1:5" x14ac:dyDescent="0.2">
      <c r="A3884" s="1">
        <v>39696</v>
      </c>
      <c r="B3884">
        <f>23.06</f>
        <v>23.06</v>
      </c>
      <c r="C3884">
        <f>26.8459</f>
        <v>26.8459</v>
      </c>
      <c r="D3884">
        <f>26.74</f>
        <v>26.74</v>
      </c>
      <c r="E3884">
        <f>31.01</f>
        <v>31.01</v>
      </c>
    </row>
    <row r="3885" spans="1:5" x14ac:dyDescent="0.2">
      <c r="A3885" s="1">
        <v>39695</v>
      </c>
      <c r="B3885">
        <f>24.03</f>
        <v>24.03</v>
      </c>
      <c r="C3885">
        <f>24.9709</f>
        <v>24.9709</v>
      </c>
      <c r="D3885">
        <f>24.95</f>
        <v>24.95</v>
      </c>
      <c r="E3885">
        <f>28.6</f>
        <v>28.6</v>
      </c>
    </row>
    <row r="3886" spans="1:5" x14ac:dyDescent="0.2">
      <c r="A3886" s="1">
        <v>39694</v>
      </c>
      <c r="B3886">
        <f>21.43</f>
        <v>21.43</v>
      </c>
      <c r="C3886">
        <f>22.176</f>
        <v>22.175999999999998</v>
      </c>
      <c r="D3886">
        <f>22.43</f>
        <v>22.43</v>
      </c>
      <c r="E3886">
        <f>28.94</f>
        <v>28.94</v>
      </c>
    </row>
    <row r="3887" spans="1:5" x14ac:dyDescent="0.2">
      <c r="A3887" s="1">
        <v>39693</v>
      </c>
      <c r="B3887">
        <f>21.99</f>
        <v>21.99</v>
      </c>
      <c r="C3887">
        <f>21.2336</f>
        <v>21.233599999999999</v>
      </c>
      <c r="D3887">
        <f>20.78</f>
        <v>20.78</v>
      </c>
      <c r="E3887">
        <f>28.48</f>
        <v>28.48</v>
      </c>
    </row>
    <row r="3888" spans="1:5" x14ac:dyDescent="0.2">
      <c r="A3888" s="1">
        <v>39692</v>
      </c>
      <c r="B3888" t="e">
        <f>NA()</f>
        <v>#N/A</v>
      </c>
      <c r="C3888">
        <f>21.6154</f>
        <v>21.615400000000001</v>
      </c>
      <c r="D3888">
        <f>20.7</f>
        <v>20.7</v>
      </c>
      <c r="E3888">
        <f>27.9</f>
        <v>27.9</v>
      </c>
    </row>
    <row r="3889" spans="1:5" x14ac:dyDescent="0.2">
      <c r="A3889" s="1">
        <v>39689</v>
      </c>
      <c r="B3889">
        <f>20.65</f>
        <v>20.65</v>
      </c>
      <c r="C3889">
        <f>21.0605</f>
        <v>21.060500000000001</v>
      </c>
      <c r="D3889">
        <f>19.63</f>
        <v>19.63</v>
      </c>
      <c r="E3889">
        <f>27.62</f>
        <v>27.62</v>
      </c>
    </row>
    <row r="3890" spans="1:5" x14ac:dyDescent="0.2">
      <c r="A3890" s="1">
        <v>39688</v>
      </c>
      <c r="B3890">
        <f>19.43</f>
        <v>19.43</v>
      </c>
      <c r="C3890">
        <f>21.109</f>
        <v>21.109000000000002</v>
      </c>
      <c r="D3890">
        <f>20.08</f>
        <v>20.079999999999998</v>
      </c>
      <c r="E3890">
        <f>27.76</f>
        <v>27.76</v>
      </c>
    </row>
    <row r="3891" spans="1:5" x14ac:dyDescent="0.2">
      <c r="A3891" s="1">
        <v>39687</v>
      </c>
      <c r="B3891">
        <f>19.76</f>
        <v>19.760000000000002</v>
      </c>
      <c r="C3891">
        <f>21.892</f>
        <v>21.891999999999999</v>
      </c>
      <c r="D3891">
        <f>20.45</f>
        <v>20.45</v>
      </c>
      <c r="E3891">
        <f>27.97</f>
        <v>27.97</v>
      </c>
    </row>
    <row r="3892" spans="1:5" x14ac:dyDescent="0.2">
      <c r="A3892" s="1">
        <v>39686</v>
      </c>
      <c r="B3892">
        <f>20.49</f>
        <v>20.49</v>
      </c>
      <c r="C3892">
        <f>22.0995</f>
        <v>22.099499999999999</v>
      </c>
      <c r="D3892">
        <f>20.98</f>
        <v>20.98</v>
      </c>
      <c r="E3892">
        <f>28.62</f>
        <v>28.62</v>
      </c>
    </row>
    <row r="3893" spans="1:5" x14ac:dyDescent="0.2">
      <c r="A3893" s="1">
        <v>39685</v>
      </c>
      <c r="B3893">
        <f>20.97</f>
        <v>20.97</v>
      </c>
      <c r="C3893">
        <f>22.9001</f>
        <v>22.900099999999998</v>
      </c>
      <c r="D3893" t="e">
        <f>NA()</f>
        <v>#N/A</v>
      </c>
      <c r="E3893">
        <f>28.41</f>
        <v>28.41</v>
      </c>
    </row>
    <row r="3894" spans="1:5" x14ac:dyDescent="0.2">
      <c r="A3894" s="1">
        <v>39682</v>
      </c>
      <c r="B3894">
        <f>18.81</f>
        <v>18.809999999999999</v>
      </c>
      <c r="C3894">
        <f>21.6044</f>
        <v>21.604399999999998</v>
      </c>
      <c r="D3894">
        <f>19.72</f>
        <v>19.72</v>
      </c>
      <c r="E3894">
        <f>28.42</f>
        <v>28.42</v>
      </c>
    </row>
    <row r="3895" spans="1:5" x14ac:dyDescent="0.2">
      <c r="A3895" s="1">
        <v>39681</v>
      </c>
      <c r="B3895">
        <f>19.82</f>
        <v>19.82</v>
      </c>
      <c r="C3895">
        <f>23.2701</f>
        <v>23.270099999999999</v>
      </c>
      <c r="D3895">
        <f>21.57</f>
        <v>21.57</v>
      </c>
      <c r="E3895">
        <f>29.18</f>
        <v>29.18</v>
      </c>
    </row>
    <row r="3896" spans="1:5" x14ac:dyDescent="0.2">
      <c r="A3896" s="1">
        <v>39680</v>
      </c>
      <c r="B3896">
        <f>20.42</f>
        <v>20.420000000000002</v>
      </c>
      <c r="C3896">
        <f>22.9651</f>
        <v>22.9651</v>
      </c>
      <c r="D3896">
        <f>21.71</f>
        <v>21.71</v>
      </c>
      <c r="E3896">
        <f>29.77</f>
        <v>29.77</v>
      </c>
    </row>
    <row r="3897" spans="1:5" x14ac:dyDescent="0.2">
      <c r="A3897" s="1">
        <v>39679</v>
      </c>
      <c r="B3897">
        <f>21.28</f>
        <v>21.28</v>
      </c>
      <c r="C3897">
        <f>24.0236</f>
        <v>24.023599999999998</v>
      </c>
      <c r="D3897">
        <f>23.06</f>
        <v>23.06</v>
      </c>
      <c r="E3897">
        <f>29.9</f>
        <v>29.9</v>
      </c>
    </row>
    <row r="3898" spans="1:5" x14ac:dyDescent="0.2">
      <c r="A3898" s="1">
        <v>39678</v>
      </c>
      <c r="B3898">
        <f>20.98</f>
        <v>20.98</v>
      </c>
      <c r="C3898">
        <f>21.8863</f>
        <v>21.886299999999999</v>
      </c>
      <c r="D3898">
        <f>21.27</f>
        <v>21.27</v>
      </c>
      <c r="E3898">
        <f>29.52</f>
        <v>29.52</v>
      </c>
    </row>
    <row r="3899" spans="1:5" x14ac:dyDescent="0.2">
      <c r="A3899" s="1">
        <v>39675</v>
      </c>
      <c r="B3899">
        <f>19.58</f>
        <v>19.579999999999998</v>
      </c>
      <c r="C3899">
        <f>22.1116</f>
        <v>22.111599999999999</v>
      </c>
      <c r="D3899">
        <f>21.4</f>
        <v>21.4</v>
      </c>
      <c r="E3899">
        <f>29.29</f>
        <v>29.29</v>
      </c>
    </row>
    <row r="3900" spans="1:5" x14ac:dyDescent="0.2">
      <c r="A3900" s="1">
        <v>39674</v>
      </c>
      <c r="B3900">
        <f>20.34</f>
        <v>20.34</v>
      </c>
      <c r="C3900">
        <f>23.177</f>
        <v>23.177</v>
      </c>
      <c r="D3900">
        <f>21.96</f>
        <v>21.96</v>
      </c>
      <c r="E3900">
        <f>28.13</f>
        <v>28.13</v>
      </c>
    </row>
    <row r="3901" spans="1:5" x14ac:dyDescent="0.2">
      <c r="A3901" s="1">
        <v>39673</v>
      </c>
      <c r="B3901">
        <f>21.55</f>
        <v>21.55</v>
      </c>
      <c r="C3901">
        <f>24.3456</f>
        <v>24.345600000000001</v>
      </c>
      <c r="D3901">
        <f>23.14</f>
        <v>23.14</v>
      </c>
      <c r="E3901">
        <f>29.32</f>
        <v>29.32</v>
      </c>
    </row>
    <row r="3902" spans="1:5" x14ac:dyDescent="0.2">
      <c r="A3902" s="1">
        <v>39672</v>
      </c>
      <c r="B3902">
        <f>21.17</f>
        <v>21.17</v>
      </c>
      <c r="C3902">
        <f>22.5546</f>
        <v>22.554600000000001</v>
      </c>
      <c r="D3902">
        <f>21.29</f>
        <v>21.29</v>
      </c>
      <c r="E3902">
        <f>29.92</f>
        <v>29.92</v>
      </c>
    </row>
    <row r="3903" spans="1:5" x14ac:dyDescent="0.2">
      <c r="A3903" s="1">
        <v>39671</v>
      </c>
      <c r="B3903">
        <f>20.12</f>
        <v>20.12</v>
      </c>
      <c r="C3903">
        <f>22.3518</f>
        <v>22.351800000000001</v>
      </c>
      <c r="D3903">
        <f>20.81</f>
        <v>20.81</v>
      </c>
      <c r="E3903">
        <f>29.94</f>
        <v>29.94</v>
      </c>
    </row>
    <row r="3904" spans="1:5" x14ac:dyDescent="0.2">
      <c r="A3904" s="1">
        <v>39668</v>
      </c>
      <c r="B3904">
        <f>20.66</f>
        <v>20.66</v>
      </c>
      <c r="C3904">
        <f>22.1286</f>
        <v>22.128599999999999</v>
      </c>
      <c r="D3904">
        <f>20.31</f>
        <v>20.309999999999999</v>
      </c>
      <c r="E3904">
        <f>30.51</f>
        <v>30.51</v>
      </c>
    </row>
    <row r="3905" spans="1:5" x14ac:dyDescent="0.2">
      <c r="A3905" s="1">
        <v>39667</v>
      </c>
      <c r="B3905">
        <f>21.15</f>
        <v>21.15</v>
      </c>
      <c r="C3905">
        <f>22.6124</f>
        <v>22.612400000000001</v>
      </c>
      <c r="D3905">
        <f>21.06</f>
        <v>21.06</v>
      </c>
      <c r="E3905">
        <f>30.11</f>
        <v>30.11</v>
      </c>
    </row>
    <row r="3906" spans="1:5" x14ac:dyDescent="0.2">
      <c r="A3906" s="1">
        <v>39666</v>
      </c>
      <c r="B3906">
        <f>20.23</f>
        <v>20.23</v>
      </c>
      <c r="C3906">
        <f>22.184</f>
        <v>22.184000000000001</v>
      </c>
      <c r="D3906">
        <f>21.05</f>
        <v>21.05</v>
      </c>
      <c r="E3906">
        <f>30.53</f>
        <v>30.53</v>
      </c>
    </row>
    <row r="3907" spans="1:5" x14ac:dyDescent="0.2">
      <c r="A3907" s="1">
        <v>39665</v>
      </c>
      <c r="B3907">
        <f>21.14</f>
        <v>21.14</v>
      </c>
      <c r="C3907">
        <f>23.1793</f>
        <v>23.179300000000001</v>
      </c>
      <c r="D3907">
        <f>21.62</f>
        <v>21.62</v>
      </c>
      <c r="E3907">
        <f>31.48</f>
        <v>31.48</v>
      </c>
    </row>
    <row r="3908" spans="1:5" x14ac:dyDescent="0.2">
      <c r="A3908" s="1">
        <v>39664</v>
      </c>
      <c r="B3908">
        <f>23.49</f>
        <v>23.49</v>
      </c>
      <c r="C3908">
        <f>25.0392</f>
        <v>25.039200000000001</v>
      </c>
      <c r="D3908">
        <f>23.55</f>
        <v>23.55</v>
      </c>
      <c r="E3908">
        <f>32.4</f>
        <v>32.4</v>
      </c>
    </row>
    <row r="3909" spans="1:5" x14ac:dyDescent="0.2">
      <c r="A3909" s="1">
        <v>39661</v>
      </c>
      <c r="B3909">
        <f>22.57</f>
        <v>22.57</v>
      </c>
      <c r="C3909">
        <f>24.1877</f>
        <v>24.1877</v>
      </c>
      <c r="D3909">
        <f>22.58</f>
        <v>22.58</v>
      </c>
      <c r="E3909">
        <f>30.91</f>
        <v>30.91</v>
      </c>
    </row>
    <row r="3910" spans="1:5" x14ac:dyDescent="0.2">
      <c r="A3910" s="1">
        <v>39660</v>
      </c>
      <c r="B3910">
        <f>22.94</f>
        <v>22.94</v>
      </c>
      <c r="C3910">
        <f>23.3294</f>
        <v>23.3294</v>
      </c>
      <c r="D3910">
        <f>21.89</f>
        <v>21.89</v>
      </c>
      <c r="E3910">
        <f>29.4</f>
        <v>29.4</v>
      </c>
    </row>
    <row r="3911" spans="1:5" x14ac:dyDescent="0.2">
      <c r="A3911" s="1">
        <v>39659</v>
      </c>
      <c r="B3911">
        <f>21.21</f>
        <v>21.21</v>
      </c>
      <c r="C3911">
        <f>23.2157</f>
        <v>23.215699999999998</v>
      </c>
      <c r="D3911">
        <f>21.55</f>
        <v>21.55</v>
      </c>
      <c r="E3911">
        <f>29.21</f>
        <v>29.21</v>
      </c>
    </row>
    <row r="3912" spans="1:5" x14ac:dyDescent="0.2">
      <c r="A3912" s="1">
        <v>39658</v>
      </c>
      <c r="B3912">
        <f>22.03</f>
        <v>22.03</v>
      </c>
      <c r="C3912">
        <f>24.533</f>
        <v>24.533000000000001</v>
      </c>
      <c r="D3912">
        <f>23.31</f>
        <v>23.31</v>
      </c>
      <c r="E3912">
        <f>29.95</f>
        <v>29.95</v>
      </c>
    </row>
    <row r="3913" spans="1:5" x14ac:dyDescent="0.2">
      <c r="A3913" s="1">
        <v>39657</v>
      </c>
      <c r="B3913">
        <f>24.23</f>
        <v>24.23</v>
      </c>
      <c r="C3913">
        <f>24.819</f>
        <v>24.818999999999999</v>
      </c>
      <c r="D3913">
        <f>23.23</f>
        <v>23.23</v>
      </c>
      <c r="E3913">
        <f>29.89</f>
        <v>29.89</v>
      </c>
    </row>
    <row r="3914" spans="1:5" x14ac:dyDescent="0.2">
      <c r="A3914" s="1">
        <v>39654</v>
      </c>
      <c r="B3914">
        <f>22.91</f>
        <v>22.91</v>
      </c>
      <c r="C3914">
        <f>23.8577</f>
        <v>23.857700000000001</v>
      </c>
      <c r="D3914">
        <f>22.27</f>
        <v>22.27</v>
      </c>
      <c r="E3914">
        <f>31.36</f>
        <v>31.36</v>
      </c>
    </row>
    <row r="3915" spans="1:5" x14ac:dyDescent="0.2">
      <c r="A3915" s="1">
        <v>39653</v>
      </c>
      <c r="B3915">
        <f>23.44</f>
        <v>23.44</v>
      </c>
      <c r="C3915">
        <f>23.9227</f>
        <v>23.922699999999999</v>
      </c>
      <c r="D3915">
        <f>23.29</f>
        <v>23.29</v>
      </c>
      <c r="E3915">
        <f>30.27</f>
        <v>30.27</v>
      </c>
    </row>
    <row r="3916" spans="1:5" x14ac:dyDescent="0.2">
      <c r="A3916" s="1">
        <v>39652</v>
      </c>
      <c r="B3916">
        <f>21.31</f>
        <v>21.31</v>
      </c>
      <c r="C3916">
        <f>23.7313</f>
        <v>23.731300000000001</v>
      </c>
      <c r="D3916">
        <f>22.56</f>
        <v>22.56</v>
      </c>
      <c r="E3916">
        <f>30.74</f>
        <v>30.74</v>
      </c>
    </row>
    <row r="3917" spans="1:5" x14ac:dyDescent="0.2">
      <c r="A3917" s="1">
        <v>39651</v>
      </c>
      <c r="B3917">
        <f>21.18</f>
        <v>21.18</v>
      </c>
      <c r="C3917">
        <f>24.4802</f>
        <v>24.4802</v>
      </c>
      <c r="D3917">
        <f>23.92</f>
        <v>23.92</v>
      </c>
      <c r="E3917">
        <f>31.15</f>
        <v>31.15</v>
      </c>
    </row>
    <row r="3918" spans="1:5" x14ac:dyDescent="0.2">
      <c r="A3918" s="1">
        <v>39650</v>
      </c>
      <c r="B3918">
        <f>23.05</f>
        <v>23.05</v>
      </c>
      <c r="C3918">
        <f>24.8824</f>
        <v>24.882400000000001</v>
      </c>
      <c r="D3918">
        <f>23.86</f>
        <v>23.86</v>
      </c>
      <c r="E3918">
        <f>30.54</f>
        <v>30.54</v>
      </c>
    </row>
    <row r="3919" spans="1:5" x14ac:dyDescent="0.2">
      <c r="A3919" s="1">
        <v>39647</v>
      </c>
      <c r="B3919">
        <f>24.05</f>
        <v>24.05</v>
      </c>
      <c r="C3919">
        <f>24.8921</f>
        <v>24.892099999999999</v>
      </c>
      <c r="D3919">
        <f>24.04</f>
        <v>24.04</v>
      </c>
      <c r="E3919">
        <f>30.69</f>
        <v>30.69</v>
      </c>
    </row>
    <row r="3920" spans="1:5" x14ac:dyDescent="0.2">
      <c r="A3920" s="1">
        <v>39646</v>
      </c>
      <c r="B3920">
        <f>25.01</f>
        <v>25.01</v>
      </c>
      <c r="C3920">
        <f>26.7422</f>
        <v>26.7422</v>
      </c>
      <c r="D3920">
        <f>26.68</f>
        <v>26.68</v>
      </c>
      <c r="E3920">
        <f>30.99</f>
        <v>30.99</v>
      </c>
    </row>
    <row r="3921" spans="1:5" x14ac:dyDescent="0.2">
      <c r="A3921" s="1">
        <v>39645</v>
      </c>
      <c r="B3921">
        <f>25.1</f>
        <v>25.1</v>
      </c>
      <c r="C3921">
        <f>28.8021</f>
        <v>28.802099999999999</v>
      </c>
      <c r="D3921">
        <f>28.54</f>
        <v>28.54</v>
      </c>
      <c r="E3921">
        <f>32.21</f>
        <v>32.21</v>
      </c>
    </row>
    <row r="3922" spans="1:5" x14ac:dyDescent="0.2">
      <c r="A3922" s="1">
        <v>39644</v>
      </c>
      <c r="B3922">
        <f>28.54</f>
        <v>28.54</v>
      </c>
      <c r="C3922">
        <f>30.0551</f>
        <v>30.055099999999999</v>
      </c>
      <c r="D3922">
        <f>29.54</f>
        <v>29.54</v>
      </c>
      <c r="E3922">
        <f>32.05</f>
        <v>32.049999999999997</v>
      </c>
    </row>
    <row r="3923" spans="1:5" x14ac:dyDescent="0.2">
      <c r="A3923" s="1">
        <v>39643</v>
      </c>
      <c r="B3923">
        <f>28.48</f>
        <v>28.48</v>
      </c>
      <c r="C3923">
        <f>28.9311</f>
        <v>28.931100000000001</v>
      </c>
      <c r="D3923">
        <f>28.78</f>
        <v>28.78</v>
      </c>
      <c r="E3923">
        <f>30.99</f>
        <v>30.99</v>
      </c>
    </row>
    <row r="3924" spans="1:5" x14ac:dyDescent="0.2">
      <c r="A3924" s="1">
        <v>39640</v>
      </c>
      <c r="B3924">
        <f>27.49</f>
        <v>27.49</v>
      </c>
      <c r="C3924">
        <f>29.2661</f>
        <v>29.266100000000002</v>
      </c>
      <c r="D3924">
        <f>28.78</f>
        <v>28.78</v>
      </c>
      <c r="E3924">
        <f>31.35</f>
        <v>31.35</v>
      </c>
    </row>
    <row r="3925" spans="1:5" x14ac:dyDescent="0.2">
      <c r="A3925" s="1">
        <v>39639</v>
      </c>
      <c r="B3925">
        <f>25.59</f>
        <v>25.59</v>
      </c>
      <c r="C3925">
        <f>27.378</f>
        <v>27.378</v>
      </c>
      <c r="D3925">
        <f>26.85</f>
        <v>26.85</v>
      </c>
      <c r="E3925">
        <f>31.02</f>
        <v>31.02</v>
      </c>
    </row>
    <row r="3926" spans="1:5" x14ac:dyDescent="0.2">
      <c r="A3926" s="1">
        <v>39638</v>
      </c>
      <c r="B3926">
        <f>25.23</f>
        <v>25.23</v>
      </c>
      <c r="C3926">
        <f>25.4267</f>
        <v>25.4267</v>
      </c>
      <c r="D3926">
        <f>24.16</f>
        <v>24.16</v>
      </c>
      <c r="E3926">
        <f>30.57</f>
        <v>30.57</v>
      </c>
    </row>
    <row r="3927" spans="1:5" x14ac:dyDescent="0.2">
      <c r="A3927" s="1">
        <v>39637</v>
      </c>
      <c r="B3927">
        <f>23.15</f>
        <v>23.15</v>
      </c>
      <c r="C3927">
        <f>26.8474</f>
        <v>26.8474</v>
      </c>
      <c r="D3927">
        <f>25.82</f>
        <v>25.82</v>
      </c>
      <c r="E3927">
        <f>30.87</f>
        <v>30.87</v>
      </c>
    </row>
    <row r="3928" spans="1:5" x14ac:dyDescent="0.2">
      <c r="A3928" s="1">
        <v>39636</v>
      </c>
      <c r="B3928">
        <f>25.78</f>
        <v>25.78</v>
      </c>
      <c r="C3928">
        <f>25.8164</f>
        <v>25.816400000000002</v>
      </c>
      <c r="D3928">
        <f>25.1</f>
        <v>25.1</v>
      </c>
      <c r="E3928">
        <f>30.33</f>
        <v>30.33</v>
      </c>
    </row>
    <row r="3929" spans="1:5" x14ac:dyDescent="0.2">
      <c r="A3929" s="1">
        <v>39633</v>
      </c>
      <c r="B3929" t="e">
        <f>NA()</f>
        <v>#N/A</v>
      </c>
      <c r="C3929">
        <f>26.7919</f>
        <v>26.791899999999998</v>
      </c>
      <c r="D3929">
        <f>26.24</f>
        <v>26.24</v>
      </c>
      <c r="E3929">
        <f>30.67</f>
        <v>30.67</v>
      </c>
    </row>
    <row r="3930" spans="1:5" x14ac:dyDescent="0.2">
      <c r="A3930" s="1">
        <v>39632</v>
      </c>
      <c r="B3930">
        <f>24.78</f>
        <v>24.78</v>
      </c>
      <c r="C3930">
        <f>25.7967</f>
        <v>25.796700000000001</v>
      </c>
      <c r="D3930">
        <f>25.25</f>
        <v>25.25</v>
      </c>
      <c r="E3930">
        <f>30.58</f>
        <v>30.58</v>
      </c>
    </row>
    <row r="3931" spans="1:5" x14ac:dyDescent="0.2">
      <c r="A3931" s="1">
        <v>39631</v>
      </c>
      <c r="B3931">
        <f>25.92</f>
        <v>25.92</v>
      </c>
      <c r="C3931">
        <f>26.3804</f>
        <v>26.380400000000002</v>
      </c>
      <c r="D3931">
        <f>25.82</f>
        <v>25.82</v>
      </c>
      <c r="E3931">
        <f>28.31</f>
        <v>28.31</v>
      </c>
    </row>
    <row r="3932" spans="1:5" x14ac:dyDescent="0.2">
      <c r="A3932" s="1">
        <v>39630</v>
      </c>
      <c r="B3932">
        <f>23.65</f>
        <v>23.65</v>
      </c>
      <c r="C3932">
        <f>26.2514</f>
        <v>26.2514</v>
      </c>
      <c r="D3932">
        <f>25.06</f>
        <v>25.06</v>
      </c>
      <c r="E3932">
        <f>27.33</f>
        <v>27.33</v>
      </c>
    </row>
    <row r="3933" spans="1:5" x14ac:dyDescent="0.2">
      <c r="A3933" s="1">
        <v>39629</v>
      </c>
      <c r="B3933">
        <f>23.95</f>
        <v>23.95</v>
      </c>
      <c r="C3933">
        <f>24.6668</f>
        <v>24.666799999999999</v>
      </c>
      <c r="D3933">
        <f>23.23</f>
        <v>23.23</v>
      </c>
      <c r="E3933">
        <f>26.53</f>
        <v>26.53</v>
      </c>
    </row>
    <row r="3934" spans="1:5" x14ac:dyDescent="0.2">
      <c r="A3934" s="1">
        <v>39626</v>
      </c>
      <c r="B3934">
        <f>23.44</f>
        <v>23.44</v>
      </c>
      <c r="C3934">
        <f>24.9617</f>
        <v>24.9617</v>
      </c>
      <c r="D3934">
        <f>24.35</f>
        <v>24.35</v>
      </c>
      <c r="E3934">
        <f>27.52</f>
        <v>27.52</v>
      </c>
    </row>
    <row r="3935" spans="1:5" x14ac:dyDescent="0.2">
      <c r="A3935" s="1">
        <v>39625</v>
      </c>
      <c r="B3935">
        <f>23.93</f>
        <v>23.93</v>
      </c>
      <c r="C3935">
        <f>24.5022</f>
        <v>24.502199999999998</v>
      </c>
      <c r="D3935">
        <f>24.48</f>
        <v>24.48</v>
      </c>
      <c r="E3935">
        <f>27.52</f>
        <v>27.52</v>
      </c>
    </row>
    <row r="3936" spans="1:5" x14ac:dyDescent="0.2">
      <c r="A3936" s="1">
        <v>39624</v>
      </c>
      <c r="B3936">
        <f>21.14</f>
        <v>21.14</v>
      </c>
      <c r="C3936">
        <f>21.9045</f>
        <v>21.904499999999999</v>
      </c>
      <c r="D3936">
        <f>22.26</f>
        <v>22.26</v>
      </c>
      <c r="E3936">
        <f>27.38</f>
        <v>27.38</v>
      </c>
    </row>
    <row r="3937" spans="1:5" x14ac:dyDescent="0.2">
      <c r="A3937" s="1">
        <v>39623</v>
      </c>
      <c r="B3937">
        <f>22.42</f>
        <v>22.42</v>
      </c>
      <c r="C3937">
        <f>23.3701</f>
        <v>23.370100000000001</v>
      </c>
      <c r="D3937">
        <f>23.19</f>
        <v>23.19</v>
      </c>
      <c r="E3937">
        <f>27.27</f>
        <v>27.27</v>
      </c>
    </row>
    <row r="3938" spans="1:5" x14ac:dyDescent="0.2">
      <c r="A3938" s="1">
        <v>39622</v>
      </c>
      <c r="B3938">
        <f>22.64</f>
        <v>22.64</v>
      </c>
      <c r="C3938">
        <f>23.0103</f>
        <v>23.010300000000001</v>
      </c>
      <c r="D3938">
        <f>23.52</f>
        <v>23.52</v>
      </c>
      <c r="E3938">
        <f>26.77</f>
        <v>26.77</v>
      </c>
    </row>
    <row r="3939" spans="1:5" x14ac:dyDescent="0.2">
      <c r="A3939" s="1">
        <v>39619</v>
      </c>
      <c r="B3939">
        <f>22.87</f>
        <v>22.87</v>
      </c>
      <c r="C3939">
        <f>24.0341</f>
        <v>24.034099999999999</v>
      </c>
      <c r="D3939">
        <f>24.1</f>
        <v>24.1</v>
      </c>
      <c r="E3939">
        <f>26.65</f>
        <v>26.65</v>
      </c>
    </row>
    <row r="3940" spans="1:5" x14ac:dyDescent="0.2">
      <c r="A3940" s="1">
        <v>39618</v>
      </c>
      <c r="B3940">
        <f>21.58</f>
        <v>21.58</v>
      </c>
      <c r="C3940">
        <f>23.0545</f>
        <v>23.054500000000001</v>
      </c>
      <c r="D3940">
        <f>23.19</f>
        <v>23.19</v>
      </c>
      <c r="E3940">
        <f>25.83</f>
        <v>25.83</v>
      </c>
    </row>
    <row r="3941" spans="1:5" x14ac:dyDescent="0.2">
      <c r="A3941" s="1">
        <v>39617</v>
      </c>
      <c r="B3941">
        <f>22.24</f>
        <v>22.24</v>
      </c>
      <c r="C3941">
        <f>23.333</f>
        <v>23.332999999999998</v>
      </c>
      <c r="D3941">
        <f>23.63</f>
        <v>23.63</v>
      </c>
      <c r="E3941">
        <f>25.83</f>
        <v>25.83</v>
      </c>
    </row>
    <row r="3942" spans="1:5" x14ac:dyDescent="0.2">
      <c r="A3942" s="1">
        <v>39616</v>
      </c>
      <c r="B3942">
        <f>21.13</f>
        <v>21.13</v>
      </c>
      <c r="C3942">
        <f>22.2066</f>
        <v>22.206600000000002</v>
      </c>
      <c r="D3942">
        <f>21.78</f>
        <v>21.78</v>
      </c>
      <c r="E3942">
        <f>25.13</f>
        <v>25.13</v>
      </c>
    </row>
    <row r="3943" spans="1:5" x14ac:dyDescent="0.2">
      <c r="A3943" s="1">
        <v>39615</v>
      </c>
      <c r="B3943">
        <f>20.95</f>
        <v>20.95</v>
      </c>
      <c r="C3943">
        <f>22.9637</f>
        <v>22.963699999999999</v>
      </c>
      <c r="D3943">
        <f>22.5</f>
        <v>22.5</v>
      </c>
      <c r="E3943" t="e">
        <f>NA()</f>
        <v>#N/A</v>
      </c>
    </row>
    <row r="3944" spans="1:5" x14ac:dyDescent="0.2">
      <c r="A3944" s="1">
        <v>39612</v>
      </c>
      <c r="B3944">
        <f>21.22</f>
        <v>21.22</v>
      </c>
      <c r="C3944">
        <f>22.4832</f>
        <v>22.4832</v>
      </c>
      <c r="D3944">
        <f>22.08</f>
        <v>22.08</v>
      </c>
      <c r="E3944">
        <f>24.82</f>
        <v>24.82</v>
      </c>
    </row>
    <row r="3945" spans="1:5" x14ac:dyDescent="0.2">
      <c r="A3945" s="1">
        <v>39611</v>
      </c>
      <c r="B3945">
        <f>23.33</f>
        <v>23.33</v>
      </c>
      <c r="C3945">
        <f>23.3041</f>
        <v>23.304099999999998</v>
      </c>
      <c r="D3945">
        <f>23.19</f>
        <v>23.19</v>
      </c>
      <c r="E3945">
        <f>25.39</f>
        <v>25.39</v>
      </c>
    </row>
    <row r="3946" spans="1:5" x14ac:dyDescent="0.2">
      <c r="A3946" s="1">
        <v>39610</v>
      </c>
      <c r="B3946">
        <f>24.12</f>
        <v>24.12</v>
      </c>
      <c r="C3946">
        <f>25.0875</f>
        <v>25.087499999999999</v>
      </c>
      <c r="D3946">
        <f>24.4</f>
        <v>24.4</v>
      </c>
      <c r="E3946">
        <f>26.84</f>
        <v>26.84</v>
      </c>
    </row>
    <row r="3947" spans="1:5" x14ac:dyDescent="0.2">
      <c r="A3947" s="1">
        <v>39609</v>
      </c>
      <c r="B3947">
        <f>23.18</f>
        <v>23.18</v>
      </c>
      <c r="C3947">
        <f>24.4123</f>
        <v>24.412299999999998</v>
      </c>
      <c r="D3947">
        <f>23.44</f>
        <v>23.44</v>
      </c>
      <c r="E3947">
        <f>25.79</f>
        <v>25.79</v>
      </c>
    </row>
    <row r="3948" spans="1:5" x14ac:dyDescent="0.2">
      <c r="A3948" s="1">
        <v>39608</v>
      </c>
      <c r="B3948">
        <f>23.12</f>
        <v>23.12</v>
      </c>
      <c r="C3948">
        <f>24.8098</f>
        <v>24.809799999999999</v>
      </c>
      <c r="D3948">
        <f>24.01</f>
        <v>24.01</v>
      </c>
      <c r="E3948">
        <f>24.75</f>
        <v>24.75</v>
      </c>
    </row>
    <row r="3949" spans="1:5" x14ac:dyDescent="0.2">
      <c r="A3949" s="1">
        <v>39605</v>
      </c>
      <c r="B3949">
        <f>23.56</f>
        <v>23.56</v>
      </c>
      <c r="C3949">
        <f>23.4071</f>
        <v>23.4071</v>
      </c>
      <c r="D3949">
        <f>23.15</f>
        <v>23.15</v>
      </c>
      <c r="E3949">
        <f>24.56</f>
        <v>24.56</v>
      </c>
    </row>
    <row r="3950" spans="1:5" x14ac:dyDescent="0.2">
      <c r="A3950" s="1">
        <v>39604</v>
      </c>
      <c r="B3950">
        <f>18.63</f>
        <v>18.63</v>
      </c>
      <c r="C3950">
        <f>21.3381</f>
        <v>21.338100000000001</v>
      </c>
      <c r="D3950">
        <f>21.15</f>
        <v>21.15</v>
      </c>
      <c r="E3950">
        <f>24.26</f>
        <v>24.26</v>
      </c>
    </row>
    <row r="3951" spans="1:5" x14ac:dyDescent="0.2">
      <c r="A3951" s="1">
        <v>39603</v>
      </c>
      <c r="B3951">
        <f>20.8</f>
        <v>20.8</v>
      </c>
      <c r="C3951">
        <f>21.7176</f>
        <v>21.717600000000001</v>
      </c>
      <c r="D3951">
        <f>21.68</f>
        <v>21.68</v>
      </c>
      <c r="E3951">
        <f>24.77</f>
        <v>24.77</v>
      </c>
    </row>
    <row r="3952" spans="1:5" x14ac:dyDescent="0.2">
      <c r="A3952" s="1">
        <v>39602</v>
      </c>
      <c r="B3952">
        <f>20.24</f>
        <v>20.239999999999998</v>
      </c>
      <c r="C3952">
        <f>21.3422</f>
        <v>21.342199999999998</v>
      </c>
      <c r="D3952">
        <f>20.92</f>
        <v>20.92</v>
      </c>
      <c r="E3952">
        <f>24.34</f>
        <v>24.34</v>
      </c>
    </row>
    <row r="3953" spans="1:5" x14ac:dyDescent="0.2">
      <c r="A3953" s="1">
        <v>39601</v>
      </c>
      <c r="B3953">
        <f>19.83</f>
        <v>19.829999999999998</v>
      </c>
      <c r="C3953">
        <f>21.599</f>
        <v>21.599</v>
      </c>
      <c r="D3953">
        <f>21.86</f>
        <v>21.86</v>
      </c>
      <c r="E3953">
        <f>24.05</f>
        <v>24.05</v>
      </c>
    </row>
    <row r="3954" spans="1:5" x14ac:dyDescent="0.2">
      <c r="A3954" s="1">
        <v>39598</v>
      </c>
      <c r="B3954">
        <f>17.83</f>
        <v>17.829999999999998</v>
      </c>
      <c r="C3954">
        <f>19.6841</f>
        <v>19.684100000000001</v>
      </c>
      <c r="D3954">
        <f>20.84</f>
        <v>20.84</v>
      </c>
      <c r="E3954">
        <f>24.26</f>
        <v>24.26</v>
      </c>
    </row>
    <row r="3955" spans="1:5" x14ac:dyDescent="0.2">
      <c r="A3955" s="1">
        <v>39597</v>
      </c>
      <c r="B3955">
        <f>18.14</f>
        <v>18.14</v>
      </c>
      <c r="C3955">
        <f>19.9027</f>
        <v>19.902699999999999</v>
      </c>
      <c r="D3955">
        <f>21.14</f>
        <v>21.14</v>
      </c>
      <c r="E3955">
        <f>24.17</f>
        <v>24.17</v>
      </c>
    </row>
    <row r="3956" spans="1:5" x14ac:dyDescent="0.2">
      <c r="A3956" s="1">
        <v>39596</v>
      </c>
      <c r="B3956">
        <f>19.07</f>
        <v>19.07</v>
      </c>
      <c r="C3956">
        <f>20.7966</f>
        <v>20.796600000000002</v>
      </c>
      <c r="D3956">
        <f>21.91</f>
        <v>21.91</v>
      </c>
      <c r="E3956">
        <f>22.97</f>
        <v>22.97</v>
      </c>
    </row>
    <row r="3957" spans="1:5" x14ac:dyDescent="0.2">
      <c r="A3957" s="1">
        <v>39595</v>
      </c>
      <c r="B3957">
        <f>19.64</f>
        <v>19.64</v>
      </c>
      <c r="C3957">
        <f>21.6836</f>
        <v>21.683599999999998</v>
      </c>
      <c r="D3957">
        <f>22.15</f>
        <v>22.15</v>
      </c>
      <c r="E3957">
        <f>22.31</f>
        <v>22.31</v>
      </c>
    </row>
    <row r="3958" spans="1:5" x14ac:dyDescent="0.2">
      <c r="A3958" s="1">
        <v>39594</v>
      </c>
      <c r="B3958" t="e">
        <f>NA()</f>
        <v>#N/A</v>
      </c>
      <c r="C3958">
        <f>21.807</f>
        <v>21.806999999999999</v>
      </c>
      <c r="D3958" t="e">
        <f>NA()</f>
        <v>#N/A</v>
      </c>
      <c r="E3958">
        <f>21.49</f>
        <v>21.49</v>
      </c>
    </row>
    <row r="3959" spans="1:5" x14ac:dyDescent="0.2">
      <c r="A3959" s="1">
        <v>39591</v>
      </c>
      <c r="B3959">
        <f>19.55</f>
        <v>19.55</v>
      </c>
      <c r="C3959">
        <f>21.4552</f>
        <v>21.455200000000001</v>
      </c>
      <c r="D3959">
        <f>21.19</f>
        <v>21.19</v>
      </c>
      <c r="E3959">
        <f>21.63</f>
        <v>21.63</v>
      </c>
    </row>
    <row r="3960" spans="1:5" x14ac:dyDescent="0.2">
      <c r="A3960" s="1">
        <v>39590</v>
      </c>
      <c r="B3960">
        <f>18.05</f>
        <v>18.05</v>
      </c>
      <c r="C3960">
        <f>19.5563</f>
        <v>19.5563</v>
      </c>
      <c r="D3960">
        <f>19.85</f>
        <v>19.850000000000001</v>
      </c>
      <c r="E3960">
        <f>20.66</f>
        <v>20.66</v>
      </c>
    </row>
    <row r="3961" spans="1:5" x14ac:dyDescent="0.2">
      <c r="A3961" s="1">
        <v>39589</v>
      </c>
      <c r="B3961">
        <f>18.59</f>
        <v>18.59</v>
      </c>
      <c r="C3961">
        <f>19.9703</f>
        <v>19.970300000000002</v>
      </c>
      <c r="D3961">
        <f>19.63</f>
        <v>19.63</v>
      </c>
      <c r="E3961">
        <f>20.81</f>
        <v>20.81</v>
      </c>
    </row>
    <row r="3962" spans="1:5" x14ac:dyDescent="0.2">
      <c r="A3962" s="1">
        <v>39588</v>
      </c>
      <c r="B3962">
        <f>17.58</f>
        <v>17.579999999999998</v>
      </c>
      <c r="C3962">
        <f>20.0612</f>
        <v>20.061199999999999</v>
      </c>
      <c r="D3962">
        <f>19.15</f>
        <v>19.149999999999999</v>
      </c>
      <c r="E3962">
        <f>21.15</f>
        <v>21.15</v>
      </c>
    </row>
    <row r="3963" spans="1:5" x14ac:dyDescent="0.2">
      <c r="A3963" s="1">
        <v>39587</v>
      </c>
      <c r="B3963">
        <f>17.01</f>
        <v>17.010000000000002</v>
      </c>
      <c r="C3963">
        <f>18.245</f>
        <v>18.245000000000001</v>
      </c>
      <c r="D3963">
        <f>16.51</f>
        <v>16.510000000000002</v>
      </c>
      <c r="E3963">
        <f>20.63</f>
        <v>20.63</v>
      </c>
    </row>
    <row r="3964" spans="1:5" x14ac:dyDescent="0.2">
      <c r="A3964" s="1">
        <v>39584</v>
      </c>
      <c r="B3964">
        <f>16.47</f>
        <v>16.47</v>
      </c>
      <c r="C3964">
        <f>18.5667</f>
        <v>18.566700000000001</v>
      </c>
      <c r="D3964">
        <f>17.37</f>
        <v>17.37</v>
      </c>
      <c r="E3964">
        <f>21.25</f>
        <v>21.25</v>
      </c>
    </row>
    <row r="3965" spans="1:5" x14ac:dyDescent="0.2">
      <c r="A3965" s="1">
        <v>39583</v>
      </c>
      <c r="B3965">
        <f>16.3</f>
        <v>16.3</v>
      </c>
      <c r="C3965">
        <f>18.8714</f>
        <v>18.871400000000001</v>
      </c>
      <c r="D3965">
        <f>17.81</f>
        <v>17.809999999999999</v>
      </c>
      <c r="E3965">
        <f>21.55</f>
        <v>21.55</v>
      </c>
    </row>
    <row r="3966" spans="1:5" x14ac:dyDescent="0.2">
      <c r="A3966" s="1">
        <v>39582</v>
      </c>
      <c r="B3966">
        <f>17.66</f>
        <v>17.66</v>
      </c>
      <c r="C3966">
        <f>19.6439</f>
        <v>19.643899999999999</v>
      </c>
      <c r="D3966">
        <f>18.67</f>
        <v>18.670000000000002</v>
      </c>
      <c r="E3966">
        <f>22.36</f>
        <v>22.36</v>
      </c>
    </row>
    <row r="3967" spans="1:5" x14ac:dyDescent="0.2">
      <c r="A3967" s="1">
        <v>39581</v>
      </c>
      <c r="B3967">
        <f>17.98</f>
        <v>17.98</v>
      </c>
      <c r="C3967">
        <f>21.8017</f>
        <v>21.8017</v>
      </c>
      <c r="D3967">
        <f>19.32</f>
        <v>19.32</v>
      </c>
      <c r="E3967">
        <f>22.75</f>
        <v>22.75</v>
      </c>
    </row>
    <row r="3968" spans="1:5" x14ac:dyDescent="0.2">
      <c r="A3968" s="1">
        <v>39580</v>
      </c>
      <c r="B3968">
        <f>17.79</f>
        <v>17.79</v>
      </c>
      <c r="C3968">
        <f>21.1972</f>
        <v>21.197199999999999</v>
      </c>
      <c r="D3968">
        <f>19.2</f>
        <v>19.2</v>
      </c>
      <c r="E3968">
        <f>22.67</f>
        <v>22.67</v>
      </c>
    </row>
    <row r="3969" spans="1:5" x14ac:dyDescent="0.2">
      <c r="A3969" s="1">
        <v>39577</v>
      </c>
      <c r="B3969">
        <f>19.41</f>
        <v>19.41</v>
      </c>
      <c r="C3969">
        <f>20.6725</f>
        <v>20.672499999999999</v>
      </c>
      <c r="D3969">
        <f>18.46</f>
        <v>18.46</v>
      </c>
      <c r="E3969">
        <f>22.55</f>
        <v>22.55</v>
      </c>
    </row>
    <row r="3970" spans="1:5" x14ac:dyDescent="0.2">
      <c r="A3970" s="1">
        <v>39576</v>
      </c>
      <c r="B3970">
        <f>19.4</f>
        <v>19.399999999999999</v>
      </c>
      <c r="C3970">
        <f>19.947</f>
        <v>19.946999999999999</v>
      </c>
      <c r="D3970">
        <f>17.65</f>
        <v>17.649999999999999</v>
      </c>
      <c r="E3970">
        <f>22.68</f>
        <v>22.68</v>
      </c>
    </row>
    <row r="3971" spans="1:5" x14ac:dyDescent="0.2">
      <c r="A3971" s="1">
        <v>39575</v>
      </c>
      <c r="B3971">
        <f>19.73</f>
        <v>19.73</v>
      </c>
      <c r="C3971">
        <f>19.5765</f>
        <v>19.576499999999999</v>
      </c>
      <c r="D3971">
        <f>18.14</f>
        <v>18.14</v>
      </c>
      <c r="E3971">
        <f>22.65</f>
        <v>22.65</v>
      </c>
    </row>
    <row r="3972" spans="1:5" x14ac:dyDescent="0.2">
      <c r="A3972" s="1">
        <v>39574</v>
      </c>
      <c r="B3972">
        <f>18.21</f>
        <v>18.21</v>
      </c>
      <c r="C3972">
        <f>20.0878</f>
        <v>20.087800000000001</v>
      </c>
      <c r="D3972">
        <f>18.66</f>
        <v>18.66</v>
      </c>
      <c r="E3972">
        <f>22.8</f>
        <v>22.8</v>
      </c>
    </row>
    <row r="3973" spans="1:5" x14ac:dyDescent="0.2">
      <c r="A3973" s="1">
        <v>39573</v>
      </c>
      <c r="B3973">
        <f>18.9</f>
        <v>18.899999999999999</v>
      </c>
      <c r="C3973">
        <f>19.9163</f>
        <v>19.9163</v>
      </c>
      <c r="D3973" t="e">
        <f>NA()</f>
        <v>#N/A</v>
      </c>
      <c r="E3973">
        <f>23.35</f>
        <v>23.35</v>
      </c>
    </row>
    <row r="3974" spans="1:5" x14ac:dyDescent="0.2">
      <c r="A3974" s="1">
        <v>39570</v>
      </c>
      <c r="B3974">
        <f>18.18</f>
        <v>18.18</v>
      </c>
      <c r="C3974">
        <f>19.7693</f>
        <v>19.769300000000001</v>
      </c>
      <c r="D3974">
        <f>18.07</f>
        <v>18.07</v>
      </c>
      <c r="E3974" t="e">
        <f>NA()</f>
        <v>#N/A</v>
      </c>
    </row>
    <row r="3975" spans="1:5" x14ac:dyDescent="0.2">
      <c r="A3975" s="1">
        <v>39569</v>
      </c>
      <c r="B3975">
        <f>18.88</f>
        <v>18.88</v>
      </c>
      <c r="C3975" t="e">
        <f>NA()</f>
        <v>#N/A</v>
      </c>
      <c r="D3975">
        <f>20.82</f>
        <v>20.82</v>
      </c>
      <c r="E3975" t="e">
        <f>NA()</f>
        <v>#N/A</v>
      </c>
    </row>
    <row r="3976" spans="1:5" x14ac:dyDescent="0.2">
      <c r="A3976" s="1">
        <v>39568</v>
      </c>
      <c r="B3976">
        <f>20.79</f>
        <v>20.79</v>
      </c>
      <c r="C3976">
        <f>20.8781</f>
        <v>20.8781</v>
      </c>
      <c r="D3976">
        <f>19.93</f>
        <v>19.93</v>
      </c>
      <c r="E3976">
        <f>24.08</f>
        <v>24.08</v>
      </c>
    </row>
    <row r="3977" spans="1:5" x14ac:dyDescent="0.2">
      <c r="A3977" s="1">
        <v>39567</v>
      </c>
      <c r="B3977">
        <f>20.24</f>
        <v>20.239999999999998</v>
      </c>
      <c r="C3977">
        <f>21.5211</f>
        <v>21.521100000000001</v>
      </c>
      <c r="D3977">
        <f>20.29</f>
        <v>20.29</v>
      </c>
      <c r="E3977">
        <f>24.24</f>
        <v>24.24</v>
      </c>
    </row>
    <row r="3978" spans="1:5" x14ac:dyDescent="0.2">
      <c r="A3978" s="1">
        <v>39566</v>
      </c>
      <c r="B3978">
        <f>19.64</f>
        <v>19.64</v>
      </c>
      <c r="C3978">
        <f>21.0962</f>
        <v>21.0962</v>
      </c>
      <c r="D3978">
        <f>19.86</f>
        <v>19.86</v>
      </c>
      <c r="E3978" t="e">
        <f>NA()</f>
        <v>#N/A</v>
      </c>
    </row>
    <row r="3979" spans="1:5" x14ac:dyDescent="0.2">
      <c r="A3979" s="1">
        <v>39563</v>
      </c>
      <c r="B3979">
        <f>19.59</f>
        <v>19.59</v>
      </c>
      <c r="C3979">
        <f>20.9661</f>
        <v>20.966100000000001</v>
      </c>
      <c r="D3979">
        <f>19.53</f>
        <v>19.53</v>
      </c>
      <c r="E3979">
        <f>23.67</f>
        <v>23.67</v>
      </c>
    </row>
    <row r="3980" spans="1:5" x14ac:dyDescent="0.2">
      <c r="A3980" s="1">
        <v>39562</v>
      </c>
      <c r="B3980">
        <f>20.06</f>
        <v>20.059999999999999</v>
      </c>
      <c r="C3980">
        <f>21.3973</f>
        <v>21.397300000000001</v>
      </c>
      <c r="D3980">
        <f>20</f>
        <v>20</v>
      </c>
      <c r="E3980">
        <f>23.76</f>
        <v>23.76</v>
      </c>
    </row>
    <row r="3981" spans="1:5" x14ac:dyDescent="0.2">
      <c r="A3981" s="1">
        <v>39561</v>
      </c>
      <c r="B3981">
        <f>20.26</f>
        <v>20.260000000000002</v>
      </c>
      <c r="C3981">
        <f>22.2164</f>
        <v>22.2164</v>
      </c>
      <c r="D3981">
        <f>20.17</f>
        <v>20.170000000000002</v>
      </c>
      <c r="E3981">
        <f>24.44</f>
        <v>24.44</v>
      </c>
    </row>
    <row r="3982" spans="1:5" x14ac:dyDescent="0.2">
      <c r="A3982" s="1">
        <v>39560</v>
      </c>
      <c r="B3982">
        <f>20.87</f>
        <v>20.87</v>
      </c>
      <c r="C3982">
        <f>22.9447</f>
        <v>22.944700000000001</v>
      </c>
      <c r="D3982">
        <f>21.05</f>
        <v>21.05</v>
      </c>
      <c r="E3982">
        <f>24.64</f>
        <v>24.64</v>
      </c>
    </row>
    <row r="3983" spans="1:5" x14ac:dyDescent="0.2">
      <c r="A3983" s="1">
        <v>39559</v>
      </c>
      <c r="B3983">
        <f>20.5</f>
        <v>20.5</v>
      </c>
      <c r="C3983">
        <f>22.3629</f>
        <v>22.3629</v>
      </c>
      <c r="D3983">
        <f>20.68</f>
        <v>20.68</v>
      </c>
      <c r="E3983">
        <f>25.37</f>
        <v>25.37</v>
      </c>
    </row>
    <row r="3984" spans="1:5" x14ac:dyDescent="0.2">
      <c r="A3984" s="1">
        <v>39556</v>
      </c>
      <c r="B3984">
        <f>20.13</f>
        <v>20.13</v>
      </c>
      <c r="C3984">
        <f>21.6331</f>
        <v>21.633099999999999</v>
      </c>
      <c r="D3984">
        <f>20.02</f>
        <v>20.02</v>
      </c>
      <c r="E3984">
        <f>25.58</f>
        <v>25.58</v>
      </c>
    </row>
    <row r="3985" spans="1:5" x14ac:dyDescent="0.2">
      <c r="A3985" s="1">
        <v>39555</v>
      </c>
      <c r="B3985">
        <f>20.37</f>
        <v>20.37</v>
      </c>
      <c r="C3985">
        <f>23.3232</f>
        <v>23.3232</v>
      </c>
      <c r="D3985">
        <f>21.52</f>
        <v>21.52</v>
      </c>
      <c r="E3985">
        <f>25.75</f>
        <v>25.75</v>
      </c>
    </row>
    <row r="3986" spans="1:5" x14ac:dyDescent="0.2">
      <c r="A3986" s="1">
        <v>39554</v>
      </c>
      <c r="B3986">
        <f>20.53</f>
        <v>20.53</v>
      </c>
      <c r="C3986">
        <f>22.9991</f>
        <v>22.999099999999999</v>
      </c>
      <c r="D3986">
        <f>21.29</f>
        <v>21.29</v>
      </c>
      <c r="E3986">
        <f>26.25</f>
        <v>26.25</v>
      </c>
    </row>
    <row r="3987" spans="1:5" x14ac:dyDescent="0.2">
      <c r="A3987" s="1">
        <v>39553</v>
      </c>
      <c r="B3987">
        <f>22.78</f>
        <v>22.78</v>
      </c>
      <c r="C3987">
        <f>25.0443</f>
        <v>25.0443</v>
      </c>
      <c r="D3987">
        <f>22.82</f>
        <v>22.82</v>
      </c>
      <c r="E3987">
        <f>26.1</f>
        <v>26.1</v>
      </c>
    </row>
    <row r="3988" spans="1:5" x14ac:dyDescent="0.2">
      <c r="A3988" s="1">
        <v>39552</v>
      </c>
      <c r="B3988">
        <f>23.82</f>
        <v>23.82</v>
      </c>
      <c r="C3988">
        <f>25.933</f>
        <v>25.933</v>
      </c>
      <c r="D3988">
        <f>23.69</f>
        <v>23.69</v>
      </c>
      <c r="E3988">
        <f>26.93</f>
        <v>26.93</v>
      </c>
    </row>
    <row r="3989" spans="1:5" x14ac:dyDescent="0.2">
      <c r="A3989" s="1">
        <v>39549</v>
      </c>
      <c r="B3989">
        <f>23.46</f>
        <v>23.46</v>
      </c>
      <c r="C3989">
        <f>24.7553</f>
        <v>24.755299999999998</v>
      </c>
      <c r="D3989">
        <f>22.23</f>
        <v>22.23</v>
      </c>
      <c r="E3989">
        <f>26.83</f>
        <v>26.83</v>
      </c>
    </row>
    <row r="3990" spans="1:5" x14ac:dyDescent="0.2">
      <c r="A3990" s="1">
        <v>39548</v>
      </c>
      <c r="B3990">
        <f>21.98</f>
        <v>21.98</v>
      </c>
      <c r="C3990">
        <f>23.7622</f>
        <v>23.7622</v>
      </c>
      <c r="D3990">
        <f>21.29</f>
        <v>21.29</v>
      </c>
      <c r="E3990">
        <f>27.97</f>
        <v>27.97</v>
      </c>
    </row>
    <row r="3991" spans="1:5" x14ac:dyDescent="0.2">
      <c r="A3991" s="1">
        <v>39547</v>
      </c>
      <c r="B3991">
        <f>22.81</f>
        <v>22.81</v>
      </c>
      <c r="C3991">
        <f>24.136</f>
        <v>24.135999999999999</v>
      </c>
      <c r="D3991">
        <f>21.65</f>
        <v>21.65</v>
      </c>
      <c r="E3991">
        <f>26.87</f>
        <v>26.87</v>
      </c>
    </row>
    <row r="3992" spans="1:5" x14ac:dyDescent="0.2">
      <c r="A3992" s="1">
        <v>39546</v>
      </c>
      <c r="B3992">
        <f>22.36</f>
        <v>22.36</v>
      </c>
      <c r="C3992">
        <f>24.0381</f>
        <v>24.0381</v>
      </c>
      <c r="D3992">
        <f>21.95</f>
        <v>21.95</v>
      </c>
      <c r="E3992">
        <f>27.83</f>
        <v>27.83</v>
      </c>
    </row>
    <row r="3993" spans="1:5" x14ac:dyDescent="0.2">
      <c r="A3993" s="1">
        <v>39545</v>
      </c>
      <c r="B3993">
        <f>22.42</f>
        <v>22.42</v>
      </c>
      <c r="C3993">
        <f>23.3615</f>
        <v>23.361499999999999</v>
      </c>
      <c r="D3993">
        <f>21.53</f>
        <v>21.53</v>
      </c>
      <c r="E3993">
        <f>28.04</f>
        <v>28.04</v>
      </c>
    </row>
    <row r="3994" spans="1:5" x14ac:dyDescent="0.2">
      <c r="A3994" s="1">
        <v>39542</v>
      </c>
      <c r="B3994">
        <f>22.45</f>
        <v>22.45</v>
      </c>
      <c r="C3994">
        <f>23.8251</f>
        <v>23.825099999999999</v>
      </c>
      <c r="D3994">
        <f>21.95</f>
        <v>21.95</v>
      </c>
      <c r="E3994">
        <f>28.85</f>
        <v>28.85</v>
      </c>
    </row>
    <row r="3995" spans="1:5" x14ac:dyDescent="0.2">
      <c r="A3995" s="1">
        <v>39541</v>
      </c>
      <c r="B3995">
        <f>23.21</f>
        <v>23.21</v>
      </c>
      <c r="C3995">
        <f>25.1853</f>
        <v>25.185300000000002</v>
      </c>
      <c r="D3995">
        <f>23.39</f>
        <v>23.39</v>
      </c>
      <c r="E3995">
        <f>29.76</f>
        <v>29.76</v>
      </c>
    </row>
    <row r="3996" spans="1:5" x14ac:dyDescent="0.2">
      <c r="A3996" s="1">
        <v>39540</v>
      </c>
      <c r="B3996">
        <f>23.43</f>
        <v>23.43</v>
      </c>
      <c r="C3996">
        <f>24.5911</f>
        <v>24.591100000000001</v>
      </c>
      <c r="D3996">
        <f>22.99</f>
        <v>22.99</v>
      </c>
      <c r="E3996">
        <f>30.12</f>
        <v>30.12</v>
      </c>
    </row>
    <row r="3997" spans="1:5" x14ac:dyDescent="0.2">
      <c r="A3997" s="1">
        <v>39539</v>
      </c>
      <c r="B3997">
        <f>22.68</f>
        <v>22.68</v>
      </c>
      <c r="C3997">
        <f>24.6244</f>
        <v>24.624400000000001</v>
      </c>
      <c r="D3997">
        <f>23.41</f>
        <v>23.41</v>
      </c>
      <c r="E3997">
        <f>30.9</f>
        <v>30.9</v>
      </c>
    </row>
    <row r="3998" spans="1:5" x14ac:dyDescent="0.2">
      <c r="A3998" s="1">
        <v>39538</v>
      </c>
      <c r="B3998">
        <f>25.61</f>
        <v>25.61</v>
      </c>
      <c r="C3998">
        <f>27.3083</f>
        <v>27.308299999999999</v>
      </c>
      <c r="D3998">
        <f>26.08</f>
        <v>26.08</v>
      </c>
      <c r="E3998">
        <f>30.7</f>
        <v>30.7</v>
      </c>
    </row>
    <row r="3999" spans="1:5" x14ac:dyDescent="0.2">
      <c r="A3999" s="1">
        <v>39535</v>
      </c>
      <c r="B3999">
        <f>25.71</f>
        <v>25.71</v>
      </c>
      <c r="C3999">
        <f>26.2793</f>
        <v>26.279299999999999</v>
      </c>
      <c r="D3999">
        <f>25.34</f>
        <v>25.34</v>
      </c>
      <c r="E3999">
        <f>30.58</f>
        <v>30.58</v>
      </c>
    </row>
    <row r="4000" spans="1:5" x14ac:dyDescent="0.2">
      <c r="A4000" s="1">
        <v>39534</v>
      </c>
      <c r="B4000">
        <f>25.88</f>
        <v>25.88</v>
      </c>
      <c r="C4000">
        <f>27.129</f>
        <v>27.129000000000001</v>
      </c>
      <c r="D4000">
        <f>25.57</f>
        <v>25.57</v>
      </c>
      <c r="E4000">
        <f>30.61</f>
        <v>30.61</v>
      </c>
    </row>
    <row r="4001" spans="1:5" x14ac:dyDescent="0.2">
      <c r="A4001" s="1">
        <v>39533</v>
      </c>
      <c r="B4001">
        <f>26.08</f>
        <v>26.08</v>
      </c>
      <c r="C4001">
        <f>28.655</f>
        <v>28.655000000000001</v>
      </c>
      <c r="D4001">
        <f>26.92</f>
        <v>26.92</v>
      </c>
      <c r="E4001">
        <f>31.07</f>
        <v>31.07</v>
      </c>
    </row>
    <row r="4002" spans="1:5" x14ac:dyDescent="0.2">
      <c r="A4002" s="1">
        <v>39532</v>
      </c>
      <c r="B4002">
        <f>25.72</f>
        <v>25.72</v>
      </c>
      <c r="C4002">
        <f>28.7098</f>
        <v>28.709800000000001</v>
      </c>
      <c r="D4002">
        <f>27.68</f>
        <v>27.68</v>
      </c>
      <c r="E4002">
        <f>31.1</f>
        <v>31.1</v>
      </c>
    </row>
    <row r="4003" spans="1:5" x14ac:dyDescent="0.2">
      <c r="A4003" s="1">
        <v>39531</v>
      </c>
      <c r="B4003">
        <f>25.73</f>
        <v>25.73</v>
      </c>
      <c r="C4003" t="e">
        <f>NA()</f>
        <v>#N/A</v>
      </c>
      <c r="D4003" t="e">
        <f>NA()</f>
        <v>#N/A</v>
      </c>
      <c r="E4003" t="e">
        <f>NA()</f>
        <v>#N/A</v>
      </c>
    </row>
    <row r="4004" spans="1:5" x14ac:dyDescent="0.2">
      <c r="A4004" s="1">
        <v>39527</v>
      </c>
      <c r="B4004">
        <f>26.62</f>
        <v>26.62</v>
      </c>
      <c r="C4004">
        <f>30.3668</f>
        <v>30.366800000000001</v>
      </c>
      <c r="D4004">
        <f>29.95</f>
        <v>29.95</v>
      </c>
      <c r="E4004">
        <f>31.88</f>
        <v>31.88</v>
      </c>
    </row>
    <row r="4005" spans="1:5" x14ac:dyDescent="0.2">
      <c r="A4005" s="1">
        <v>39526</v>
      </c>
      <c r="B4005">
        <f>29.84</f>
        <v>29.84</v>
      </c>
      <c r="C4005">
        <f>31.3786</f>
        <v>31.378599999999999</v>
      </c>
      <c r="D4005">
        <f>29.82</f>
        <v>29.82</v>
      </c>
      <c r="E4005">
        <f>30.48</f>
        <v>30.48</v>
      </c>
    </row>
    <row r="4006" spans="1:5" x14ac:dyDescent="0.2">
      <c r="A4006" s="1">
        <v>39525</v>
      </c>
      <c r="B4006">
        <f>25.79</f>
        <v>25.79</v>
      </c>
      <c r="C4006">
        <f>33.1468</f>
        <v>33.146799999999999</v>
      </c>
      <c r="D4006">
        <f>30.46</f>
        <v>30.46</v>
      </c>
      <c r="E4006">
        <f>29.49</f>
        <v>29.49</v>
      </c>
    </row>
    <row r="4007" spans="1:5" x14ac:dyDescent="0.2">
      <c r="A4007" s="1">
        <v>39524</v>
      </c>
      <c r="B4007">
        <f>32.24</f>
        <v>32.24</v>
      </c>
      <c r="C4007">
        <f>37.0497</f>
        <v>37.049700000000001</v>
      </c>
      <c r="D4007">
        <f>34.25</f>
        <v>34.25</v>
      </c>
      <c r="E4007">
        <f>29.31</f>
        <v>29.31</v>
      </c>
    </row>
    <row r="4008" spans="1:5" x14ac:dyDescent="0.2">
      <c r="A4008" s="1">
        <v>39521</v>
      </c>
      <c r="B4008">
        <f>31.16</f>
        <v>31.16</v>
      </c>
      <c r="C4008">
        <f>31.5852</f>
        <v>31.5852</v>
      </c>
      <c r="D4008">
        <f>30.43</f>
        <v>30.43</v>
      </c>
      <c r="E4008">
        <f>27.84</f>
        <v>27.84</v>
      </c>
    </row>
    <row r="4009" spans="1:5" x14ac:dyDescent="0.2">
      <c r="A4009" s="1">
        <v>39520</v>
      </c>
      <c r="B4009">
        <f>27.29</f>
        <v>27.29</v>
      </c>
      <c r="C4009">
        <f>29.6542</f>
        <v>29.654199999999999</v>
      </c>
      <c r="D4009">
        <f>28.71</f>
        <v>28.71</v>
      </c>
      <c r="E4009">
        <f>27.82</f>
        <v>27.82</v>
      </c>
    </row>
    <row r="4010" spans="1:5" x14ac:dyDescent="0.2">
      <c r="A4010" s="1">
        <v>39519</v>
      </c>
      <c r="B4010">
        <f>27.22</f>
        <v>27.22</v>
      </c>
      <c r="C4010">
        <f>28.7552</f>
        <v>28.755199999999999</v>
      </c>
      <c r="D4010">
        <f>27.44</f>
        <v>27.44</v>
      </c>
      <c r="E4010">
        <f>27.5</f>
        <v>27.5</v>
      </c>
    </row>
    <row r="4011" spans="1:5" x14ac:dyDescent="0.2">
      <c r="A4011" s="1">
        <v>39518</v>
      </c>
      <c r="B4011">
        <f>26.36</f>
        <v>26.36</v>
      </c>
      <c r="C4011">
        <f>29.7674</f>
        <v>29.767399999999999</v>
      </c>
      <c r="D4011">
        <f>29.26</f>
        <v>29.26</v>
      </c>
      <c r="E4011">
        <f>27.98</f>
        <v>27.98</v>
      </c>
    </row>
    <row r="4012" spans="1:5" x14ac:dyDescent="0.2">
      <c r="A4012" s="1">
        <v>39517</v>
      </c>
      <c r="B4012">
        <f>29.38</f>
        <v>29.38</v>
      </c>
      <c r="C4012">
        <f>32.0537</f>
        <v>32.053699999999999</v>
      </c>
      <c r="D4012">
        <f>31.13</f>
        <v>31.13</v>
      </c>
      <c r="E4012">
        <f>27.63</f>
        <v>27.63</v>
      </c>
    </row>
    <row r="4013" spans="1:5" x14ac:dyDescent="0.2">
      <c r="A4013" s="1">
        <v>39514</v>
      </c>
      <c r="B4013">
        <f>27.49</f>
        <v>27.49</v>
      </c>
      <c r="C4013">
        <f>31.556</f>
        <v>31.556000000000001</v>
      </c>
      <c r="D4013">
        <f>30.49</f>
        <v>30.49</v>
      </c>
      <c r="E4013">
        <f>26.87</f>
        <v>26.87</v>
      </c>
    </row>
    <row r="4014" spans="1:5" x14ac:dyDescent="0.2">
      <c r="A4014" s="1">
        <v>39513</v>
      </c>
      <c r="B4014">
        <f>27.55</f>
        <v>27.55</v>
      </c>
      <c r="C4014">
        <f>30.6213</f>
        <v>30.621300000000002</v>
      </c>
      <c r="D4014">
        <f>30.2</f>
        <v>30.2</v>
      </c>
      <c r="E4014">
        <f>26.53</f>
        <v>26.53</v>
      </c>
    </row>
    <row r="4015" spans="1:5" x14ac:dyDescent="0.2">
      <c r="A4015" s="1">
        <v>39512</v>
      </c>
      <c r="B4015">
        <f>24.6</f>
        <v>24.6</v>
      </c>
      <c r="C4015">
        <f>29.753</f>
        <v>29.753</v>
      </c>
      <c r="D4015">
        <f>28.77</f>
        <v>28.77</v>
      </c>
      <c r="E4015">
        <f>27.37</f>
        <v>27.37</v>
      </c>
    </row>
    <row r="4016" spans="1:5" x14ac:dyDescent="0.2">
      <c r="A4016" s="1">
        <v>39511</v>
      </c>
      <c r="B4016">
        <f>25.52</f>
        <v>25.52</v>
      </c>
      <c r="C4016">
        <f>31.4554</f>
        <v>31.455400000000001</v>
      </c>
      <c r="D4016">
        <f>31.08</f>
        <v>31.08</v>
      </c>
      <c r="E4016">
        <f>27.07</f>
        <v>27.07</v>
      </c>
    </row>
    <row r="4017" spans="1:5" x14ac:dyDescent="0.2">
      <c r="A4017" s="1">
        <v>39510</v>
      </c>
      <c r="B4017">
        <f>26.28</f>
        <v>26.28</v>
      </c>
      <c r="C4017">
        <f>30.8962</f>
        <v>30.8962</v>
      </c>
      <c r="D4017">
        <f>30.14</f>
        <v>30.14</v>
      </c>
      <c r="E4017">
        <f>27.24</f>
        <v>27.24</v>
      </c>
    </row>
    <row r="4018" spans="1:5" x14ac:dyDescent="0.2">
      <c r="A4018" s="1">
        <v>39507</v>
      </c>
      <c r="B4018">
        <f>26.54</f>
        <v>26.54</v>
      </c>
      <c r="C4018">
        <f>28.6914</f>
        <v>28.691400000000002</v>
      </c>
      <c r="D4018">
        <f>28.76</f>
        <v>28.76</v>
      </c>
      <c r="E4018">
        <f>27.68</f>
        <v>27.68</v>
      </c>
    </row>
    <row r="4019" spans="1:5" x14ac:dyDescent="0.2">
      <c r="A4019" s="1">
        <v>39506</v>
      </c>
      <c r="B4019">
        <f>23.53</f>
        <v>23.53</v>
      </c>
      <c r="C4019">
        <f>26.0736</f>
        <v>26.073599999999999</v>
      </c>
      <c r="D4019">
        <f>26.72</f>
        <v>26.72</v>
      </c>
      <c r="E4019">
        <f>28.14</f>
        <v>28.14</v>
      </c>
    </row>
    <row r="4020" spans="1:5" x14ac:dyDescent="0.2">
      <c r="A4020" s="1">
        <v>39505</v>
      </c>
      <c r="B4020">
        <f>22.69</f>
        <v>22.69</v>
      </c>
      <c r="C4020">
        <f>25.249</f>
        <v>25.248999999999999</v>
      </c>
      <c r="D4020">
        <f>24.97</f>
        <v>24.97</v>
      </c>
      <c r="E4020">
        <f>28.45</f>
        <v>28.45</v>
      </c>
    </row>
    <row r="4021" spans="1:5" x14ac:dyDescent="0.2">
      <c r="A4021" s="1">
        <v>39504</v>
      </c>
      <c r="B4021">
        <f>21.9</f>
        <v>21.9</v>
      </c>
      <c r="C4021">
        <f>25.8832</f>
        <v>25.883199999999999</v>
      </c>
      <c r="D4021">
        <f>25.3</f>
        <v>25.3</v>
      </c>
      <c r="E4021">
        <f>28.59</f>
        <v>28.59</v>
      </c>
    </row>
    <row r="4022" spans="1:5" x14ac:dyDescent="0.2">
      <c r="A4022" s="1">
        <v>39503</v>
      </c>
      <c r="B4022">
        <f>23.03</f>
        <v>23.03</v>
      </c>
      <c r="C4022">
        <f>27.8544</f>
        <v>27.854399999999998</v>
      </c>
      <c r="D4022">
        <f>26.51</f>
        <v>26.51</v>
      </c>
      <c r="E4022">
        <f>28.81</f>
        <v>28.81</v>
      </c>
    </row>
    <row r="4023" spans="1:5" x14ac:dyDescent="0.2">
      <c r="A4023" s="1">
        <v>39500</v>
      </c>
      <c r="B4023">
        <f>24.06</f>
        <v>24.06</v>
      </c>
      <c r="C4023">
        <f>28.7621</f>
        <v>28.7621</v>
      </c>
      <c r="D4023">
        <f>27.28</f>
        <v>27.28</v>
      </c>
      <c r="E4023">
        <f>29.15</f>
        <v>29.15</v>
      </c>
    </row>
    <row r="4024" spans="1:5" x14ac:dyDescent="0.2">
      <c r="A4024" s="1">
        <v>39499</v>
      </c>
      <c r="B4024">
        <f>25.12</f>
        <v>25.12</v>
      </c>
      <c r="C4024">
        <f>28.3885</f>
        <v>28.388500000000001</v>
      </c>
      <c r="D4024">
        <f>26.93</f>
        <v>26.93</v>
      </c>
      <c r="E4024">
        <f>29.51</f>
        <v>29.51</v>
      </c>
    </row>
    <row r="4025" spans="1:5" x14ac:dyDescent="0.2">
      <c r="A4025" s="1">
        <v>39498</v>
      </c>
      <c r="B4025">
        <f>24.4</f>
        <v>24.4</v>
      </c>
      <c r="C4025">
        <f>29.0684</f>
        <v>29.0684</v>
      </c>
      <c r="D4025">
        <f>27.61</f>
        <v>27.61</v>
      </c>
      <c r="E4025">
        <f>30.29</f>
        <v>30.29</v>
      </c>
    </row>
    <row r="4026" spans="1:5" x14ac:dyDescent="0.2">
      <c r="A4026" s="1">
        <v>39497</v>
      </c>
      <c r="B4026">
        <f>25.59</f>
        <v>25.59</v>
      </c>
      <c r="C4026">
        <f>27.8149</f>
        <v>27.814900000000002</v>
      </c>
      <c r="D4026">
        <f>26.96</f>
        <v>26.96</v>
      </c>
      <c r="E4026">
        <f>30.58</f>
        <v>30.58</v>
      </c>
    </row>
    <row r="4027" spans="1:5" x14ac:dyDescent="0.2">
      <c r="A4027" s="1">
        <v>39496</v>
      </c>
      <c r="B4027" t="e">
        <f>NA()</f>
        <v>#N/A</v>
      </c>
      <c r="C4027">
        <f>28.0062</f>
        <v>28.0062</v>
      </c>
      <c r="D4027">
        <f>26.49</f>
        <v>26.49</v>
      </c>
      <c r="E4027">
        <f>30.4</f>
        <v>30.4</v>
      </c>
    </row>
    <row r="4028" spans="1:5" x14ac:dyDescent="0.2">
      <c r="A4028" s="1">
        <v>39493</v>
      </c>
      <c r="B4028">
        <f>25.02</f>
        <v>25.02</v>
      </c>
      <c r="C4028">
        <f>29.3659</f>
        <v>29.3659</v>
      </c>
      <c r="D4028">
        <f>28.89</f>
        <v>28.89</v>
      </c>
      <c r="E4028">
        <f>31.54</f>
        <v>31.54</v>
      </c>
    </row>
    <row r="4029" spans="1:5" x14ac:dyDescent="0.2">
      <c r="A4029" s="1">
        <v>39492</v>
      </c>
      <c r="B4029">
        <f>25.54</f>
        <v>25.54</v>
      </c>
      <c r="C4029">
        <f>28.0832</f>
        <v>28.083200000000001</v>
      </c>
      <c r="D4029">
        <f>27.47</f>
        <v>27.47</v>
      </c>
      <c r="E4029">
        <f>31.19</f>
        <v>31.19</v>
      </c>
    </row>
    <row r="4030" spans="1:5" x14ac:dyDescent="0.2">
      <c r="A4030" s="1">
        <v>39491</v>
      </c>
      <c r="B4030">
        <f>24.88</f>
        <v>24.88</v>
      </c>
      <c r="C4030">
        <f>27.9293</f>
        <v>27.929300000000001</v>
      </c>
      <c r="D4030">
        <f>27.32</f>
        <v>27.32</v>
      </c>
      <c r="E4030">
        <f>31.48</f>
        <v>31.48</v>
      </c>
    </row>
    <row r="4031" spans="1:5" x14ac:dyDescent="0.2">
      <c r="A4031" s="1">
        <v>39490</v>
      </c>
      <c r="B4031">
        <f>26.33</f>
        <v>26.33</v>
      </c>
      <c r="C4031">
        <f>28.6393</f>
        <v>28.639299999999999</v>
      </c>
      <c r="D4031">
        <f>28.15</f>
        <v>28.15</v>
      </c>
      <c r="E4031">
        <f>32.39</f>
        <v>32.39</v>
      </c>
    </row>
    <row r="4032" spans="1:5" x14ac:dyDescent="0.2">
      <c r="A4032" s="1">
        <v>39489</v>
      </c>
      <c r="B4032">
        <f>27.6</f>
        <v>27.6</v>
      </c>
      <c r="C4032">
        <f>31.9443</f>
        <v>31.944299999999998</v>
      </c>
      <c r="D4032">
        <f>31.59</f>
        <v>31.59</v>
      </c>
      <c r="E4032">
        <f>33.09</f>
        <v>33.090000000000003</v>
      </c>
    </row>
    <row r="4033" spans="1:5" x14ac:dyDescent="0.2">
      <c r="A4033" s="1">
        <v>39486</v>
      </c>
      <c r="B4033">
        <f>28.01</f>
        <v>28.01</v>
      </c>
      <c r="C4033">
        <f>31.692</f>
        <v>31.692</v>
      </c>
      <c r="D4033">
        <f>31.22</f>
        <v>31.22</v>
      </c>
      <c r="E4033">
        <f>32.36</f>
        <v>32.36</v>
      </c>
    </row>
    <row r="4034" spans="1:5" x14ac:dyDescent="0.2">
      <c r="A4034" s="1">
        <v>39485</v>
      </c>
      <c r="B4034">
        <f>27.66</f>
        <v>27.66</v>
      </c>
      <c r="C4034">
        <f>31.8031</f>
        <v>31.803100000000001</v>
      </c>
      <c r="D4034">
        <f>32.18</f>
        <v>32.18</v>
      </c>
      <c r="E4034">
        <f>32.41</f>
        <v>32.409999999999997</v>
      </c>
    </row>
    <row r="4035" spans="1:5" x14ac:dyDescent="0.2">
      <c r="A4035" s="1">
        <v>39484</v>
      </c>
      <c r="B4035">
        <f>28.97</f>
        <v>28.97</v>
      </c>
      <c r="C4035">
        <f>30.5677</f>
        <v>30.567699999999999</v>
      </c>
      <c r="D4035">
        <f>28.86</f>
        <v>28.86</v>
      </c>
      <c r="E4035">
        <f>32.95</f>
        <v>32.950000000000003</v>
      </c>
    </row>
    <row r="4036" spans="1:5" x14ac:dyDescent="0.2">
      <c r="A4036" s="1">
        <v>39483</v>
      </c>
      <c r="B4036">
        <f>28.24</f>
        <v>28.24</v>
      </c>
      <c r="C4036">
        <f>31.9584</f>
        <v>31.958400000000001</v>
      </c>
      <c r="D4036">
        <f>29.14</f>
        <v>29.14</v>
      </c>
      <c r="E4036">
        <f>33.06</f>
        <v>33.06</v>
      </c>
    </row>
    <row r="4037" spans="1:5" x14ac:dyDescent="0.2">
      <c r="A4037" s="1">
        <v>39482</v>
      </c>
      <c r="B4037">
        <f>25.99</f>
        <v>25.99</v>
      </c>
      <c r="C4037">
        <f>27.218</f>
        <v>27.218</v>
      </c>
      <c r="D4037">
        <f>26.2</f>
        <v>26.2</v>
      </c>
      <c r="E4037">
        <f>31.07</f>
        <v>31.07</v>
      </c>
    </row>
    <row r="4038" spans="1:5" x14ac:dyDescent="0.2">
      <c r="A4038" s="1">
        <v>39479</v>
      </c>
      <c r="B4038">
        <f>24.02</f>
        <v>24.02</v>
      </c>
      <c r="C4038">
        <f>27.4687</f>
        <v>27.468699999999998</v>
      </c>
      <c r="D4038">
        <f>26.92</f>
        <v>26.92</v>
      </c>
      <c r="E4038">
        <f>32.23</f>
        <v>32.229999999999997</v>
      </c>
    </row>
    <row r="4039" spans="1:5" x14ac:dyDescent="0.2">
      <c r="A4039" s="1">
        <v>39478</v>
      </c>
      <c r="B4039">
        <f>26.2</f>
        <v>26.2</v>
      </c>
      <c r="C4039">
        <f>30.0471</f>
        <v>30.0471</v>
      </c>
      <c r="D4039">
        <f>28.7</f>
        <v>28.7</v>
      </c>
      <c r="E4039">
        <f>33.02</f>
        <v>33.020000000000003</v>
      </c>
    </row>
    <row r="4040" spans="1:5" x14ac:dyDescent="0.2">
      <c r="A4040" s="1">
        <v>39477</v>
      </c>
      <c r="B4040">
        <f>27.62</f>
        <v>27.62</v>
      </c>
      <c r="C4040">
        <f>32.2981</f>
        <v>32.298099999999998</v>
      </c>
      <c r="D4040">
        <f>30.72</f>
        <v>30.72</v>
      </c>
      <c r="E4040">
        <f>32.68</f>
        <v>32.68</v>
      </c>
    </row>
    <row r="4041" spans="1:5" x14ac:dyDescent="0.2">
      <c r="A4041" s="1">
        <v>39476</v>
      </c>
      <c r="B4041">
        <f>27.32</f>
        <v>27.32</v>
      </c>
      <c r="C4041">
        <f>31.8875</f>
        <v>31.887499999999999</v>
      </c>
      <c r="D4041">
        <f>29.56</f>
        <v>29.56</v>
      </c>
      <c r="E4041">
        <f>33.61</f>
        <v>33.61</v>
      </c>
    </row>
    <row r="4042" spans="1:5" x14ac:dyDescent="0.2">
      <c r="A4042" s="1">
        <v>39475</v>
      </c>
      <c r="B4042">
        <f>27.78</f>
        <v>27.78</v>
      </c>
      <c r="C4042">
        <f>33.4194</f>
        <v>33.419400000000003</v>
      </c>
      <c r="D4042">
        <f>30.81</f>
        <v>30.81</v>
      </c>
      <c r="E4042">
        <f>33.89</f>
        <v>33.89</v>
      </c>
    </row>
    <row r="4043" spans="1:5" x14ac:dyDescent="0.2">
      <c r="A4043" s="1">
        <v>39472</v>
      </c>
      <c r="B4043">
        <f>29.08</f>
        <v>29.08</v>
      </c>
      <c r="C4043">
        <f>33.6983</f>
        <v>33.698300000000003</v>
      </c>
      <c r="D4043">
        <f>28.64</f>
        <v>28.64</v>
      </c>
      <c r="E4043">
        <f>33.24</f>
        <v>33.24</v>
      </c>
    </row>
    <row r="4044" spans="1:5" x14ac:dyDescent="0.2">
      <c r="A4044" s="1">
        <v>39471</v>
      </c>
      <c r="B4044">
        <f>27.78</f>
        <v>27.78</v>
      </c>
      <c r="C4044">
        <f>34.8708</f>
        <v>34.870800000000003</v>
      </c>
      <c r="D4044">
        <f>31.74</f>
        <v>31.74</v>
      </c>
      <c r="E4044">
        <f>33.3</f>
        <v>33.299999999999997</v>
      </c>
    </row>
    <row r="4045" spans="1:5" x14ac:dyDescent="0.2">
      <c r="A4045" s="1">
        <v>39470</v>
      </c>
      <c r="B4045">
        <f>29.02</f>
        <v>29.02</v>
      </c>
      <c r="C4045">
        <f>40.2484</f>
        <v>40.248399999999997</v>
      </c>
      <c r="D4045">
        <f>34.51</f>
        <v>34.51</v>
      </c>
      <c r="E4045">
        <f>33.76</f>
        <v>33.76</v>
      </c>
    </row>
    <row r="4046" spans="1:5" x14ac:dyDescent="0.2">
      <c r="A4046" s="1">
        <v>39469</v>
      </c>
      <c r="B4046">
        <f>31.01</f>
        <v>31.01</v>
      </c>
      <c r="C4046">
        <f>33.7934</f>
        <v>33.793399999999998</v>
      </c>
      <c r="D4046">
        <f>31.07</f>
        <v>31.07</v>
      </c>
      <c r="E4046">
        <f>33.64</f>
        <v>33.64</v>
      </c>
    </row>
    <row r="4047" spans="1:5" x14ac:dyDescent="0.2">
      <c r="A4047" s="1">
        <v>39468</v>
      </c>
      <c r="B4047" t="e">
        <f>NA()</f>
        <v>#N/A</v>
      </c>
      <c r="C4047">
        <f>34.96</f>
        <v>34.96</v>
      </c>
      <c r="D4047">
        <f>33.06</f>
        <v>33.06</v>
      </c>
      <c r="E4047">
        <f>32.31</f>
        <v>32.31</v>
      </c>
    </row>
    <row r="4048" spans="1:5" x14ac:dyDescent="0.2">
      <c r="A4048" s="1">
        <v>39465</v>
      </c>
      <c r="B4048">
        <f>27.18</f>
        <v>27.18</v>
      </c>
      <c r="C4048">
        <f>25.4405</f>
        <v>25.4405</v>
      </c>
      <c r="D4048">
        <f>27.46</f>
        <v>27.46</v>
      </c>
      <c r="E4048">
        <f>30.32</f>
        <v>30.32</v>
      </c>
    </row>
    <row r="4049" spans="1:5" x14ac:dyDescent="0.2">
      <c r="A4049" s="1">
        <v>39464</v>
      </c>
      <c r="B4049">
        <f>28.46</f>
        <v>28.46</v>
      </c>
      <c r="C4049">
        <f>24.2938</f>
        <v>24.293800000000001</v>
      </c>
      <c r="D4049">
        <f>27.23</f>
        <v>27.23</v>
      </c>
      <c r="E4049">
        <f>30.24</f>
        <v>30.24</v>
      </c>
    </row>
    <row r="4050" spans="1:5" x14ac:dyDescent="0.2">
      <c r="A4050" s="1">
        <v>39463</v>
      </c>
      <c r="B4050">
        <f>24.38</f>
        <v>24.38</v>
      </c>
      <c r="C4050">
        <f>24.3042</f>
        <v>24.304200000000002</v>
      </c>
      <c r="D4050">
        <f>27</f>
        <v>27</v>
      </c>
      <c r="E4050">
        <f>30.17</f>
        <v>30.17</v>
      </c>
    </row>
    <row r="4051" spans="1:5" x14ac:dyDescent="0.2">
      <c r="A4051" s="1">
        <v>39462</v>
      </c>
      <c r="B4051">
        <f>23.34</f>
        <v>23.34</v>
      </c>
      <c r="C4051">
        <f>23.6132</f>
        <v>23.613199999999999</v>
      </c>
      <c r="D4051">
        <f>26.51</f>
        <v>26.51</v>
      </c>
      <c r="E4051">
        <f>29</f>
        <v>29</v>
      </c>
    </row>
    <row r="4052" spans="1:5" x14ac:dyDescent="0.2">
      <c r="A4052" s="1">
        <v>39461</v>
      </c>
      <c r="B4052">
        <f>22.9</f>
        <v>22.9</v>
      </c>
      <c r="C4052">
        <f>21.8863</f>
        <v>21.886299999999999</v>
      </c>
      <c r="D4052">
        <f>24.56</f>
        <v>24.56</v>
      </c>
      <c r="E4052">
        <f>28.75</f>
        <v>28.75</v>
      </c>
    </row>
    <row r="4053" spans="1:5" x14ac:dyDescent="0.2">
      <c r="A4053" s="1">
        <v>39458</v>
      </c>
      <c r="B4053">
        <f>23.68</f>
        <v>23.68</v>
      </c>
      <c r="C4053">
        <f>21.6025</f>
        <v>21.602499999999999</v>
      </c>
      <c r="D4053">
        <f>25.08</f>
        <v>25.08</v>
      </c>
      <c r="E4053">
        <f>29.1</f>
        <v>29.1</v>
      </c>
    </row>
    <row r="4054" spans="1:5" x14ac:dyDescent="0.2">
      <c r="A4054" s="1">
        <v>39457</v>
      </c>
      <c r="B4054">
        <f>23.45</f>
        <v>23.45</v>
      </c>
      <c r="C4054">
        <f>22.1956</f>
        <v>22.195599999999999</v>
      </c>
      <c r="D4054">
        <f>25.3</f>
        <v>25.3</v>
      </c>
      <c r="E4054">
        <f>28.91</f>
        <v>28.91</v>
      </c>
    </row>
    <row r="4055" spans="1:5" x14ac:dyDescent="0.2">
      <c r="A4055" s="1">
        <v>39456</v>
      </c>
      <c r="B4055">
        <f>24.12</f>
        <v>24.12</v>
      </c>
      <c r="C4055">
        <f>22.2657</f>
        <v>22.265699999999999</v>
      </c>
      <c r="D4055">
        <f>25.01</f>
        <v>25.01</v>
      </c>
      <c r="E4055">
        <f>28.25</f>
        <v>28.25</v>
      </c>
    </row>
    <row r="4056" spans="1:5" x14ac:dyDescent="0.2">
      <c r="A4056" s="1">
        <v>39455</v>
      </c>
      <c r="B4056">
        <f>25.43</f>
        <v>25.43</v>
      </c>
      <c r="C4056">
        <f>21.3083</f>
        <v>21.308299999999999</v>
      </c>
      <c r="D4056">
        <f>23.7</f>
        <v>23.7</v>
      </c>
      <c r="E4056">
        <f>27.25</f>
        <v>27.25</v>
      </c>
    </row>
    <row r="4057" spans="1:5" x14ac:dyDescent="0.2">
      <c r="A4057" s="1">
        <v>39454</v>
      </c>
      <c r="B4057">
        <f>23.79</f>
        <v>23.79</v>
      </c>
      <c r="C4057">
        <f>22.3151</f>
        <v>22.315100000000001</v>
      </c>
      <c r="D4057">
        <f>24.83</f>
        <v>24.83</v>
      </c>
      <c r="E4057">
        <f>27.56</f>
        <v>27.56</v>
      </c>
    </row>
    <row r="4058" spans="1:5" x14ac:dyDescent="0.2">
      <c r="A4058" s="1">
        <v>39451</v>
      </c>
      <c r="B4058">
        <f>23.94</f>
        <v>23.94</v>
      </c>
      <c r="C4058">
        <f>21.8046</f>
        <v>21.804600000000001</v>
      </c>
      <c r="D4058">
        <f>24.15</f>
        <v>24.15</v>
      </c>
      <c r="E4058">
        <f>27.08</f>
        <v>27.08</v>
      </c>
    </row>
    <row r="4059" spans="1:5" x14ac:dyDescent="0.2">
      <c r="A4059" s="1">
        <v>39450</v>
      </c>
      <c r="B4059">
        <f>22.49</f>
        <v>22.49</v>
      </c>
      <c r="C4059">
        <f>20.4077</f>
        <v>20.407699999999998</v>
      </c>
      <c r="D4059">
        <f>21.69</f>
        <v>21.69</v>
      </c>
      <c r="E4059">
        <f>26.7</f>
        <v>26.7</v>
      </c>
    </row>
    <row r="4060" spans="1:5" x14ac:dyDescent="0.2">
      <c r="A4060" s="1">
        <v>39449</v>
      </c>
      <c r="B4060">
        <f>23.17</f>
        <v>23.17</v>
      </c>
      <c r="C4060">
        <f>20.7962</f>
        <v>20.796199999999999</v>
      </c>
      <c r="D4060">
        <f>23.61</f>
        <v>23.61</v>
      </c>
      <c r="E4060">
        <f>26.67</f>
        <v>26.67</v>
      </c>
    </row>
    <row r="4061" spans="1:5" x14ac:dyDescent="0.2">
      <c r="A4061" s="1">
        <v>39447</v>
      </c>
      <c r="B4061">
        <f>22.5</f>
        <v>22.5</v>
      </c>
      <c r="C4061" t="e">
        <f>NA()</f>
        <v>#N/A</v>
      </c>
      <c r="D4061">
        <f>22.93</f>
        <v>22.93</v>
      </c>
      <c r="E4061">
        <f>26.88</f>
        <v>26.88</v>
      </c>
    </row>
    <row r="4062" spans="1:5" x14ac:dyDescent="0.2">
      <c r="A4062" s="1">
        <v>39444</v>
      </c>
      <c r="B4062">
        <f>20.74</f>
        <v>20.74</v>
      </c>
      <c r="C4062">
        <f>18.0605</f>
        <v>18.060500000000001</v>
      </c>
      <c r="D4062">
        <f>21.06</f>
        <v>21.06</v>
      </c>
      <c r="E4062">
        <f>26.32</f>
        <v>26.32</v>
      </c>
    </row>
    <row r="4063" spans="1:5" x14ac:dyDescent="0.2">
      <c r="A4063" s="1">
        <v>39443</v>
      </c>
      <c r="B4063">
        <f>20.26</f>
        <v>20.260000000000002</v>
      </c>
      <c r="C4063">
        <f>18.366</f>
        <v>18.366</v>
      </c>
      <c r="D4063">
        <f>20.06</f>
        <v>20.059999999999999</v>
      </c>
      <c r="E4063">
        <f>26.29</f>
        <v>26.29</v>
      </c>
    </row>
    <row r="4064" spans="1:5" x14ac:dyDescent="0.2">
      <c r="A4064" s="1">
        <v>39442</v>
      </c>
      <c r="B4064">
        <f>18.66</f>
        <v>18.66</v>
      </c>
      <c r="C4064" t="e">
        <f>NA()</f>
        <v>#N/A</v>
      </c>
      <c r="D4064" t="e">
        <f>NA()</f>
        <v>#N/A</v>
      </c>
      <c r="E4064" t="e">
        <f>NA()</f>
        <v>#N/A</v>
      </c>
    </row>
    <row r="4065" spans="1:5" x14ac:dyDescent="0.2">
      <c r="A4065" s="1">
        <v>39440</v>
      </c>
      <c r="B4065">
        <f>18.6</f>
        <v>18.600000000000001</v>
      </c>
      <c r="C4065" t="e">
        <f>NA()</f>
        <v>#N/A</v>
      </c>
      <c r="D4065">
        <f>19.48</f>
        <v>19.48</v>
      </c>
      <c r="E4065">
        <f>27.36</f>
        <v>27.36</v>
      </c>
    </row>
    <row r="4066" spans="1:5" x14ac:dyDescent="0.2">
      <c r="A4066" s="1">
        <v>39437</v>
      </c>
      <c r="B4066">
        <f>18.47</f>
        <v>18.47</v>
      </c>
      <c r="C4066">
        <f>17.2417</f>
        <v>17.241700000000002</v>
      </c>
      <c r="D4066" t="e">
        <f>NA()</f>
        <v>#N/A</v>
      </c>
      <c r="E4066">
        <f>27.36</f>
        <v>27.36</v>
      </c>
    </row>
    <row r="4067" spans="1:5" x14ac:dyDescent="0.2">
      <c r="A4067" s="1">
        <v>39436</v>
      </c>
      <c r="B4067">
        <f>20.58</f>
        <v>20.58</v>
      </c>
      <c r="C4067">
        <f>19.1525</f>
        <v>19.1525</v>
      </c>
      <c r="D4067">
        <f>21.85</f>
        <v>21.85</v>
      </c>
      <c r="E4067">
        <f>28.37</f>
        <v>28.37</v>
      </c>
    </row>
    <row r="4068" spans="1:5" x14ac:dyDescent="0.2">
      <c r="A4068" s="1">
        <v>39435</v>
      </c>
      <c r="B4068">
        <f>21.68</f>
        <v>21.68</v>
      </c>
      <c r="C4068">
        <f>20.4808</f>
        <v>20.480799999999999</v>
      </c>
      <c r="D4068">
        <f>23.24</f>
        <v>23.24</v>
      </c>
      <c r="E4068">
        <f>28.53</f>
        <v>28.53</v>
      </c>
    </row>
    <row r="4069" spans="1:5" x14ac:dyDescent="0.2">
      <c r="A4069" s="1">
        <v>39434</v>
      </c>
      <c r="B4069">
        <f>22.64</f>
        <v>22.64</v>
      </c>
      <c r="C4069">
        <f>21.0846</f>
        <v>21.084599999999998</v>
      </c>
      <c r="D4069">
        <f>24.17</f>
        <v>24.17</v>
      </c>
      <c r="E4069">
        <f>28.65</f>
        <v>28.65</v>
      </c>
    </row>
    <row r="4070" spans="1:5" x14ac:dyDescent="0.2">
      <c r="A4070" s="1">
        <v>39433</v>
      </c>
      <c r="B4070">
        <f>24.52</f>
        <v>24.52</v>
      </c>
      <c r="C4070">
        <f>21.746</f>
        <v>21.745999999999999</v>
      </c>
      <c r="D4070">
        <f>25.21</f>
        <v>25.21</v>
      </c>
      <c r="E4070" t="e">
        <f>NA()</f>
        <v>#N/A</v>
      </c>
    </row>
    <row r="4071" spans="1:5" x14ac:dyDescent="0.2">
      <c r="A4071" s="1">
        <v>39430</v>
      </c>
      <c r="B4071">
        <f>23.27</f>
        <v>23.27</v>
      </c>
      <c r="C4071">
        <f>19.8926</f>
        <v>19.892600000000002</v>
      </c>
      <c r="D4071">
        <f>22.75</f>
        <v>22.75</v>
      </c>
      <c r="E4071">
        <f>28.14</f>
        <v>28.14</v>
      </c>
    </row>
    <row r="4072" spans="1:5" x14ac:dyDescent="0.2">
      <c r="A4072" s="1">
        <v>39429</v>
      </c>
      <c r="B4072">
        <f>22.56</f>
        <v>22.56</v>
      </c>
      <c r="C4072">
        <f>20.4149</f>
        <v>20.414899999999999</v>
      </c>
      <c r="D4072">
        <f>23.79</f>
        <v>23.79</v>
      </c>
      <c r="E4072">
        <f>26.88</f>
        <v>26.88</v>
      </c>
    </row>
    <row r="4073" spans="1:5" x14ac:dyDescent="0.2">
      <c r="A4073" s="1">
        <v>39428</v>
      </c>
      <c r="B4073">
        <f>22.47</f>
        <v>22.47</v>
      </c>
      <c r="C4073">
        <f>17.3886</f>
        <v>17.3886</v>
      </c>
      <c r="D4073">
        <f>19.39</f>
        <v>19.39</v>
      </c>
      <c r="E4073">
        <f>25.48</f>
        <v>25.48</v>
      </c>
    </row>
    <row r="4074" spans="1:5" x14ac:dyDescent="0.2">
      <c r="A4074" s="1">
        <v>39427</v>
      </c>
      <c r="B4074">
        <f>23.59</f>
        <v>23.59</v>
      </c>
      <c r="C4074">
        <f>18.73</f>
        <v>18.73</v>
      </c>
      <c r="D4074">
        <f>20.61</f>
        <v>20.61</v>
      </c>
      <c r="E4074">
        <f>25.13</f>
        <v>25.13</v>
      </c>
    </row>
    <row r="4075" spans="1:5" x14ac:dyDescent="0.2">
      <c r="A4075" s="1">
        <v>39426</v>
      </c>
      <c r="B4075">
        <f>20.74</f>
        <v>20.74</v>
      </c>
      <c r="C4075">
        <f>18.3706</f>
        <v>18.3706</v>
      </c>
      <c r="D4075">
        <f>21.03</f>
        <v>21.03</v>
      </c>
      <c r="E4075">
        <f>25.43</f>
        <v>25.43</v>
      </c>
    </row>
    <row r="4076" spans="1:5" x14ac:dyDescent="0.2">
      <c r="A4076" s="1">
        <v>39423</v>
      </c>
      <c r="B4076">
        <f>20.85</f>
        <v>20.85</v>
      </c>
      <c r="C4076">
        <f>17.777</f>
        <v>17.777000000000001</v>
      </c>
      <c r="D4076">
        <f>21.08</f>
        <v>21.08</v>
      </c>
      <c r="E4076">
        <f>25.56</f>
        <v>25.56</v>
      </c>
    </row>
    <row r="4077" spans="1:5" x14ac:dyDescent="0.2">
      <c r="A4077" s="1">
        <v>39422</v>
      </c>
      <c r="B4077">
        <f>20.96</f>
        <v>20.96</v>
      </c>
      <c r="C4077">
        <f>18.9496</f>
        <v>18.9496</v>
      </c>
      <c r="D4077">
        <f>22.89</f>
        <v>22.89</v>
      </c>
      <c r="E4077">
        <f>26.49</f>
        <v>26.49</v>
      </c>
    </row>
    <row r="4078" spans="1:5" x14ac:dyDescent="0.2">
      <c r="A4078" s="1">
        <v>39421</v>
      </c>
      <c r="B4078">
        <f>22.53</f>
        <v>22.53</v>
      </c>
      <c r="C4078">
        <f>19.1296</f>
        <v>19.1296</v>
      </c>
      <c r="D4078">
        <f>22.39</f>
        <v>22.39</v>
      </c>
      <c r="E4078">
        <f>26.28</f>
        <v>26.28</v>
      </c>
    </row>
    <row r="4079" spans="1:5" x14ac:dyDescent="0.2">
      <c r="A4079" s="1">
        <v>39420</v>
      </c>
      <c r="B4079">
        <f>23.79</f>
        <v>23.79</v>
      </c>
      <c r="C4079">
        <f>21.1889</f>
        <v>21.1889</v>
      </c>
      <c r="D4079">
        <f>24.33</f>
        <v>24.33</v>
      </c>
      <c r="E4079">
        <f>26.49</f>
        <v>26.49</v>
      </c>
    </row>
    <row r="4080" spans="1:5" x14ac:dyDescent="0.2">
      <c r="A4080" s="1">
        <v>39419</v>
      </c>
      <c r="B4080">
        <f>23.61</f>
        <v>23.61</v>
      </c>
      <c r="C4080">
        <f>20.2177</f>
        <v>20.217700000000001</v>
      </c>
      <c r="D4080">
        <f>23.91</f>
        <v>23.91</v>
      </c>
      <c r="E4080">
        <f>26.48</f>
        <v>26.48</v>
      </c>
    </row>
    <row r="4081" spans="1:5" x14ac:dyDescent="0.2">
      <c r="A4081" s="1">
        <v>39416</v>
      </c>
      <c r="B4081">
        <f>22.87</f>
        <v>22.87</v>
      </c>
      <c r="C4081">
        <f>20.4255</f>
        <v>20.4255</v>
      </c>
      <c r="D4081">
        <f>23.39</f>
        <v>23.39</v>
      </c>
      <c r="E4081">
        <f>27.5</f>
        <v>27.5</v>
      </c>
    </row>
    <row r="4082" spans="1:5" x14ac:dyDescent="0.2">
      <c r="A4082" s="1">
        <v>39415</v>
      </c>
      <c r="B4082">
        <f>23.97</f>
        <v>23.97</v>
      </c>
      <c r="C4082">
        <f>22.1864</f>
        <v>22.186399999999999</v>
      </c>
      <c r="D4082">
        <f>25.95</f>
        <v>25.95</v>
      </c>
      <c r="E4082">
        <f>27.4</f>
        <v>27.4</v>
      </c>
    </row>
    <row r="4083" spans="1:5" x14ac:dyDescent="0.2">
      <c r="A4083" s="1">
        <v>39414</v>
      </c>
      <c r="B4083">
        <f>24.11</f>
        <v>24.11</v>
      </c>
      <c r="C4083">
        <f>22.9455</f>
        <v>22.945499999999999</v>
      </c>
      <c r="D4083">
        <f>25.82</f>
        <v>25.82</v>
      </c>
      <c r="E4083">
        <f>27.77</f>
        <v>27.77</v>
      </c>
    </row>
    <row r="4084" spans="1:5" x14ac:dyDescent="0.2">
      <c r="A4084" s="1">
        <v>39413</v>
      </c>
      <c r="B4084">
        <f>26.28</f>
        <v>26.28</v>
      </c>
      <c r="C4084">
        <f>24.8939</f>
        <v>24.893899999999999</v>
      </c>
      <c r="D4084">
        <f>28.56</f>
        <v>28.56</v>
      </c>
      <c r="E4084">
        <f>27.9</f>
        <v>27.9</v>
      </c>
    </row>
    <row r="4085" spans="1:5" x14ac:dyDescent="0.2">
      <c r="A4085" s="1">
        <v>39412</v>
      </c>
      <c r="B4085">
        <f>28.91</f>
        <v>28.91</v>
      </c>
      <c r="C4085">
        <f>25.3639</f>
        <v>25.363900000000001</v>
      </c>
      <c r="D4085">
        <f>28.53</f>
        <v>28.53</v>
      </c>
      <c r="E4085">
        <f>27.38</f>
        <v>27.38</v>
      </c>
    </row>
    <row r="4086" spans="1:5" x14ac:dyDescent="0.2">
      <c r="A4086" s="1">
        <v>39409</v>
      </c>
      <c r="B4086">
        <f>25.61</f>
        <v>25.61</v>
      </c>
      <c r="C4086">
        <f>24.2141</f>
        <v>24.214099999999998</v>
      </c>
      <c r="D4086">
        <f>25.82</f>
        <v>25.82</v>
      </c>
      <c r="E4086">
        <f>27.13</f>
        <v>27.13</v>
      </c>
    </row>
    <row r="4087" spans="1:5" x14ac:dyDescent="0.2">
      <c r="A4087" s="1">
        <v>39408</v>
      </c>
      <c r="B4087" t="e">
        <f>NA()</f>
        <v>#N/A</v>
      </c>
      <c r="C4087">
        <f>25.2801</f>
        <v>25.280100000000001</v>
      </c>
      <c r="D4087">
        <f>27.44</f>
        <v>27.44</v>
      </c>
      <c r="E4087">
        <f>27.66</f>
        <v>27.66</v>
      </c>
    </row>
    <row r="4088" spans="1:5" x14ac:dyDescent="0.2">
      <c r="A4088" s="1">
        <v>39407</v>
      </c>
      <c r="B4088">
        <f>26.84</f>
        <v>26.84</v>
      </c>
      <c r="C4088">
        <f>26.3075</f>
        <v>26.307500000000001</v>
      </c>
      <c r="D4088">
        <f>29.67</f>
        <v>29.67</v>
      </c>
      <c r="E4088">
        <f>28.11</f>
        <v>28.11</v>
      </c>
    </row>
    <row r="4089" spans="1:5" x14ac:dyDescent="0.2">
      <c r="A4089" s="1">
        <v>39406</v>
      </c>
      <c r="B4089">
        <f>24.88</f>
        <v>24.88</v>
      </c>
      <c r="C4089">
        <f>24.2296</f>
        <v>24.229600000000001</v>
      </c>
      <c r="D4089">
        <f>27.17</f>
        <v>27.17</v>
      </c>
      <c r="E4089">
        <f>27.41</f>
        <v>27.41</v>
      </c>
    </row>
    <row r="4090" spans="1:5" x14ac:dyDescent="0.2">
      <c r="A4090" s="1">
        <v>39405</v>
      </c>
      <c r="B4090">
        <f>26.01</f>
        <v>26.01</v>
      </c>
      <c r="C4090">
        <f>25.8939</f>
        <v>25.893899999999999</v>
      </c>
      <c r="D4090">
        <f>30.07</f>
        <v>30.07</v>
      </c>
      <c r="E4090">
        <f>26.75</f>
        <v>26.75</v>
      </c>
    </row>
    <row r="4091" spans="1:5" x14ac:dyDescent="0.2">
      <c r="A4091" s="1">
        <v>39402</v>
      </c>
      <c r="B4091">
        <f>25.49</f>
        <v>25.49</v>
      </c>
      <c r="C4091">
        <f>23.9477</f>
        <v>23.947700000000001</v>
      </c>
      <c r="D4091">
        <f>26.09</f>
        <v>26.09</v>
      </c>
      <c r="E4091">
        <f>25.9</f>
        <v>25.9</v>
      </c>
    </row>
    <row r="4092" spans="1:5" x14ac:dyDescent="0.2">
      <c r="A4092" s="1">
        <v>39401</v>
      </c>
      <c r="B4092">
        <f>28.06</f>
        <v>28.06</v>
      </c>
      <c r="C4092">
        <f>24.1229</f>
        <v>24.122900000000001</v>
      </c>
      <c r="D4092">
        <f>26.08</f>
        <v>26.08</v>
      </c>
      <c r="E4092">
        <f>25.35</f>
        <v>25.35</v>
      </c>
    </row>
    <row r="4093" spans="1:5" x14ac:dyDescent="0.2">
      <c r="A4093" s="1">
        <v>39400</v>
      </c>
      <c r="B4093">
        <f>25.94</f>
        <v>25.94</v>
      </c>
      <c r="C4093">
        <f>23.9079</f>
        <v>23.907900000000001</v>
      </c>
      <c r="D4093">
        <f>26.07</f>
        <v>26.07</v>
      </c>
      <c r="E4093">
        <f>24.25</f>
        <v>24.25</v>
      </c>
    </row>
    <row r="4094" spans="1:5" x14ac:dyDescent="0.2">
      <c r="A4094" s="1">
        <v>39399</v>
      </c>
      <c r="B4094">
        <f>24.1</f>
        <v>24.1</v>
      </c>
      <c r="C4094">
        <f>24.3942</f>
        <v>24.394200000000001</v>
      </c>
      <c r="D4094">
        <f>28.23</f>
        <v>28.23</v>
      </c>
      <c r="E4094">
        <f>24.55</f>
        <v>24.55</v>
      </c>
    </row>
    <row r="4095" spans="1:5" x14ac:dyDescent="0.2">
      <c r="A4095" s="1">
        <v>39398</v>
      </c>
      <c r="B4095">
        <f>31.09</f>
        <v>31.09</v>
      </c>
      <c r="C4095">
        <f>25.7979</f>
        <v>25.797899999999998</v>
      </c>
      <c r="D4095">
        <f>30.79</f>
        <v>30.79</v>
      </c>
      <c r="E4095">
        <f>24.19</f>
        <v>24.19</v>
      </c>
    </row>
    <row r="4096" spans="1:5" x14ac:dyDescent="0.2">
      <c r="A4096" s="1">
        <v>39395</v>
      </c>
      <c r="B4096">
        <f>28.5</f>
        <v>28.5</v>
      </c>
      <c r="C4096">
        <f>26.2585</f>
        <v>26.258500000000002</v>
      </c>
      <c r="D4096">
        <f>33.22</f>
        <v>33.22</v>
      </c>
      <c r="E4096">
        <f>23.95</f>
        <v>23.95</v>
      </c>
    </row>
    <row r="4097" spans="1:5" x14ac:dyDescent="0.2">
      <c r="A4097" s="1">
        <v>39394</v>
      </c>
      <c r="B4097">
        <f>26.16</f>
        <v>26.16</v>
      </c>
      <c r="C4097">
        <f>24.2059</f>
        <v>24.2059</v>
      </c>
      <c r="D4097">
        <f>29.76</f>
        <v>29.76</v>
      </c>
      <c r="E4097">
        <f>24</f>
        <v>24</v>
      </c>
    </row>
    <row r="4098" spans="1:5" x14ac:dyDescent="0.2">
      <c r="A4098" s="1">
        <v>39393</v>
      </c>
      <c r="B4098">
        <f>26.49</f>
        <v>26.49</v>
      </c>
      <c r="C4098">
        <f>23.1142</f>
        <v>23.1142</v>
      </c>
      <c r="D4098">
        <f>27.23</f>
        <v>27.23</v>
      </c>
      <c r="E4098">
        <f>24.09</f>
        <v>24.09</v>
      </c>
    </row>
    <row r="4099" spans="1:5" x14ac:dyDescent="0.2">
      <c r="A4099" s="1">
        <v>39392</v>
      </c>
      <c r="B4099">
        <f>21.39</f>
        <v>21.39</v>
      </c>
      <c r="C4099">
        <f>22.2305</f>
        <v>22.230499999999999</v>
      </c>
      <c r="D4099">
        <f>25.72</f>
        <v>25.72</v>
      </c>
      <c r="E4099">
        <f>23.93</f>
        <v>23.93</v>
      </c>
    </row>
    <row r="4100" spans="1:5" x14ac:dyDescent="0.2">
      <c r="A4100" s="1">
        <v>39391</v>
      </c>
      <c r="B4100">
        <f>24.31</f>
        <v>24.31</v>
      </c>
      <c r="C4100">
        <f>23.5653</f>
        <v>23.565300000000001</v>
      </c>
      <c r="D4100">
        <f>26.79</f>
        <v>26.79</v>
      </c>
      <c r="E4100">
        <f>24.88</f>
        <v>24.88</v>
      </c>
    </row>
    <row r="4101" spans="1:5" x14ac:dyDescent="0.2">
      <c r="A4101" s="1">
        <v>39388</v>
      </c>
      <c r="B4101">
        <f>23.01</f>
        <v>23.01</v>
      </c>
      <c r="C4101">
        <f>22.5777</f>
        <v>22.5777</v>
      </c>
      <c r="D4101">
        <f>24.84</f>
        <v>24.84</v>
      </c>
      <c r="E4101">
        <f>23.96</f>
        <v>23.96</v>
      </c>
    </row>
    <row r="4102" spans="1:5" x14ac:dyDescent="0.2">
      <c r="A4102" s="1">
        <v>39387</v>
      </c>
      <c r="B4102">
        <f>23.21</f>
        <v>23.21</v>
      </c>
      <c r="C4102">
        <f>20.8039</f>
        <v>20.803899999999999</v>
      </c>
      <c r="D4102">
        <f>21.95</f>
        <v>21.95</v>
      </c>
      <c r="E4102">
        <f>23.67</f>
        <v>23.67</v>
      </c>
    </row>
    <row r="4103" spans="1:5" x14ac:dyDescent="0.2">
      <c r="A4103" s="1">
        <v>39386</v>
      </c>
      <c r="B4103">
        <f>18.53</f>
        <v>18.53</v>
      </c>
      <c r="C4103">
        <f>19.9915</f>
        <v>19.991499999999998</v>
      </c>
      <c r="D4103">
        <f>20.74</f>
        <v>20.74</v>
      </c>
      <c r="E4103">
        <f>22.59</f>
        <v>22.59</v>
      </c>
    </row>
    <row r="4104" spans="1:5" x14ac:dyDescent="0.2">
      <c r="A4104" s="1">
        <v>39385</v>
      </c>
      <c r="B4104">
        <f>21.07</f>
        <v>21.07</v>
      </c>
      <c r="C4104">
        <f>20.5258</f>
        <v>20.5258</v>
      </c>
      <c r="D4104">
        <f>21.53</f>
        <v>21.53</v>
      </c>
      <c r="E4104">
        <f>22.71</f>
        <v>22.71</v>
      </c>
    </row>
    <row r="4105" spans="1:5" x14ac:dyDescent="0.2">
      <c r="A4105" s="1">
        <v>39384</v>
      </c>
      <c r="B4105">
        <f>19.87</f>
        <v>19.87</v>
      </c>
      <c r="C4105">
        <f>19.5547</f>
        <v>19.5547</v>
      </c>
      <c r="D4105">
        <f>20.13</f>
        <v>20.13</v>
      </c>
      <c r="E4105">
        <f>22.93</f>
        <v>22.93</v>
      </c>
    </row>
    <row r="4106" spans="1:5" x14ac:dyDescent="0.2">
      <c r="A4106" s="1">
        <v>39381</v>
      </c>
      <c r="B4106">
        <f>19.56</f>
        <v>19.559999999999999</v>
      </c>
      <c r="C4106">
        <f>19.6521</f>
        <v>19.652100000000001</v>
      </c>
      <c r="D4106">
        <f>20.2</f>
        <v>20.2</v>
      </c>
      <c r="E4106">
        <f>23.16</f>
        <v>23.16</v>
      </c>
    </row>
    <row r="4107" spans="1:5" x14ac:dyDescent="0.2">
      <c r="A4107" s="1">
        <v>39380</v>
      </c>
      <c r="B4107">
        <f>21.17</f>
        <v>21.17</v>
      </c>
      <c r="C4107">
        <f>20.3871</f>
        <v>20.3871</v>
      </c>
      <c r="D4107">
        <f>21.06</f>
        <v>21.06</v>
      </c>
      <c r="E4107">
        <f>23.35</f>
        <v>23.35</v>
      </c>
    </row>
    <row r="4108" spans="1:5" x14ac:dyDescent="0.2">
      <c r="A4108" s="1">
        <v>39379</v>
      </c>
      <c r="B4108">
        <f>20.8</f>
        <v>20.8</v>
      </c>
      <c r="C4108">
        <f>22.5706</f>
        <v>22.570599999999999</v>
      </c>
      <c r="D4108">
        <f>22.47</f>
        <v>22.47</v>
      </c>
      <c r="E4108">
        <f>23.39</f>
        <v>23.39</v>
      </c>
    </row>
    <row r="4109" spans="1:5" x14ac:dyDescent="0.2">
      <c r="A4109" s="1">
        <v>39378</v>
      </c>
      <c r="B4109">
        <f>20.41</f>
        <v>20.41</v>
      </c>
      <c r="C4109">
        <f>22.2771</f>
        <v>22.277100000000001</v>
      </c>
      <c r="D4109">
        <f>22.91</f>
        <v>22.91</v>
      </c>
      <c r="E4109">
        <f>22.78</f>
        <v>22.78</v>
      </c>
    </row>
    <row r="4110" spans="1:5" x14ac:dyDescent="0.2">
      <c r="A4110" s="1">
        <v>39377</v>
      </c>
      <c r="B4110">
        <f>21.64</f>
        <v>21.64</v>
      </c>
      <c r="C4110">
        <f>23.1405</f>
        <v>23.140499999999999</v>
      </c>
      <c r="D4110">
        <f>22.5</f>
        <v>22.5</v>
      </c>
      <c r="E4110">
        <f>22.96</f>
        <v>22.96</v>
      </c>
    </row>
    <row r="4111" spans="1:5" x14ac:dyDescent="0.2">
      <c r="A4111" s="1">
        <v>39374</v>
      </c>
      <c r="B4111">
        <f>22.96</f>
        <v>22.96</v>
      </c>
      <c r="C4111">
        <f>19.7216</f>
        <v>19.721599999999999</v>
      </c>
      <c r="D4111">
        <f>20.38</f>
        <v>20.38</v>
      </c>
      <c r="E4111">
        <f>21.99</f>
        <v>21.99</v>
      </c>
    </row>
    <row r="4112" spans="1:5" x14ac:dyDescent="0.2">
      <c r="A4112" s="1">
        <v>39373</v>
      </c>
      <c r="B4112">
        <f>18.5</f>
        <v>18.5</v>
      </c>
      <c r="C4112">
        <f>19.9299</f>
        <v>19.9299</v>
      </c>
      <c r="D4112">
        <f>20.63</f>
        <v>20.63</v>
      </c>
      <c r="E4112">
        <f>21.66</f>
        <v>21.66</v>
      </c>
    </row>
    <row r="4113" spans="1:5" x14ac:dyDescent="0.2">
      <c r="A4113" s="1">
        <v>39372</v>
      </c>
      <c r="B4113">
        <f>18.54</f>
        <v>18.54</v>
      </c>
      <c r="C4113">
        <f>20.0223</f>
        <v>20.022300000000001</v>
      </c>
      <c r="D4113">
        <f>19.52</f>
        <v>19.52</v>
      </c>
      <c r="E4113">
        <f>21.48</f>
        <v>21.48</v>
      </c>
    </row>
    <row r="4114" spans="1:5" x14ac:dyDescent="0.2">
      <c r="A4114" s="1">
        <v>39371</v>
      </c>
      <c r="B4114">
        <f>20.02</f>
        <v>20.02</v>
      </c>
      <c r="C4114">
        <f>20.4738</f>
        <v>20.473800000000001</v>
      </c>
      <c r="D4114">
        <f>19.95</f>
        <v>19.95</v>
      </c>
      <c r="E4114">
        <f>21.65</f>
        <v>21.65</v>
      </c>
    </row>
    <row r="4115" spans="1:5" x14ac:dyDescent="0.2">
      <c r="A4115" s="1">
        <v>39370</v>
      </c>
      <c r="B4115">
        <f>19.25</f>
        <v>19.25</v>
      </c>
      <c r="C4115">
        <f>20.0448</f>
        <v>20.044799999999999</v>
      </c>
      <c r="D4115">
        <f>20.03</f>
        <v>20.03</v>
      </c>
      <c r="E4115">
        <f>21.06</f>
        <v>21.06</v>
      </c>
    </row>
    <row r="4116" spans="1:5" x14ac:dyDescent="0.2">
      <c r="A4116" s="1">
        <v>39367</v>
      </c>
      <c r="B4116">
        <f>17.73</f>
        <v>17.73</v>
      </c>
      <c r="C4116">
        <f>18.3524</f>
        <v>18.352399999999999</v>
      </c>
      <c r="D4116">
        <f>17.31</f>
        <v>17.309999999999999</v>
      </c>
      <c r="E4116">
        <f>21.11</f>
        <v>21.11</v>
      </c>
    </row>
    <row r="4117" spans="1:5" x14ac:dyDescent="0.2">
      <c r="A4117" s="1">
        <v>39366</v>
      </c>
      <c r="B4117">
        <f>18.88</f>
        <v>18.88</v>
      </c>
      <c r="C4117">
        <f>18.2208</f>
        <v>18.220800000000001</v>
      </c>
      <c r="D4117">
        <f>17.35</f>
        <v>17.350000000000001</v>
      </c>
      <c r="E4117">
        <f>21.27</f>
        <v>21.27</v>
      </c>
    </row>
    <row r="4118" spans="1:5" x14ac:dyDescent="0.2">
      <c r="A4118" s="1">
        <v>39365</v>
      </c>
      <c r="B4118">
        <f>16.67</f>
        <v>16.670000000000002</v>
      </c>
      <c r="C4118">
        <f>17.8986</f>
        <v>17.898599999999998</v>
      </c>
      <c r="D4118">
        <f>18.32</f>
        <v>18.32</v>
      </c>
      <c r="E4118">
        <f>21.15</f>
        <v>21.15</v>
      </c>
    </row>
    <row r="4119" spans="1:5" x14ac:dyDescent="0.2">
      <c r="A4119" s="1">
        <v>39364</v>
      </c>
      <c r="B4119">
        <f>16.12</f>
        <v>16.12</v>
      </c>
      <c r="C4119">
        <f>17.5228</f>
        <v>17.5228</v>
      </c>
      <c r="D4119">
        <f>18.23</f>
        <v>18.23</v>
      </c>
      <c r="E4119">
        <f>21.61</f>
        <v>21.61</v>
      </c>
    </row>
    <row r="4120" spans="1:5" x14ac:dyDescent="0.2">
      <c r="A4120" s="1">
        <v>39363</v>
      </c>
      <c r="B4120">
        <f>17.46</f>
        <v>17.46</v>
      </c>
      <c r="C4120">
        <f>18.1816</f>
        <v>18.1816</v>
      </c>
      <c r="D4120">
        <f>18.76</f>
        <v>18.760000000000002</v>
      </c>
      <c r="E4120">
        <f>21.79</f>
        <v>21.79</v>
      </c>
    </row>
    <row r="4121" spans="1:5" x14ac:dyDescent="0.2">
      <c r="A4121" s="1">
        <v>39360</v>
      </c>
      <c r="B4121">
        <f>16.91</f>
        <v>16.91</v>
      </c>
      <c r="C4121">
        <f>17.8749</f>
        <v>17.8749</v>
      </c>
      <c r="D4121">
        <f>19.81</f>
        <v>19.809999999999999</v>
      </c>
      <c r="E4121">
        <f>21.9</f>
        <v>21.9</v>
      </c>
    </row>
    <row r="4122" spans="1:5" x14ac:dyDescent="0.2">
      <c r="A4122" s="1">
        <v>39359</v>
      </c>
      <c r="B4122">
        <f>18.44</f>
        <v>18.440000000000001</v>
      </c>
      <c r="C4122">
        <f>19.784</f>
        <v>19.783999999999999</v>
      </c>
      <c r="D4122">
        <f>19.75</f>
        <v>19.75</v>
      </c>
      <c r="E4122">
        <f>22.1</f>
        <v>22.1</v>
      </c>
    </row>
    <row r="4123" spans="1:5" x14ac:dyDescent="0.2">
      <c r="A4123" s="1">
        <v>39358</v>
      </c>
      <c r="B4123">
        <f>18.8</f>
        <v>18.8</v>
      </c>
      <c r="C4123">
        <f>20.249</f>
        <v>20.248999999999999</v>
      </c>
      <c r="D4123">
        <f>20.56</f>
        <v>20.56</v>
      </c>
      <c r="E4123">
        <f>22.03</f>
        <v>22.03</v>
      </c>
    </row>
    <row r="4124" spans="1:5" x14ac:dyDescent="0.2">
      <c r="A4124" s="1">
        <v>39357</v>
      </c>
      <c r="B4124">
        <f>18.49</f>
        <v>18.489999999999998</v>
      </c>
      <c r="C4124">
        <f>19.9703</f>
        <v>19.970300000000002</v>
      </c>
      <c r="D4124">
        <f>21.02</f>
        <v>21.02</v>
      </c>
      <c r="E4124">
        <f>22.15</f>
        <v>22.15</v>
      </c>
    </row>
    <row r="4125" spans="1:5" x14ac:dyDescent="0.2">
      <c r="A4125" s="1">
        <v>39356</v>
      </c>
      <c r="B4125">
        <f>17.84</f>
        <v>17.84</v>
      </c>
      <c r="C4125">
        <f>19.9113</f>
        <v>19.911300000000001</v>
      </c>
      <c r="D4125">
        <f>20.86</f>
        <v>20.86</v>
      </c>
      <c r="E4125">
        <f>22.88</f>
        <v>22.88</v>
      </c>
    </row>
    <row r="4126" spans="1:5" x14ac:dyDescent="0.2">
      <c r="A4126" s="1">
        <v>39353</v>
      </c>
      <c r="B4126">
        <f>18</f>
        <v>18</v>
      </c>
      <c r="C4126">
        <f>19.7088</f>
        <v>19.7088</v>
      </c>
      <c r="D4126">
        <f>20.38</f>
        <v>20.38</v>
      </c>
      <c r="E4126">
        <f>23.09</f>
        <v>23.09</v>
      </c>
    </row>
    <row r="4127" spans="1:5" x14ac:dyDescent="0.2">
      <c r="A4127" s="1">
        <v>39352</v>
      </c>
      <c r="B4127">
        <f>17</f>
        <v>17</v>
      </c>
      <c r="C4127">
        <f>19.1961</f>
        <v>19.196100000000001</v>
      </c>
      <c r="D4127">
        <f>19.34</f>
        <v>19.34</v>
      </c>
      <c r="E4127">
        <f>23.6</f>
        <v>23.6</v>
      </c>
    </row>
    <row r="4128" spans="1:5" x14ac:dyDescent="0.2">
      <c r="A4128" s="1">
        <v>39351</v>
      </c>
      <c r="B4128">
        <f>17.63</f>
        <v>17.63</v>
      </c>
      <c r="C4128">
        <f>19.73</f>
        <v>19.73</v>
      </c>
      <c r="D4128">
        <f>19.93</f>
        <v>19.93</v>
      </c>
      <c r="E4128">
        <f>23.75</f>
        <v>23.75</v>
      </c>
    </row>
    <row r="4129" spans="1:5" x14ac:dyDescent="0.2">
      <c r="A4129" s="1">
        <v>39350</v>
      </c>
      <c r="B4129">
        <f>18.6</f>
        <v>18.600000000000001</v>
      </c>
      <c r="C4129">
        <f>20.8683</f>
        <v>20.868300000000001</v>
      </c>
      <c r="D4129">
        <f>20.55</f>
        <v>20.55</v>
      </c>
      <c r="E4129">
        <f>23.99</f>
        <v>23.99</v>
      </c>
    </row>
    <row r="4130" spans="1:5" x14ac:dyDescent="0.2">
      <c r="A4130" s="1">
        <v>39349</v>
      </c>
      <c r="B4130">
        <f>19.37</f>
        <v>19.37</v>
      </c>
      <c r="C4130">
        <f>20.3965</f>
        <v>20.3965</v>
      </c>
      <c r="D4130">
        <f>19.88</f>
        <v>19.88</v>
      </c>
      <c r="E4130" t="e">
        <f>NA()</f>
        <v>#N/A</v>
      </c>
    </row>
    <row r="4131" spans="1:5" x14ac:dyDescent="0.2">
      <c r="A4131" s="1">
        <v>39346</v>
      </c>
      <c r="B4131">
        <f>19</f>
        <v>19</v>
      </c>
      <c r="C4131">
        <f>20.4261</f>
        <v>20.426100000000002</v>
      </c>
      <c r="D4131">
        <f>19.75</f>
        <v>19.75</v>
      </c>
      <c r="E4131">
        <f>24.36</f>
        <v>24.36</v>
      </c>
    </row>
    <row r="4132" spans="1:5" x14ac:dyDescent="0.2">
      <c r="A4132" s="1">
        <v>39345</v>
      </c>
      <c r="B4132">
        <f>20.45</f>
        <v>20.45</v>
      </c>
      <c r="C4132">
        <f>22.1601</f>
        <v>22.1601</v>
      </c>
      <c r="D4132">
        <f>22.12</f>
        <v>22.12</v>
      </c>
      <c r="E4132">
        <f>24.27</f>
        <v>24.27</v>
      </c>
    </row>
    <row r="4133" spans="1:5" x14ac:dyDescent="0.2">
      <c r="A4133" s="1">
        <v>39344</v>
      </c>
      <c r="B4133">
        <f>20.03</f>
        <v>20.03</v>
      </c>
      <c r="C4133">
        <f>23.5658</f>
        <v>23.565799999999999</v>
      </c>
      <c r="D4133">
        <f>22.6</f>
        <v>22.6</v>
      </c>
      <c r="E4133">
        <f>24.96</f>
        <v>24.96</v>
      </c>
    </row>
    <row r="4134" spans="1:5" x14ac:dyDescent="0.2">
      <c r="A4134" s="1">
        <v>39343</v>
      </c>
      <c r="B4134">
        <f>20.35</f>
        <v>20.350000000000001</v>
      </c>
      <c r="C4134">
        <f>27.6565</f>
        <v>27.656500000000001</v>
      </c>
      <c r="D4134">
        <f>28.17</f>
        <v>28.17</v>
      </c>
      <c r="E4134">
        <f>25.47</f>
        <v>25.47</v>
      </c>
    </row>
    <row r="4135" spans="1:5" x14ac:dyDescent="0.2">
      <c r="A4135" s="1">
        <v>39342</v>
      </c>
      <c r="B4135">
        <f>26.48</f>
        <v>26.48</v>
      </c>
      <c r="C4135">
        <f>29.0329</f>
        <v>29.032900000000001</v>
      </c>
      <c r="D4135">
        <f>29.36</f>
        <v>29.36</v>
      </c>
      <c r="E4135">
        <f>25.64</f>
        <v>25.64</v>
      </c>
    </row>
    <row r="4136" spans="1:5" x14ac:dyDescent="0.2">
      <c r="A4136" s="1">
        <v>39339</v>
      </c>
      <c r="B4136">
        <f>24.92</f>
        <v>24.92</v>
      </c>
      <c r="C4136">
        <f>26.5545</f>
        <v>26.554500000000001</v>
      </c>
      <c r="D4136">
        <f>26.19</f>
        <v>26.19</v>
      </c>
      <c r="E4136">
        <f>25.43</f>
        <v>25.43</v>
      </c>
    </row>
    <row r="4137" spans="1:5" x14ac:dyDescent="0.2">
      <c r="A4137" s="1">
        <v>39338</v>
      </c>
      <c r="B4137">
        <f>24.76</f>
        <v>24.76</v>
      </c>
      <c r="C4137">
        <f>25.9084</f>
        <v>25.9084</v>
      </c>
      <c r="D4137">
        <f>24.4</f>
        <v>24.4</v>
      </c>
      <c r="E4137">
        <f>25.56</f>
        <v>25.56</v>
      </c>
    </row>
    <row r="4138" spans="1:5" x14ac:dyDescent="0.2">
      <c r="A4138" s="1">
        <v>39337</v>
      </c>
      <c r="B4138">
        <f>24.96</f>
        <v>24.96</v>
      </c>
      <c r="C4138">
        <f>27.0705</f>
        <v>27.070499999999999</v>
      </c>
      <c r="D4138">
        <f>24.88</f>
        <v>24.88</v>
      </c>
      <c r="E4138">
        <f>25.58</f>
        <v>25.58</v>
      </c>
    </row>
    <row r="4139" spans="1:5" x14ac:dyDescent="0.2">
      <c r="A4139" s="1">
        <v>39336</v>
      </c>
      <c r="B4139">
        <f>25.27</f>
        <v>25.27</v>
      </c>
      <c r="C4139">
        <f>27.9485</f>
        <v>27.948499999999999</v>
      </c>
      <c r="D4139">
        <f>25.66</f>
        <v>25.66</v>
      </c>
      <c r="E4139">
        <f>25.73</f>
        <v>25.73</v>
      </c>
    </row>
    <row r="4140" spans="1:5" x14ac:dyDescent="0.2">
      <c r="A4140" s="1">
        <v>39335</v>
      </c>
      <c r="B4140">
        <f>27.38</f>
        <v>27.38</v>
      </c>
      <c r="C4140">
        <f>29.4452</f>
        <v>29.4452</v>
      </c>
      <c r="D4140">
        <f>27.92</f>
        <v>27.92</v>
      </c>
      <c r="E4140">
        <f>26.63</f>
        <v>26.63</v>
      </c>
    </row>
    <row r="4141" spans="1:5" x14ac:dyDescent="0.2">
      <c r="A4141" s="1">
        <v>39332</v>
      </c>
      <c r="B4141">
        <f>26.23</f>
        <v>26.23</v>
      </c>
      <c r="C4141">
        <f>27.8225</f>
        <v>27.822500000000002</v>
      </c>
      <c r="D4141">
        <f>26.26</f>
        <v>26.26</v>
      </c>
      <c r="E4141">
        <f>26.33</f>
        <v>26.33</v>
      </c>
    </row>
    <row r="4142" spans="1:5" x14ac:dyDescent="0.2">
      <c r="A4142" s="1">
        <v>39331</v>
      </c>
      <c r="B4142">
        <f>23.99</f>
        <v>23.99</v>
      </c>
      <c r="C4142">
        <f>25.6304</f>
        <v>25.630400000000002</v>
      </c>
      <c r="D4142">
        <f>24.02</f>
        <v>24.02</v>
      </c>
      <c r="E4142">
        <f>26.13</f>
        <v>26.13</v>
      </c>
    </row>
    <row r="4143" spans="1:5" x14ac:dyDescent="0.2">
      <c r="A4143" s="1">
        <v>39330</v>
      </c>
      <c r="B4143">
        <f>24.58</f>
        <v>24.58</v>
      </c>
      <c r="C4143">
        <f>25.7805</f>
        <v>25.7805</v>
      </c>
      <c r="D4143">
        <f>24.47</f>
        <v>24.47</v>
      </c>
      <c r="E4143">
        <f>25.89</f>
        <v>25.89</v>
      </c>
    </row>
    <row r="4144" spans="1:5" x14ac:dyDescent="0.2">
      <c r="A4144" s="1">
        <v>39329</v>
      </c>
      <c r="B4144">
        <f>22.78</f>
        <v>22.78</v>
      </c>
      <c r="C4144">
        <f>23.4818</f>
        <v>23.4818</v>
      </c>
      <c r="D4144">
        <f>22.49</f>
        <v>22.49</v>
      </c>
      <c r="E4144">
        <f>25.74</f>
        <v>25.74</v>
      </c>
    </row>
    <row r="4145" spans="1:5" x14ac:dyDescent="0.2">
      <c r="A4145" s="1">
        <v>39328</v>
      </c>
      <c r="B4145" t="e">
        <f>NA()</f>
        <v>#N/A</v>
      </c>
      <c r="C4145">
        <f>24.1984</f>
        <v>24.198399999999999</v>
      </c>
      <c r="D4145">
        <f>23.62</f>
        <v>23.62</v>
      </c>
      <c r="E4145">
        <f>26.05</f>
        <v>26.05</v>
      </c>
    </row>
    <row r="4146" spans="1:5" x14ac:dyDescent="0.2">
      <c r="A4146" s="1">
        <v>39325</v>
      </c>
      <c r="B4146">
        <f>23.38</f>
        <v>23.38</v>
      </c>
      <c r="C4146">
        <f>24.4721</f>
        <v>24.472100000000001</v>
      </c>
      <c r="D4146">
        <f>23.34</f>
        <v>23.34</v>
      </c>
      <c r="E4146">
        <f>26.42</f>
        <v>26.42</v>
      </c>
    </row>
    <row r="4147" spans="1:5" x14ac:dyDescent="0.2">
      <c r="A4147" s="1">
        <v>39324</v>
      </c>
      <c r="B4147">
        <f>25.06</f>
        <v>25.06</v>
      </c>
      <c r="C4147">
        <f>25.2691</f>
        <v>25.269100000000002</v>
      </c>
      <c r="D4147">
        <f>24.45</f>
        <v>24.45</v>
      </c>
      <c r="E4147">
        <f>27.62</f>
        <v>27.62</v>
      </c>
    </row>
    <row r="4148" spans="1:5" x14ac:dyDescent="0.2">
      <c r="A4148" s="1">
        <v>39323</v>
      </c>
      <c r="B4148">
        <f>23.81</f>
        <v>23.81</v>
      </c>
      <c r="C4148">
        <f>26.5383</f>
        <v>26.5383</v>
      </c>
      <c r="D4148">
        <f>26.07</f>
        <v>26.07</v>
      </c>
      <c r="E4148">
        <f>27.92</f>
        <v>27.92</v>
      </c>
    </row>
    <row r="4149" spans="1:5" x14ac:dyDescent="0.2">
      <c r="A4149" s="1">
        <v>39322</v>
      </c>
      <c r="B4149">
        <f>26.3</f>
        <v>26.3</v>
      </c>
      <c r="C4149">
        <f>27.3264</f>
        <v>27.3264</v>
      </c>
      <c r="D4149">
        <f>27.07</f>
        <v>27.07</v>
      </c>
      <c r="E4149">
        <f>27.8</f>
        <v>27.8</v>
      </c>
    </row>
    <row r="4150" spans="1:5" x14ac:dyDescent="0.2">
      <c r="A4150" s="1">
        <v>39321</v>
      </c>
      <c r="B4150">
        <f>22.72</f>
        <v>22.72</v>
      </c>
      <c r="C4150">
        <f>24.4916</f>
        <v>24.491599999999998</v>
      </c>
      <c r="D4150" t="e">
        <f>NA()</f>
        <v>#N/A</v>
      </c>
      <c r="E4150">
        <f>27.82</f>
        <v>27.82</v>
      </c>
    </row>
    <row r="4151" spans="1:5" x14ac:dyDescent="0.2">
      <c r="A4151" s="1">
        <v>39318</v>
      </c>
      <c r="B4151">
        <f>20.72</f>
        <v>20.72</v>
      </c>
      <c r="C4151">
        <f>24.4903</f>
        <v>24.490300000000001</v>
      </c>
      <c r="D4151">
        <f>23.61</f>
        <v>23.61</v>
      </c>
      <c r="E4151">
        <f>28.21</f>
        <v>28.21</v>
      </c>
    </row>
    <row r="4152" spans="1:5" x14ac:dyDescent="0.2">
      <c r="A4152" s="1">
        <v>39317</v>
      </c>
      <c r="B4152">
        <f>22.62</f>
        <v>22.62</v>
      </c>
      <c r="C4152">
        <f>26.0374</f>
        <v>26.037400000000002</v>
      </c>
      <c r="D4152">
        <f>25.39</f>
        <v>25.39</v>
      </c>
      <c r="E4152">
        <f>28.44</f>
        <v>28.44</v>
      </c>
    </row>
    <row r="4153" spans="1:5" x14ac:dyDescent="0.2">
      <c r="A4153" s="1">
        <v>39316</v>
      </c>
      <c r="B4153">
        <f>22.89</f>
        <v>22.89</v>
      </c>
      <c r="C4153">
        <f>26.4955</f>
        <v>26.4955</v>
      </c>
      <c r="D4153">
        <f>24.64</f>
        <v>24.64</v>
      </c>
      <c r="E4153">
        <f>28.88</f>
        <v>28.88</v>
      </c>
    </row>
    <row r="4154" spans="1:5" x14ac:dyDescent="0.2">
      <c r="A4154" s="1">
        <v>39315</v>
      </c>
      <c r="B4154">
        <f>25.25</f>
        <v>25.25</v>
      </c>
      <c r="C4154">
        <f>29.0309</f>
        <v>29.030899999999999</v>
      </c>
      <c r="D4154">
        <f>28.25</f>
        <v>28.25</v>
      </c>
      <c r="E4154">
        <f>30.56</f>
        <v>30.56</v>
      </c>
    </row>
    <row r="4155" spans="1:5" x14ac:dyDescent="0.2">
      <c r="A4155" s="1">
        <v>39314</v>
      </c>
      <c r="B4155">
        <f>26.33</f>
        <v>26.33</v>
      </c>
      <c r="C4155">
        <f>31.1272</f>
        <v>31.127199999999998</v>
      </c>
      <c r="D4155">
        <f>29.92</f>
        <v>29.92</v>
      </c>
      <c r="E4155">
        <f>30.01</f>
        <v>30.01</v>
      </c>
    </row>
    <row r="4156" spans="1:5" x14ac:dyDescent="0.2">
      <c r="A4156" s="1">
        <v>39311</v>
      </c>
      <c r="B4156">
        <f>29.99</f>
        <v>29.99</v>
      </c>
      <c r="C4156">
        <f>32.4534</f>
        <v>32.453400000000002</v>
      </c>
      <c r="D4156">
        <f>30.53</f>
        <v>30.53</v>
      </c>
      <c r="E4156">
        <f>31.07</f>
        <v>31.07</v>
      </c>
    </row>
    <row r="4157" spans="1:5" x14ac:dyDescent="0.2">
      <c r="A4157" s="1">
        <v>39310</v>
      </c>
      <c r="B4157">
        <f>30.83</f>
        <v>30.83</v>
      </c>
      <c r="C4157">
        <f>34.7419</f>
        <v>34.741900000000001</v>
      </c>
      <c r="D4157">
        <f>33.49</f>
        <v>33.49</v>
      </c>
      <c r="E4157">
        <f>30.23</f>
        <v>30.23</v>
      </c>
    </row>
    <row r="4158" spans="1:5" x14ac:dyDescent="0.2">
      <c r="A4158" s="1">
        <v>39309</v>
      </c>
      <c r="B4158">
        <f>30.67</f>
        <v>30.67</v>
      </c>
      <c r="C4158">
        <f>29.1764</f>
        <v>29.176400000000001</v>
      </c>
      <c r="D4158">
        <f>28.16</f>
        <v>28.16</v>
      </c>
      <c r="E4158">
        <f>26.82</f>
        <v>26.82</v>
      </c>
    </row>
    <row r="4159" spans="1:5" x14ac:dyDescent="0.2">
      <c r="A4159" s="1">
        <v>39308</v>
      </c>
      <c r="B4159">
        <f>27.68</f>
        <v>27.68</v>
      </c>
      <c r="C4159">
        <f>29.0197</f>
        <v>29.0197</v>
      </c>
      <c r="D4159">
        <f>28.16</f>
        <v>28.16</v>
      </c>
      <c r="E4159">
        <f>25.9</f>
        <v>25.9</v>
      </c>
    </row>
    <row r="4160" spans="1:5" x14ac:dyDescent="0.2">
      <c r="A4160" s="1">
        <v>39307</v>
      </c>
      <c r="B4160">
        <f>26.57</f>
        <v>26.57</v>
      </c>
      <c r="C4160">
        <f>27.704</f>
        <v>27.704000000000001</v>
      </c>
      <c r="D4160">
        <f>26.53</f>
        <v>26.53</v>
      </c>
      <c r="E4160">
        <f>25.89</f>
        <v>25.89</v>
      </c>
    </row>
    <row r="4161" spans="1:5" x14ac:dyDescent="0.2">
      <c r="A4161" s="1">
        <v>39304</v>
      </c>
      <c r="B4161">
        <f>28.3</f>
        <v>28.3</v>
      </c>
      <c r="C4161">
        <f>30.7365</f>
        <v>30.736499999999999</v>
      </c>
      <c r="D4161">
        <f>29.65</f>
        <v>29.65</v>
      </c>
      <c r="E4161">
        <f>26.1</f>
        <v>26.1</v>
      </c>
    </row>
    <row r="4162" spans="1:5" x14ac:dyDescent="0.2">
      <c r="A4162" s="1">
        <v>39303</v>
      </c>
      <c r="B4162">
        <f>26.48</f>
        <v>26.48</v>
      </c>
      <c r="C4162">
        <f>25.4669</f>
        <v>25.466899999999999</v>
      </c>
      <c r="D4162">
        <f>23.92</f>
        <v>23.92</v>
      </c>
      <c r="E4162" t="e">
        <f>NA()</f>
        <v>#N/A</v>
      </c>
    </row>
    <row r="4163" spans="1:5" x14ac:dyDescent="0.2">
      <c r="A4163" s="1">
        <v>39302</v>
      </c>
      <c r="B4163">
        <f>21.45</f>
        <v>21.45</v>
      </c>
      <c r="C4163">
        <f>21.9195</f>
        <v>21.919499999999999</v>
      </c>
      <c r="D4163">
        <f>19.85</f>
        <v>19.850000000000001</v>
      </c>
      <c r="E4163">
        <f>24.4</f>
        <v>24.4</v>
      </c>
    </row>
    <row r="4164" spans="1:5" x14ac:dyDescent="0.2">
      <c r="A4164" s="1">
        <v>39301</v>
      </c>
      <c r="B4164">
        <f>21.56</f>
        <v>21.56</v>
      </c>
      <c r="C4164">
        <f>24.6108</f>
        <v>24.610800000000001</v>
      </c>
      <c r="D4164">
        <f>22.24</f>
        <v>22.24</v>
      </c>
      <c r="E4164">
        <f>25.08</f>
        <v>25.08</v>
      </c>
    </row>
    <row r="4165" spans="1:5" x14ac:dyDescent="0.2">
      <c r="A4165" s="1">
        <v>39300</v>
      </c>
      <c r="B4165">
        <f>22.94</f>
        <v>22.94</v>
      </c>
      <c r="C4165">
        <f>26.2291</f>
        <v>26.229099999999999</v>
      </c>
      <c r="D4165">
        <f>24.5</f>
        <v>24.5</v>
      </c>
      <c r="E4165">
        <f>25.27</f>
        <v>25.27</v>
      </c>
    </row>
    <row r="4166" spans="1:5" x14ac:dyDescent="0.2">
      <c r="A4166" s="1">
        <v>39297</v>
      </c>
      <c r="B4166">
        <f>25.16</f>
        <v>25.16</v>
      </c>
      <c r="C4166">
        <f>25.5517</f>
        <v>25.5517</v>
      </c>
      <c r="D4166">
        <f>23.73</f>
        <v>23.73</v>
      </c>
      <c r="E4166">
        <f>24.64</f>
        <v>24.64</v>
      </c>
    </row>
    <row r="4167" spans="1:5" x14ac:dyDescent="0.2">
      <c r="A4167" s="1">
        <v>39296</v>
      </c>
      <c r="B4167">
        <f>21.22</f>
        <v>21.22</v>
      </c>
      <c r="C4167">
        <f>24.7526</f>
        <v>24.752600000000001</v>
      </c>
      <c r="D4167">
        <f>23.1</f>
        <v>23.1</v>
      </c>
      <c r="E4167">
        <f>24.57</f>
        <v>24.57</v>
      </c>
    </row>
    <row r="4168" spans="1:5" x14ac:dyDescent="0.2">
      <c r="A4168" s="1">
        <v>39295</v>
      </c>
      <c r="B4168">
        <f>23.67</f>
        <v>23.67</v>
      </c>
      <c r="C4168">
        <f>27.474</f>
        <v>27.474</v>
      </c>
      <c r="D4168">
        <f>25.79</f>
        <v>25.79</v>
      </c>
      <c r="E4168">
        <f>24.21</f>
        <v>24.21</v>
      </c>
    </row>
    <row r="4169" spans="1:5" x14ac:dyDescent="0.2">
      <c r="A4169" s="1">
        <v>39294</v>
      </c>
      <c r="B4169">
        <f>23.52</f>
        <v>23.52</v>
      </c>
      <c r="C4169">
        <f>23.8246</f>
        <v>23.8246</v>
      </c>
      <c r="D4169">
        <f>21.53</f>
        <v>21.53</v>
      </c>
      <c r="E4169">
        <f>22.63</f>
        <v>22.63</v>
      </c>
    </row>
    <row r="4170" spans="1:5" x14ac:dyDescent="0.2">
      <c r="A4170" s="1">
        <v>39293</v>
      </c>
      <c r="B4170">
        <f>20.87</f>
        <v>20.87</v>
      </c>
      <c r="C4170">
        <f>25.8376</f>
        <v>25.837599999999998</v>
      </c>
      <c r="D4170">
        <f>23.91</f>
        <v>23.91</v>
      </c>
      <c r="E4170">
        <f>23.2</f>
        <v>23.2</v>
      </c>
    </row>
    <row r="4171" spans="1:5" x14ac:dyDescent="0.2">
      <c r="A4171" s="1">
        <v>39290</v>
      </c>
      <c r="B4171">
        <f>24.17</f>
        <v>24.17</v>
      </c>
      <c r="C4171">
        <f>25.2216</f>
        <v>25.221599999999999</v>
      </c>
      <c r="D4171">
        <f>23.17</f>
        <v>23.17</v>
      </c>
      <c r="E4171">
        <f>24</f>
        <v>24</v>
      </c>
    </row>
    <row r="4172" spans="1:5" x14ac:dyDescent="0.2">
      <c r="A4172" s="1">
        <v>39289</v>
      </c>
      <c r="B4172">
        <f>20.74</f>
        <v>20.74</v>
      </c>
      <c r="C4172">
        <f>25.1589</f>
        <v>25.158899999999999</v>
      </c>
      <c r="D4172">
        <f>22.06</f>
        <v>22.06</v>
      </c>
      <c r="E4172">
        <f>21.24</f>
        <v>21.24</v>
      </c>
    </row>
    <row r="4173" spans="1:5" x14ac:dyDescent="0.2">
      <c r="A4173" s="1">
        <v>39288</v>
      </c>
      <c r="B4173">
        <f>18.1</f>
        <v>18.100000000000001</v>
      </c>
      <c r="C4173">
        <f>22.19</f>
        <v>22.19</v>
      </c>
      <c r="D4173">
        <f>19.22</f>
        <v>19.22</v>
      </c>
      <c r="E4173">
        <f>19.54</f>
        <v>19.54</v>
      </c>
    </row>
    <row r="4174" spans="1:5" x14ac:dyDescent="0.2">
      <c r="A4174" s="1">
        <v>39287</v>
      </c>
      <c r="B4174">
        <f>18.55</f>
        <v>18.55</v>
      </c>
      <c r="C4174">
        <f>20.6952</f>
        <v>20.6952</v>
      </c>
      <c r="D4174">
        <f>18.06</f>
        <v>18.059999999999999</v>
      </c>
      <c r="E4174">
        <f>19.22</f>
        <v>19.22</v>
      </c>
    </row>
    <row r="4175" spans="1:5" x14ac:dyDescent="0.2">
      <c r="A4175" s="1">
        <v>39286</v>
      </c>
      <c r="B4175">
        <f>16.81</f>
        <v>16.809999999999999</v>
      </c>
      <c r="C4175">
        <f>19.1697</f>
        <v>19.169699999999999</v>
      </c>
      <c r="D4175">
        <f>16.6</f>
        <v>16.600000000000001</v>
      </c>
      <c r="E4175">
        <f>19.01</f>
        <v>19.010000000000002</v>
      </c>
    </row>
    <row r="4176" spans="1:5" x14ac:dyDescent="0.2">
      <c r="A4176" s="1">
        <v>39283</v>
      </c>
      <c r="B4176">
        <f>16.95</f>
        <v>16.95</v>
      </c>
      <c r="C4176">
        <f>19.3499</f>
        <v>19.349900000000002</v>
      </c>
      <c r="D4176">
        <f>16.51</f>
        <v>16.510000000000002</v>
      </c>
      <c r="E4176">
        <f>19.25</f>
        <v>19.25</v>
      </c>
    </row>
    <row r="4177" spans="1:5" x14ac:dyDescent="0.2">
      <c r="A4177" s="1">
        <v>39282</v>
      </c>
      <c r="B4177">
        <f>15.23</f>
        <v>15.23</v>
      </c>
      <c r="C4177">
        <f>17.827</f>
        <v>17.827000000000002</v>
      </c>
      <c r="D4177">
        <f>15.88</f>
        <v>15.88</v>
      </c>
      <c r="E4177">
        <f>19.45</f>
        <v>19.45</v>
      </c>
    </row>
    <row r="4178" spans="1:5" x14ac:dyDescent="0.2">
      <c r="A4178" s="1">
        <v>39281</v>
      </c>
      <c r="B4178">
        <f>16</f>
        <v>16</v>
      </c>
      <c r="C4178">
        <f>19.2674</f>
        <v>19.267399999999999</v>
      </c>
      <c r="D4178">
        <f>16.9</f>
        <v>16.899999999999999</v>
      </c>
      <c r="E4178">
        <f>19.87</f>
        <v>19.87</v>
      </c>
    </row>
    <row r="4179" spans="1:5" x14ac:dyDescent="0.2">
      <c r="A4179" s="1">
        <v>39280</v>
      </c>
      <c r="B4179">
        <f>15.63</f>
        <v>15.63</v>
      </c>
      <c r="C4179">
        <f>18.0287</f>
        <v>18.028700000000001</v>
      </c>
      <c r="D4179">
        <f>15.89</f>
        <v>15.89</v>
      </c>
      <c r="E4179">
        <f>19.33</f>
        <v>19.329999999999998</v>
      </c>
    </row>
    <row r="4180" spans="1:5" x14ac:dyDescent="0.2">
      <c r="A4180" s="1">
        <v>39279</v>
      </c>
      <c r="B4180">
        <f>15.59</f>
        <v>15.59</v>
      </c>
      <c r="C4180">
        <f>17.6558</f>
        <v>17.655799999999999</v>
      </c>
      <c r="D4180">
        <f>15.64</f>
        <v>15.64</v>
      </c>
      <c r="E4180">
        <f>19.09</f>
        <v>19.09</v>
      </c>
    </row>
    <row r="4181" spans="1:5" x14ac:dyDescent="0.2">
      <c r="A4181" s="1">
        <v>39276</v>
      </c>
      <c r="B4181">
        <f>15.15</f>
        <v>15.15</v>
      </c>
      <c r="C4181">
        <f>17.3416</f>
        <v>17.3416</v>
      </c>
      <c r="D4181">
        <f>14.87</f>
        <v>14.87</v>
      </c>
      <c r="E4181">
        <f>19.3</f>
        <v>19.3</v>
      </c>
    </row>
    <row r="4182" spans="1:5" x14ac:dyDescent="0.2">
      <c r="A4182" s="1">
        <v>39275</v>
      </c>
      <c r="B4182">
        <f>15.54</f>
        <v>15.54</v>
      </c>
      <c r="C4182">
        <f>17.519</f>
        <v>17.518999999999998</v>
      </c>
      <c r="D4182">
        <f>14.79</f>
        <v>14.79</v>
      </c>
      <c r="E4182">
        <f>19.31</f>
        <v>19.309999999999999</v>
      </c>
    </row>
    <row r="4183" spans="1:5" x14ac:dyDescent="0.2">
      <c r="A4183" s="1">
        <v>39274</v>
      </c>
      <c r="B4183">
        <f>16.64</f>
        <v>16.64</v>
      </c>
      <c r="C4183">
        <f>18.6717</f>
        <v>18.671700000000001</v>
      </c>
      <c r="D4183">
        <f>15.9</f>
        <v>15.9</v>
      </c>
      <c r="E4183">
        <f>19.56</f>
        <v>19.559999999999999</v>
      </c>
    </row>
    <row r="4184" spans="1:5" x14ac:dyDescent="0.2">
      <c r="A4184" s="1">
        <v>39273</v>
      </c>
      <c r="B4184">
        <f>17.57</f>
        <v>17.57</v>
      </c>
      <c r="C4184">
        <f>18.3362</f>
        <v>18.336200000000002</v>
      </c>
      <c r="D4184">
        <f>15.39</f>
        <v>15.39</v>
      </c>
      <c r="E4184">
        <f>19.52</f>
        <v>19.52</v>
      </c>
    </row>
    <row r="4185" spans="1:5" x14ac:dyDescent="0.2">
      <c r="A4185" s="1">
        <v>39272</v>
      </c>
      <c r="B4185">
        <f>15.16</f>
        <v>15.16</v>
      </c>
      <c r="C4185">
        <f>17.0812</f>
        <v>17.081199999999999</v>
      </c>
      <c r="D4185">
        <f>14.39</f>
        <v>14.39</v>
      </c>
      <c r="E4185">
        <f>19.75</f>
        <v>19.75</v>
      </c>
    </row>
    <row r="4186" spans="1:5" x14ac:dyDescent="0.2">
      <c r="A4186" s="1">
        <v>39269</v>
      </c>
      <c r="B4186">
        <f>14.72</f>
        <v>14.72</v>
      </c>
      <c r="C4186">
        <f>16.7459</f>
        <v>16.745899999999999</v>
      </c>
      <c r="D4186">
        <f>14.19</f>
        <v>14.19</v>
      </c>
      <c r="E4186">
        <f>20.42</f>
        <v>20.420000000000002</v>
      </c>
    </row>
    <row r="4187" spans="1:5" x14ac:dyDescent="0.2">
      <c r="A4187" s="1">
        <v>39268</v>
      </c>
      <c r="B4187">
        <f>15.48</f>
        <v>15.48</v>
      </c>
      <c r="C4187">
        <f>17.9114</f>
        <v>17.9114</v>
      </c>
      <c r="D4187">
        <f>15.43</f>
        <v>15.43</v>
      </c>
      <c r="E4187">
        <f>20.51</f>
        <v>20.51</v>
      </c>
    </row>
    <row r="4188" spans="1:5" x14ac:dyDescent="0.2">
      <c r="A4188" s="1">
        <v>39267</v>
      </c>
      <c r="B4188" t="e">
        <f>NA()</f>
        <v>#N/A</v>
      </c>
      <c r="C4188">
        <f>16.8956</f>
        <v>16.895600000000002</v>
      </c>
      <c r="D4188">
        <f>14.5</f>
        <v>14.5</v>
      </c>
      <c r="E4188">
        <f>20.76</f>
        <v>20.76</v>
      </c>
    </row>
    <row r="4189" spans="1:5" x14ac:dyDescent="0.2">
      <c r="A4189" s="1">
        <v>39266</v>
      </c>
      <c r="B4189">
        <f>14.92</f>
        <v>14.92</v>
      </c>
      <c r="C4189">
        <f>16.8133</f>
        <v>16.813300000000002</v>
      </c>
      <c r="D4189">
        <f>14.81</f>
        <v>14.81</v>
      </c>
      <c r="E4189" t="e">
        <f>NA()</f>
        <v>#N/A</v>
      </c>
    </row>
    <row r="4190" spans="1:5" x14ac:dyDescent="0.2">
      <c r="A4190" s="1">
        <v>39265</v>
      </c>
      <c r="B4190">
        <f>15.4</f>
        <v>15.4</v>
      </c>
      <c r="C4190">
        <f>17.6313</f>
        <v>17.6313</v>
      </c>
      <c r="D4190">
        <f>15.27</f>
        <v>15.27</v>
      </c>
      <c r="E4190">
        <f>21.3</f>
        <v>21.3</v>
      </c>
    </row>
    <row r="4191" spans="1:5" x14ac:dyDescent="0.2">
      <c r="A4191" s="1">
        <v>39262</v>
      </c>
      <c r="B4191">
        <f>16.23</f>
        <v>16.23</v>
      </c>
      <c r="C4191">
        <f>16.8985</f>
        <v>16.898499999999999</v>
      </c>
      <c r="D4191">
        <f>14.52</f>
        <v>14.52</v>
      </c>
      <c r="E4191">
        <f>21.56</f>
        <v>21.56</v>
      </c>
    </row>
    <row r="4192" spans="1:5" x14ac:dyDescent="0.2">
      <c r="A4192" s="1">
        <v>39261</v>
      </c>
      <c r="B4192">
        <f>15.54</f>
        <v>15.54</v>
      </c>
      <c r="C4192">
        <f>17.7652</f>
        <v>17.7652</v>
      </c>
      <c r="D4192">
        <f>15.3</f>
        <v>15.3</v>
      </c>
      <c r="E4192">
        <f>21.48</f>
        <v>21.48</v>
      </c>
    </row>
    <row r="4193" spans="1:5" x14ac:dyDescent="0.2">
      <c r="A4193" s="1">
        <v>39260</v>
      </c>
      <c r="B4193">
        <f>15.53</f>
        <v>15.53</v>
      </c>
      <c r="C4193">
        <f>18.9061</f>
        <v>18.906099999999999</v>
      </c>
      <c r="D4193">
        <f>16.29</f>
        <v>16.29</v>
      </c>
      <c r="E4193">
        <f>21.88</f>
        <v>21.88</v>
      </c>
    </row>
    <row r="4194" spans="1:5" x14ac:dyDescent="0.2">
      <c r="A4194" s="1">
        <v>39259</v>
      </c>
      <c r="B4194">
        <f>18.89</f>
        <v>18.89</v>
      </c>
      <c r="C4194">
        <f>18.9275</f>
        <v>18.927499999999998</v>
      </c>
      <c r="D4194">
        <f>15.66</f>
        <v>15.66</v>
      </c>
      <c r="E4194">
        <f>20.94</f>
        <v>20.94</v>
      </c>
    </row>
    <row r="4195" spans="1:5" x14ac:dyDescent="0.2">
      <c r="A4195" s="1">
        <v>39258</v>
      </c>
      <c r="B4195">
        <f>16.65</f>
        <v>16.649999999999999</v>
      </c>
      <c r="C4195">
        <f>17.8097</f>
        <v>17.809699999999999</v>
      </c>
      <c r="D4195">
        <f>15.38</f>
        <v>15.38</v>
      </c>
      <c r="E4195">
        <f>20.87</f>
        <v>20.87</v>
      </c>
    </row>
    <row r="4196" spans="1:5" x14ac:dyDescent="0.2">
      <c r="A4196" s="1">
        <v>39255</v>
      </c>
      <c r="B4196">
        <f>15.75</f>
        <v>15.75</v>
      </c>
      <c r="C4196">
        <f>17.3112</f>
        <v>17.311199999999999</v>
      </c>
      <c r="D4196">
        <f>15.04</f>
        <v>15.04</v>
      </c>
      <c r="E4196">
        <f>20.41</f>
        <v>20.41</v>
      </c>
    </row>
    <row r="4197" spans="1:5" x14ac:dyDescent="0.2">
      <c r="A4197" s="1">
        <v>39254</v>
      </c>
      <c r="B4197">
        <f>14.21</f>
        <v>14.21</v>
      </c>
      <c r="C4197">
        <f>16.9599</f>
        <v>16.959900000000001</v>
      </c>
      <c r="D4197">
        <f>14.57</f>
        <v>14.57</v>
      </c>
      <c r="E4197">
        <f>20.63</f>
        <v>20.63</v>
      </c>
    </row>
    <row r="4198" spans="1:5" x14ac:dyDescent="0.2">
      <c r="A4198" s="1">
        <v>39253</v>
      </c>
      <c r="B4198">
        <f>14.67</f>
        <v>14.67</v>
      </c>
      <c r="C4198">
        <f>15.9242</f>
        <v>15.924200000000001</v>
      </c>
      <c r="D4198">
        <f>14.01</f>
        <v>14.01</v>
      </c>
      <c r="E4198">
        <f>20.42</f>
        <v>20.420000000000002</v>
      </c>
    </row>
    <row r="4199" spans="1:5" x14ac:dyDescent="0.2">
      <c r="A4199" s="1">
        <v>39252</v>
      </c>
      <c r="B4199">
        <f>12.85</f>
        <v>12.85</v>
      </c>
      <c r="C4199">
        <f>16.1299</f>
        <v>16.129899999999999</v>
      </c>
      <c r="D4199">
        <f>14.37</f>
        <v>14.37</v>
      </c>
      <c r="E4199">
        <f>20.44</f>
        <v>20.440000000000001</v>
      </c>
    </row>
    <row r="4200" spans="1:5" x14ac:dyDescent="0.2">
      <c r="A4200" s="1">
        <v>39251</v>
      </c>
      <c r="B4200">
        <f>13.42</f>
        <v>13.42</v>
      </c>
      <c r="C4200">
        <f>16.7665</f>
        <v>16.766500000000001</v>
      </c>
      <c r="D4200">
        <f>14.7</f>
        <v>14.7</v>
      </c>
      <c r="E4200">
        <f>20.02</f>
        <v>20.02</v>
      </c>
    </row>
    <row r="4201" spans="1:5" x14ac:dyDescent="0.2">
      <c r="A4201" s="1">
        <v>39248</v>
      </c>
      <c r="B4201">
        <f>13.94</f>
        <v>13.94</v>
      </c>
      <c r="C4201">
        <f>15.9641</f>
        <v>15.9641</v>
      </c>
      <c r="D4201">
        <f>14</f>
        <v>14</v>
      </c>
      <c r="E4201">
        <f>20.07</f>
        <v>20.07</v>
      </c>
    </row>
    <row r="4202" spans="1:5" x14ac:dyDescent="0.2">
      <c r="A4202" s="1">
        <v>39247</v>
      </c>
      <c r="B4202">
        <f>13.64</f>
        <v>13.64</v>
      </c>
      <c r="C4202">
        <f>16.872</f>
        <v>16.872</v>
      </c>
      <c r="D4202">
        <f>14.51</f>
        <v>14.51</v>
      </c>
      <c r="E4202">
        <f>20.52</f>
        <v>20.52</v>
      </c>
    </row>
    <row r="4203" spans="1:5" x14ac:dyDescent="0.2">
      <c r="A4203" s="1">
        <v>39246</v>
      </c>
      <c r="B4203">
        <f>14.73</f>
        <v>14.73</v>
      </c>
      <c r="C4203">
        <f>18.5551</f>
        <v>18.555099999999999</v>
      </c>
      <c r="D4203">
        <f>15.64</f>
        <v>15.64</v>
      </c>
      <c r="E4203">
        <f>21.46</f>
        <v>21.46</v>
      </c>
    </row>
    <row r="4204" spans="1:5" x14ac:dyDescent="0.2">
      <c r="A4204" s="1">
        <v>39245</v>
      </c>
      <c r="B4204">
        <f>16.67</f>
        <v>16.670000000000002</v>
      </c>
      <c r="C4204">
        <f>18.8332</f>
        <v>18.833200000000001</v>
      </c>
      <c r="D4204">
        <f>16.1</f>
        <v>16.100000000000001</v>
      </c>
      <c r="E4204">
        <f>21.68</f>
        <v>21.68</v>
      </c>
    </row>
    <row r="4205" spans="1:5" x14ac:dyDescent="0.2">
      <c r="A4205" s="1">
        <v>39244</v>
      </c>
      <c r="B4205">
        <f>14.71</f>
        <v>14.71</v>
      </c>
      <c r="C4205">
        <f>18.2508</f>
        <v>18.250800000000002</v>
      </c>
      <c r="D4205">
        <f>15.3</f>
        <v>15.3</v>
      </c>
      <c r="E4205">
        <f>21.28</f>
        <v>21.28</v>
      </c>
    </row>
    <row r="4206" spans="1:5" x14ac:dyDescent="0.2">
      <c r="A4206" s="1">
        <v>39241</v>
      </c>
      <c r="B4206">
        <f>14.84</f>
        <v>14.84</v>
      </c>
      <c r="C4206">
        <f>18.8901</f>
        <v>18.8901</v>
      </c>
      <c r="D4206">
        <f>16.39</f>
        <v>16.39</v>
      </c>
      <c r="E4206">
        <f>21.73</f>
        <v>21.73</v>
      </c>
    </row>
    <row r="4207" spans="1:5" x14ac:dyDescent="0.2">
      <c r="A4207" s="1">
        <v>39240</v>
      </c>
      <c r="B4207">
        <f>17.06</f>
        <v>17.059999999999999</v>
      </c>
      <c r="C4207">
        <f>19.5603</f>
        <v>19.560300000000002</v>
      </c>
      <c r="D4207">
        <f>16.8</f>
        <v>16.8</v>
      </c>
      <c r="E4207">
        <f>20.81</f>
        <v>20.81</v>
      </c>
    </row>
    <row r="4208" spans="1:5" x14ac:dyDescent="0.2">
      <c r="A4208" s="1">
        <v>39239</v>
      </c>
      <c r="B4208">
        <f>14.87</f>
        <v>14.87</v>
      </c>
      <c r="C4208">
        <f>18.537</f>
        <v>18.536999999999999</v>
      </c>
      <c r="D4208">
        <f>15.94</f>
        <v>15.94</v>
      </c>
      <c r="E4208">
        <f>20.67</f>
        <v>20.67</v>
      </c>
    </row>
    <row r="4209" spans="1:5" x14ac:dyDescent="0.2">
      <c r="A4209" s="1">
        <v>39238</v>
      </c>
      <c r="B4209">
        <f>13.63</f>
        <v>13.63</v>
      </c>
      <c r="C4209">
        <f>16.5452</f>
        <v>16.545200000000001</v>
      </c>
      <c r="D4209">
        <f>14.53</f>
        <v>14.53</v>
      </c>
      <c r="E4209">
        <f>20.13</f>
        <v>20.13</v>
      </c>
    </row>
    <row r="4210" spans="1:5" x14ac:dyDescent="0.2">
      <c r="A4210" s="1">
        <v>39237</v>
      </c>
      <c r="B4210">
        <f>13.29</f>
        <v>13.29</v>
      </c>
      <c r="C4210">
        <f>16.505</f>
        <v>16.504999999999999</v>
      </c>
      <c r="D4210">
        <f>14.31</f>
        <v>14.31</v>
      </c>
      <c r="E4210">
        <f>20.06</f>
        <v>20.059999999999999</v>
      </c>
    </row>
    <row r="4211" spans="1:5" x14ac:dyDescent="0.2">
      <c r="A4211" s="1">
        <v>39234</v>
      </c>
      <c r="B4211">
        <f>12.78</f>
        <v>12.78</v>
      </c>
      <c r="C4211">
        <f>15.2943</f>
        <v>15.2943</v>
      </c>
      <c r="D4211">
        <f>13.44</f>
        <v>13.44</v>
      </c>
      <c r="E4211">
        <f>20</f>
        <v>20</v>
      </c>
    </row>
    <row r="4212" spans="1:5" x14ac:dyDescent="0.2">
      <c r="A4212" s="1">
        <v>39233</v>
      </c>
      <c r="B4212">
        <f>13.05</f>
        <v>13.05</v>
      </c>
      <c r="C4212">
        <f>15.7865</f>
        <v>15.7865</v>
      </c>
      <c r="D4212">
        <f>14.06</f>
        <v>14.06</v>
      </c>
      <c r="E4212">
        <f>20.45</f>
        <v>20.45</v>
      </c>
    </row>
    <row r="4213" spans="1:5" x14ac:dyDescent="0.2">
      <c r="A4213" s="1">
        <v>39232</v>
      </c>
      <c r="B4213">
        <f>12.83</f>
        <v>12.83</v>
      </c>
      <c r="C4213">
        <f>16.4949</f>
        <v>16.494900000000001</v>
      </c>
      <c r="D4213">
        <f>14.38</f>
        <v>14.38</v>
      </c>
      <c r="E4213">
        <f>20.24</f>
        <v>20.239999999999998</v>
      </c>
    </row>
    <row r="4214" spans="1:5" x14ac:dyDescent="0.2">
      <c r="A4214" s="1">
        <v>39231</v>
      </c>
      <c r="B4214">
        <f>13.53</f>
        <v>13.53</v>
      </c>
      <c r="C4214">
        <f>16.3646</f>
        <v>16.364599999999999</v>
      </c>
      <c r="D4214">
        <f>14.06</f>
        <v>14.06</v>
      </c>
      <c r="E4214">
        <f>19.98</f>
        <v>19.98</v>
      </c>
    </row>
    <row r="4215" spans="1:5" x14ac:dyDescent="0.2">
      <c r="A4215" s="1">
        <v>39230</v>
      </c>
      <c r="B4215" t="e">
        <f>NA()</f>
        <v>#N/A</v>
      </c>
      <c r="C4215" t="e">
        <f>NA()</f>
        <v>#N/A</v>
      </c>
      <c r="D4215" t="e">
        <f>NA()</f>
        <v>#N/A</v>
      </c>
      <c r="E4215">
        <f>19.61</f>
        <v>19.61</v>
      </c>
    </row>
    <row r="4216" spans="1:5" x14ac:dyDescent="0.2">
      <c r="A4216" s="1">
        <v>39227</v>
      </c>
      <c r="B4216">
        <f>13.34</f>
        <v>13.34</v>
      </c>
      <c r="C4216">
        <f>15.9927</f>
        <v>15.992699999999999</v>
      </c>
      <c r="D4216">
        <f>13.91</f>
        <v>13.91</v>
      </c>
      <c r="E4216">
        <f>19.82</f>
        <v>19.82</v>
      </c>
    </row>
    <row r="4217" spans="1:5" x14ac:dyDescent="0.2">
      <c r="A4217" s="1">
        <v>39226</v>
      </c>
      <c r="B4217">
        <f>14.08</f>
        <v>14.08</v>
      </c>
      <c r="C4217">
        <f>16.718</f>
        <v>16.718</v>
      </c>
      <c r="D4217">
        <f>14.7</f>
        <v>14.7</v>
      </c>
      <c r="E4217" t="e">
        <f>NA()</f>
        <v>#N/A</v>
      </c>
    </row>
    <row r="4218" spans="1:5" x14ac:dyDescent="0.2">
      <c r="A4218" s="1">
        <v>39225</v>
      </c>
      <c r="B4218">
        <f>13.24</f>
        <v>13.24</v>
      </c>
      <c r="C4218">
        <f>15.6061</f>
        <v>15.6061</v>
      </c>
      <c r="D4218">
        <f>13.97</f>
        <v>13.97</v>
      </c>
      <c r="E4218">
        <f>18.78</f>
        <v>18.78</v>
      </c>
    </row>
    <row r="4219" spans="1:5" x14ac:dyDescent="0.2">
      <c r="A4219" s="1">
        <v>39224</v>
      </c>
      <c r="B4219">
        <f>13.06</f>
        <v>13.06</v>
      </c>
      <c r="C4219">
        <f>15.9025</f>
        <v>15.9025</v>
      </c>
      <c r="D4219">
        <f>14.48</f>
        <v>14.48</v>
      </c>
      <c r="E4219">
        <f>19.19</f>
        <v>19.190000000000001</v>
      </c>
    </row>
    <row r="4220" spans="1:5" x14ac:dyDescent="0.2">
      <c r="A4220" s="1">
        <v>39223</v>
      </c>
      <c r="B4220">
        <f>13.3</f>
        <v>13.3</v>
      </c>
      <c r="C4220">
        <f>16.1341</f>
        <v>16.1341</v>
      </c>
      <c r="D4220">
        <f>14.49</f>
        <v>14.49</v>
      </c>
      <c r="E4220">
        <f>19.27</f>
        <v>19.27</v>
      </c>
    </row>
    <row r="4221" spans="1:5" x14ac:dyDescent="0.2">
      <c r="A4221" s="1">
        <v>39220</v>
      </c>
      <c r="B4221">
        <f>12.76</f>
        <v>12.76</v>
      </c>
      <c r="C4221">
        <f>16.0852</f>
        <v>16.0852</v>
      </c>
      <c r="D4221">
        <f>14.15</f>
        <v>14.15</v>
      </c>
      <c r="E4221">
        <f>19.8</f>
        <v>19.8</v>
      </c>
    </row>
    <row r="4222" spans="1:5" x14ac:dyDescent="0.2">
      <c r="A4222" s="1">
        <v>39219</v>
      </c>
      <c r="B4222">
        <f>13.51</f>
        <v>13.51</v>
      </c>
      <c r="C4222">
        <f>17.4461</f>
        <v>17.446100000000001</v>
      </c>
      <c r="D4222">
        <f>15.08</f>
        <v>15.08</v>
      </c>
      <c r="E4222">
        <f>19.95</f>
        <v>19.95</v>
      </c>
    </row>
    <row r="4223" spans="1:5" x14ac:dyDescent="0.2">
      <c r="A4223" s="1">
        <v>39218</v>
      </c>
      <c r="B4223">
        <f>13.5</f>
        <v>13.5</v>
      </c>
      <c r="C4223">
        <f>17.6907</f>
        <v>17.6907</v>
      </c>
      <c r="D4223">
        <f>15.46</f>
        <v>15.46</v>
      </c>
      <c r="E4223">
        <f>19.3</f>
        <v>19.3</v>
      </c>
    </row>
    <row r="4224" spans="1:5" x14ac:dyDescent="0.2">
      <c r="A4224" s="1">
        <v>39217</v>
      </c>
      <c r="B4224">
        <f>14.01</f>
        <v>14.01</v>
      </c>
      <c r="C4224">
        <f>17.6714</f>
        <v>17.671399999999998</v>
      </c>
      <c r="D4224">
        <f>15.8</f>
        <v>15.8</v>
      </c>
      <c r="E4224">
        <f>19.29</f>
        <v>19.29</v>
      </c>
    </row>
    <row r="4225" spans="1:5" x14ac:dyDescent="0.2">
      <c r="A4225" s="1">
        <v>39216</v>
      </c>
      <c r="B4225">
        <f>13.96</f>
        <v>13.96</v>
      </c>
      <c r="C4225">
        <f>18.0399</f>
        <v>18.039899999999999</v>
      </c>
      <c r="D4225">
        <f>15.63</f>
        <v>15.63</v>
      </c>
      <c r="E4225">
        <f>19.05</f>
        <v>19.05</v>
      </c>
    </row>
    <row r="4226" spans="1:5" x14ac:dyDescent="0.2">
      <c r="A4226" s="1">
        <v>39213</v>
      </c>
      <c r="B4226">
        <f>12.95</f>
        <v>12.95</v>
      </c>
      <c r="C4226">
        <f>17.4643</f>
        <v>17.464300000000001</v>
      </c>
      <c r="D4226">
        <f>14.91</f>
        <v>14.91</v>
      </c>
      <c r="E4226">
        <f>18.17</f>
        <v>18.170000000000002</v>
      </c>
    </row>
    <row r="4227" spans="1:5" x14ac:dyDescent="0.2">
      <c r="A4227" s="1">
        <v>39212</v>
      </c>
      <c r="B4227">
        <f>13.6</f>
        <v>13.6</v>
      </c>
      <c r="C4227">
        <f>17.8736</f>
        <v>17.8736</v>
      </c>
      <c r="D4227">
        <f>15.47</f>
        <v>15.47</v>
      </c>
      <c r="E4227">
        <f>18.19</f>
        <v>18.190000000000001</v>
      </c>
    </row>
    <row r="4228" spans="1:5" x14ac:dyDescent="0.2">
      <c r="A4228" s="1">
        <v>39211</v>
      </c>
      <c r="B4228">
        <f>12.88</f>
        <v>12.88</v>
      </c>
      <c r="C4228">
        <f>17.2449</f>
        <v>17.244900000000001</v>
      </c>
      <c r="D4228">
        <f>14.94</f>
        <v>14.94</v>
      </c>
      <c r="E4228">
        <f>18.03</f>
        <v>18.03</v>
      </c>
    </row>
    <row r="4229" spans="1:5" x14ac:dyDescent="0.2">
      <c r="A4229" s="1">
        <v>39210</v>
      </c>
      <c r="B4229">
        <f>13.21</f>
        <v>13.21</v>
      </c>
      <c r="C4229">
        <f>17.6021</f>
        <v>17.6021</v>
      </c>
      <c r="D4229">
        <f>15.25</f>
        <v>15.25</v>
      </c>
      <c r="E4229">
        <f>18.08</f>
        <v>18.079999999999998</v>
      </c>
    </row>
    <row r="4230" spans="1:5" x14ac:dyDescent="0.2">
      <c r="A4230" s="1">
        <v>39209</v>
      </c>
      <c r="B4230">
        <f>13.15</f>
        <v>13.15</v>
      </c>
      <c r="C4230">
        <f>17.1331</f>
        <v>17.133099999999999</v>
      </c>
      <c r="D4230" t="e">
        <f>NA()</f>
        <v>#N/A</v>
      </c>
      <c r="E4230">
        <f>16.76</f>
        <v>16.760000000000002</v>
      </c>
    </row>
    <row r="4231" spans="1:5" x14ac:dyDescent="0.2">
      <c r="A4231" s="1">
        <v>39206</v>
      </c>
      <c r="B4231">
        <f>12.91</f>
        <v>12.91</v>
      </c>
      <c r="C4231">
        <f>17.0574</f>
        <v>17.057400000000001</v>
      </c>
      <c r="D4231">
        <f>14.3</f>
        <v>14.3</v>
      </c>
      <c r="E4231">
        <f>16.46</f>
        <v>16.46</v>
      </c>
    </row>
    <row r="4232" spans="1:5" x14ac:dyDescent="0.2">
      <c r="A4232" s="1">
        <v>39205</v>
      </c>
      <c r="B4232">
        <f>13.09</f>
        <v>13.09</v>
      </c>
      <c r="C4232">
        <f>17.7993</f>
        <v>17.799299999999999</v>
      </c>
      <c r="D4232">
        <f>14.47</f>
        <v>14.47</v>
      </c>
      <c r="E4232">
        <f>17.01</f>
        <v>17.010000000000002</v>
      </c>
    </row>
    <row r="4233" spans="1:5" x14ac:dyDescent="0.2">
      <c r="A4233" s="1">
        <v>39204</v>
      </c>
      <c r="B4233">
        <f>13.08</f>
        <v>13.08</v>
      </c>
      <c r="C4233">
        <f>18.1807</f>
        <v>18.180700000000002</v>
      </c>
      <c r="D4233">
        <f>14.79</f>
        <v>14.79</v>
      </c>
      <c r="E4233">
        <f>16.85</f>
        <v>16.850000000000001</v>
      </c>
    </row>
    <row r="4234" spans="1:5" x14ac:dyDescent="0.2">
      <c r="A4234" s="1">
        <v>39203</v>
      </c>
      <c r="B4234">
        <f>13.51</f>
        <v>13.51</v>
      </c>
      <c r="C4234" t="e">
        <f>NA()</f>
        <v>#N/A</v>
      </c>
      <c r="D4234">
        <f>15.74</f>
        <v>15.74</v>
      </c>
      <c r="E4234" t="e">
        <f>NA()</f>
        <v>#N/A</v>
      </c>
    </row>
    <row r="4235" spans="1:5" x14ac:dyDescent="0.2">
      <c r="A4235" s="1">
        <v>39202</v>
      </c>
      <c r="B4235">
        <f>14.22</f>
        <v>14.22</v>
      </c>
      <c r="C4235">
        <f>18.3379</f>
        <v>18.337900000000001</v>
      </c>
      <c r="D4235">
        <f>15.16</f>
        <v>15.16</v>
      </c>
      <c r="E4235" t="e">
        <f>NA()</f>
        <v>#N/A</v>
      </c>
    </row>
    <row r="4236" spans="1:5" x14ac:dyDescent="0.2">
      <c r="A4236" s="1">
        <v>39199</v>
      </c>
      <c r="B4236">
        <f>12.45</f>
        <v>12.45</v>
      </c>
      <c r="C4236">
        <f>18.0183</f>
        <v>18.0183</v>
      </c>
      <c r="D4236">
        <f>15.2</f>
        <v>15.2</v>
      </c>
      <c r="E4236" t="e">
        <f>NA()</f>
        <v>#N/A</v>
      </c>
    </row>
    <row r="4237" spans="1:5" x14ac:dyDescent="0.2">
      <c r="A4237" s="1">
        <v>39198</v>
      </c>
      <c r="B4237">
        <f>12.79</f>
        <v>12.79</v>
      </c>
      <c r="C4237">
        <f>17.8182</f>
        <v>17.818200000000001</v>
      </c>
      <c r="D4237">
        <f>15.54</f>
        <v>15.54</v>
      </c>
      <c r="E4237" t="e">
        <f>NA()</f>
        <v>#N/A</v>
      </c>
    </row>
    <row r="4238" spans="1:5" x14ac:dyDescent="0.2">
      <c r="A4238" s="1">
        <v>39197</v>
      </c>
      <c r="B4238">
        <f>13.21</f>
        <v>13.21</v>
      </c>
      <c r="C4238">
        <f>17.7795</f>
        <v>17.779499999999999</v>
      </c>
      <c r="D4238">
        <f>15.21</f>
        <v>15.21</v>
      </c>
      <c r="E4238" t="e">
        <f>NA()</f>
        <v>#N/A</v>
      </c>
    </row>
    <row r="4239" spans="1:5" x14ac:dyDescent="0.2">
      <c r="A4239" s="1">
        <v>39196</v>
      </c>
      <c r="B4239">
        <f>13.12</f>
        <v>13.12</v>
      </c>
      <c r="C4239">
        <f>18.5654</f>
        <v>18.5654</v>
      </c>
      <c r="D4239">
        <f>15.89</f>
        <v>15.89</v>
      </c>
      <c r="E4239" t="e">
        <f>NA()</f>
        <v>#N/A</v>
      </c>
    </row>
    <row r="4240" spans="1:5" x14ac:dyDescent="0.2">
      <c r="A4240" s="1">
        <v>39195</v>
      </c>
      <c r="B4240">
        <f>13.04</f>
        <v>13.04</v>
      </c>
      <c r="C4240">
        <f>18.2799</f>
        <v>18.279900000000001</v>
      </c>
      <c r="D4240">
        <f>14.81</f>
        <v>14.81</v>
      </c>
      <c r="E4240" t="e">
        <f>NA()</f>
        <v>#N/A</v>
      </c>
    </row>
    <row r="4241" spans="1:5" x14ac:dyDescent="0.2">
      <c r="A4241" s="1">
        <v>39192</v>
      </c>
      <c r="B4241">
        <f>12.07</f>
        <v>12.07</v>
      </c>
      <c r="C4241">
        <f>18.1661</f>
        <v>18.1661</v>
      </c>
      <c r="D4241">
        <f>14.86</f>
        <v>14.86</v>
      </c>
      <c r="E4241" t="e">
        <f>NA()</f>
        <v>#N/A</v>
      </c>
    </row>
    <row r="4242" spans="1:5" x14ac:dyDescent="0.2">
      <c r="A4242" s="1">
        <v>39191</v>
      </c>
      <c r="B4242">
        <f>12.54</f>
        <v>12.54</v>
      </c>
      <c r="C4242">
        <f>18.6846</f>
        <v>18.6846</v>
      </c>
      <c r="D4242">
        <f>15.18</f>
        <v>15.18</v>
      </c>
      <c r="E4242" t="e">
        <f>NA()</f>
        <v>#N/A</v>
      </c>
    </row>
    <row r="4243" spans="1:5" x14ac:dyDescent="0.2">
      <c r="A4243" s="1">
        <v>39190</v>
      </c>
      <c r="B4243">
        <f>12.42</f>
        <v>12.42</v>
      </c>
      <c r="C4243">
        <f>18.123</f>
        <v>18.123000000000001</v>
      </c>
      <c r="D4243">
        <f>14.59</f>
        <v>14.59</v>
      </c>
      <c r="E4243" t="e">
        <f>NA()</f>
        <v>#N/A</v>
      </c>
    </row>
    <row r="4244" spans="1:5" x14ac:dyDescent="0.2">
      <c r="A4244" s="1">
        <v>39189</v>
      </c>
      <c r="B4244">
        <f>12.14</f>
        <v>12.14</v>
      </c>
      <c r="C4244">
        <f>17.1855</f>
        <v>17.185500000000001</v>
      </c>
      <c r="D4244">
        <f>14.01</f>
        <v>14.01</v>
      </c>
      <c r="E4244" t="e">
        <f>NA()</f>
        <v>#N/A</v>
      </c>
    </row>
    <row r="4245" spans="1:5" x14ac:dyDescent="0.2">
      <c r="A4245" s="1">
        <v>39188</v>
      </c>
      <c r="B4245">
        <f>11.98</f>
        <v>11.98</v>
      </c>
      <c r="C4245">
        <f>16.7432</f>
        <v>16.743200000000002</v>
      </c>
      <c r="D4245">
        <f>13.29</f>
        <v>13.29</v>
      </c>
      <c r="E4245" t="e">
        <f>NA()</f>
        <v>#N/A</v>
      </c>
    </row>
    <row r="4246" spans="1:5" x14ac:dyDescent="0.2">
      <c r="A4246" s="1">
        <v>39185</v>
      </c>
      <c r="B4246">
        <f>12.2</f>
        <v>12.2</v>
      </c>
      <c r="C4246">
        <f>16.4958</f>
        <v>16.495799999999999</v>
      </c>
      <c r="D4246">
        <f>13.21</f>
        <v>13.21</v>
      </c>
      <c r="E4246" t="e">
        <f>NA()</f>
        <v>#N/A</v>
      </c>
    </row>
    <row r="4247" spans="1:5" x14ac:dyDescent="0.2">
      <c r="A4247" s="1">
        <v>39184</v>
      </c>
      <c r="B4247">
        <f>12.71</f>
        <v>12.71</v>
      </c>
      <c r="C4247">
        <f>17.0933</f>
        <v>17.093299999999999</v>
      </c>
      <c r="D4247">
        <f>14.15</f>
        <v>14.15</v>
      </c>
      <c r="E4247" t="e">
        <f>NA()</f>
        <v>#N/A</v>
      </c>
    </row>
    <row r="4248" spans="1:5" x14ac:dyDescent="0.2">
      <c r="A4248" s="1">
        <v>39183</v>
      </c>
      <c r="B4248">
        <f>13.49</f>
        <v>13.49</v>
      </c>
      <c r="C4248">
        <f>17.0061</f>
        <v>17.0061</v>
      </c>
      <c r="D4248">
        <f>13.7</f>
        <v>13.7</v>
      </c>
      <c r="E4248" t="e">
        <f>NA()</f>
        <v>#N/A</v>
      </c>
    </row>
    <row r="4249" spans="1:5" x14ac:dyDescent="0.2">
      <c r="A4249" s="1">
        <v>39182</v>
      </c>
      <c r="B4249">
        <f>12.68</f>
        <v>12.68</v>
      </c>
      <c r="C4249">
        <f>15.7042</f>
        <v>15.7042</v>
      </c>
      <c r="D4249">
        <f>13.33</f>
        <v>13.33</v>
      </c>
      <c r="E4249" t="e">
        <f>NA()</f>
        <v>#N/A</v>
      </c>
    </row>
    <row r="4250" spans="1:5" x14ac:dyDescent="0.2">
      <c r="A4250" s="1">
        <v>39181</v>
      </c>
      <c r="B4250">
        <f>13.14</f>
        <v>13.14</v>
      </c>
      <c r="C4250" t="e">
        <f>NA()</f>
        <v>#N/A</v>
      </c>
      <c r="D4250" t="e">
        <f>NA()</f>
        <v>#N/A</v>
      </c>
      <c r="E4250" t="e">
        <f>NA()</f>
        <v>#N/A</v>
      </c>
    </row>
    <row r="4251" spans="1:5" x14ac:dyDescent="0.2">
      <c r="A4251" s="1">
        <v>39177</v>
      </c>
      <c r="B4251">
        <f>13.23</f>
        <v>13.23</v>
      </c>
      <c r="C4251">
        <f>15.4383</f>
        <v>15.4383</v>
      </c>
      <c r="D4251">
        <f>12.88</f>
        <v>12.88</v>
      </c>
      <c r="E4251" t="e">
        <f>NA()</f>
        <v>#N/A</v>
      </c>
    </row>
    <row r="4252" spans="1:5" x14ac:dyDescent="0.2">
      <c r="A4252" s="1">
        <v>39176</v>
      </c>
      <c r="B4252">
        <f>13.24</f>
        <v>13.24</v>
      </c>
      <c r="C4252">
        <f>15.7495</f>
        <v>15.749499999999999</v>
      </c>
      <c r="D4252">
        <f>13.23</f>
        <v>13.23</v>
      </c>
      <c r="E4252" t="e">
        <f>NA()</f>
        <v>#N/A</v>
      </c>
    </row>
    <row r="4253" spans="1:5" x14ac:dyDescent="0.2">
      <c r="A4253" s="1">
        <v>39175</v>
      </c>
      <c r="B4253">
        <f>13.46</f>
        <v>13.46</v>
      </c>
      <c r="C4253">
        <f>16.2711</f>
        <v>16.271100000000001</v>
      </c>
      <c r="D4253">
        <f>13.42</f>
        <v>13.42</v>
      </c>
      <c r="E4253" t="e">
        <f>NA()</f>
        <v>#N/A</v>
      </c>
    </row>
    <row r="4254" spans="1:5" x14ac:dyDescent="0.2">
      <c r="A4254" s="1">
        <v>39174</v>
      </c>
      <c r="B4254">
        <f>14.53</f>
        <v>14.53</v>
      </c>
      <c r="C4254">
        <f>17.7075</f>
        <v>17.7075</v>
      </c>
      <c r="D4254">
        <f>14.74</f>
        <v>14.74</v>
      </c>
      <c r="E4254" t="e">
        <f>NA()</f>
        <v>#N/A</v>
      </c>
    </row>
    <row r="4255" spans="1:5" x14ac:dyDescent="0.2">
      <c r="A4255" s="1">
        <v>39171</v>
      </c>
      <c r="B4255">
        <f>14.64</f>
        <v>14.64</v>
      </c>
      <c r="C4255">
        <f>17.5427</f>
        <v>17.5427</v>
      </c>
      <c r="D4255">
        <f>14.63</f>
        <v>14.63</v>
      </c>
      <c r="E4255" t="e">
        <f>NA()</f>
        <v>#N/A</v>
      </c>
    </row>
    <row r="4256" spans="1:5" x14ac:dyDescent="0.2">
      <c r="A4256" s="1">
        <v>39170</v>
      </c>
      <c r="B4256">
        <f>15.14</f>
        <v>15.14</v>
      </c>
      <c r="C4256">
        <f>18.3156</f>
        <v>18.3156</v>
      </c>
      <c r="D4256">
        <f>15.43</f>
        <v>15.43</v>
      </c>
      <c r="E4256" t="e">
        <f>NA()</f>
        <v>#N/A</v>
      </c>
    </row>
    <row r="4257" spans="1:5" x14ac:dyDescent="0.2">
      <c r="A4257" s="1">
        <v>39169</v>
      </c>
      <c r="B4257">
        <f>14.98</f>
        <v>14.98</v>
      </c>
      <c r="C4257">
        <f>19.7865</f>
        <v>19.7865</v>
      </c>
      <c r="D4257">
        <f>16.77</f>
        <v>16.77</v>
      </c>
      <c r="E4257" t="e">
        <f>NA()</f>
        <v>#N/A</v>
      </c>
    </row>
    <row r="4258" spans="1:5" x14ac:dyDescent="0.2">
      <c r="A4258" s="1">
        <v>39168</v>
      </c>
      <c r="B4258">
        <f>13.48</f>
        <v>13.48</v>
      </c>
      <c r="C4258">
        <f>18.7301</f>
        <v>18.7301</v>
      </c>
      <c r="D4258">
        <f>16.01</f>
        <v>16.010000000000002</v>
      </c>
      <c r="E4258" t="e">
        <f>NA()</f>
        <v>#N/A</v>
      </c>
    </row>
    <row r="4259" spans="1:5" x14ac:dyDescent="0.2">
      <c r="A4259" s="1">
        <v>39167</v>
      </c>
      <c r="B4259">
        <f>13.16</f>
        <v>13.16</v>
      </c>
      <c r="C4259">
        <f>19.0859</f>
        <v>19.085899999999999</v>
      </c>
      <c r="D4259">
        <f>16.17</f>
        <v>16.170000000000002</v>
      </c>
      <c r="E4259" t="e">
        <f>NA()</f>
        <v>#N/A</v>
      </c>
    </row>
    <row r="4260" spans="1:5" x14ac:dyDescent="0.2">
      <c r="A4260" s="1">
        <v>39164</v>
      </c>
      <c r="B4260">
        <f>12.95</f>
        <v>12.95</v>
      </c>
      <c r="C4260">
        <f>17.065</f>
        <v>17.065000000000001</v>
      </c>
      <c r="D4260">
        <f>14.53</f>
        <v>14.53</v>
      </c>
      <c r="E4260" t="e">
        <f>NA()</f>
        <v>#N/A</v>
      </c>
    </row>
    <row r="4261" spans="1:5" x14ac:dyDescent="0.2">
      <c r="A4261" s="1">
        <v>39163</v>
      </c>
      <c r="B4261">
        <f>12.93</f>
        <v>12.93</v>
      </c>
      <c r="C4261">
        <f>17.3756</f>
        <v>17.375599999999999</v>
      </c>
      <c r="D4261">
        <f>15.14</f>
        <v>15.14</v>
      </c>
      <c r="E4261" t="e">
        <f>NA()</f>
        <v>#N/A</v>
      </c>
    </row>
    <row r="4262" spans="1:5" x14ac:dyDescent="0.2">
      <c r="A4262" s="1">
        <v>39162</v>
      </c>
      <c r="B4262">
        <f>12.19</f>
        <v>12.19</v>
      </c>
      <c r="C4262">
        <f>18.7894</f>
        <v>18.789400000000001</v>
      </c>
      <c r="D4262">
        <f>15.88</f>
        <v>15.88</v>
      </c>
      <c r="E4262" t="e">
        <f>NA()</f>
        <v>#N/A</v>
      </c>
    </row>
    <row r="4263" spans="1:5" x14ac:dyDescent="0.2">
      <c r="A4263" s="1">
        <v>39161</v>
      </c>
      <c r="B4263">
        <f>13.27</f>
        <v>13.27</v>
      </c>
      <c r="C4263">
        <f>18.8199</f>
        <v>18.819900000000001</v>
      </c>
      <c r="D4263">
        <f>16.95</f>
        <v>16.95</v>
      </c>
      <c r="E4263" t="e">
        <f>NA()</f>
        <v>#N/A</v>
      </c>
    </row>
    <row r="4264" spans="1:5" x14ac:dyDescent="0.2">
      <c r="A4264" s="1">
        <v>39160</v>
      </c>
      <c r="B4264">
        <f>14.59</f>
        <v>14.59</v>
      </c>
      <c r="C4264">
        <f>19.8187</f>
        <v>19.8187</v>
      </c>
      <c r="D4264">
        <f>18.05</f>
        <v>18.05</v>
      </c>
      <c r="E4264" t="e">
        <f>NA()</f>
        <v>#N/A</v>
      </c>
    </row>
    <row r="4265" spans="1:5" x14ac:dyDescent="0.2">
      <c r="A4265" s="1">
        <v>39157</v>
      </c>
      <c r="B4265">
        <f>16.79</f>
        <v>16.79</v>
      </c>
      <c r="C4265">
        <f>21.0814</f>
        <v>21.081399999999999</v>
      </c>
      <c r="D4265">
        <f>18.85</f>
        <v>18.850000000000001</v>
      </c>
      <c r="E4265" t="e">
        <f>NA()</f>
        <v>#N/A</v>
      </c>
    </row>
    <row r="4266" spans="1:5" x14ac:dyDescent="0.2">
      <c r="A4266" s="1">
        <v>39156</v>
      </c>
      <c r="B4266">
        <f>16.43</f>
        <v>16.43</v>
      </c>
      <c r="C4266">
        <f>21.685</f>
        <v>21.684999999999999</v>
      </c>
      <c r="D4266">
        <f>18.38</f>
        <v>18.38</v>
      </c>
      <c r="E4266" t="e">
        <f>NA()</f>
        <v>#N/A</v>
      </c>
    </row>
    <row r="4267" spans="1:5" x14ac:dyDescent="0.2">
      <c r="A4267" s="1">
        <v>39155</v>
      </c>
      <c r="B4267">
        <f>17.27</f>
        <v>17.27</v>
      </c>
      <c r="C4267">
        <f>23.5255</f>
        <v>23.525500000000001</v>
      </c>
      <c r="D4267">
        <f>21.49</f>
        <v>21.49</v>
      </c>
      <c r="E4267" t="e">
        <f>NA()</f>
        <v>#N/A</v>
      </c>
    </row>
    <row r="4268" spans="1:5" x14ac:dyDescent="0.2">
      <c r="A4268" s="1">
        <v>39154</v>
      </c>
      <c r="B4268">
        <f>18.13</f>
        <v>18.13</v>
      </c>
      <c r="C4268">
        <f>20.4797</f>
        <v>20.479700000000001</v>
      </c>
      <c r="D4268">
        <f>17.1</f>
        <v>17.100000000000001</v>
      </c>
      <c r="E4268" t="e">
        <f>NA()</f>
        <v>#N/A</v>
      </c>
    </row>
    <row r="4269" spans="1:5" x14ac:dyDescent="0.2">
      <c r="A4269" s="1">
        <v>39153</v>
      </c>
      <c r="B4269">
        <f>13.99</f>
        <v>13.99</v>
      </c>
      <c r="C4269">
        <f>19.247</f>
        <v>19.247</v>
      </c>
      <c r="D4269">
        <f>15.85</f>
        <v>15.85</v>
      </c>
      <c r="E4269" t="e">
        <f>NA()</f>
        <v>#N/A</v>
      </c>
    </row>
    <row r="4270" spans="1:5" x14ac:dyDescent="0.2">
      <c r="A4270" s="1">
        <v>39150</v>
      </c>
      <c r="B4270">
        <f>14.09</f>
        <v>14.09</v>
      </c>
      <c r="C4270">
        <f>18.0655</f>
        <v>18.0655</v>
      </c>
      <c r="D4270">
        <f>15.11</f>
        <v>15.11</v>
      </c>
      <c r="E4270" t="e">
        <f>NA()</f>
        <v>#N/A</v>
      </c>
    </row>
    <row r="4271" spans="1:5" x14ac:dyDescent="0.2">
      <c r="A4271" s="1">
        <v>39149</v>
      </c>
      <c r="B4271">
        <f>14.29</f>
        <v>14.29</v>
      </c>
      <c r="C4271">
        <f>18.153</f>
        <v>18.152999999999999</v>
      </c>
      <c r="D4271">
        <f>16.03</f>
        <v>16.03</v>
      </c>
      <c r="E4271" t="e">
        <f>NA()</f>
        <v>#N/A</v>
      </c>
    </row>
    <row r="4272" spans="1:5" x14ac:dyDescent="0.2">
      <c r="A4272" s="1">
        <v>39148</v>
      </c>
      <c r="B4272">
        <f>15.24</f>
        <v>15.24</v>
      </c>
      <c r="C4272">
        <f>19.4295</f>
        <v>19.429500000000001</v>
      </c>
      <c r="D4272">
        <f>16.94</f>
        <v>16.940000000000001</v>
      </c>
      <c r="E4272" t="e">
        <f>NA()</f>
        <v>#N/A</v>
      </c>
    </row>
    <row r="4273" spans="1:5" x14ac:dyDescent="0.2">
      <c r="A4273" s="1">
        <v>39147</v>
      </c>
      <c r="B4273">
        <f>15.96</f>
        <v>15.96</v>
      </c>
      <c r="C4273">
        <f>20.3619</f>
        <v>20.361899999999999</v>
      </c>
      <c r="D4273">
        <f>18.01</f>
        <v>18.010000000000002</v>
      </c>
      <c r="E4273" t="e">
        <f>NA()</f>
        <v>#N/A</v>
      </c>
    </row>
    <row r="4274" spans="1:5" x14ac:dyDescent="0.2">
      <c r="A4274" s="1">
        <v>39146</v>
      </c>
      <c r="B4274">
        <f>19.63</f>
        <v>19.63</v>
      </c>
      <c r="C4274">
        <f>21.8043</f>
        <v>21.804300000000001</v>
      </c>
      <c r="D4274">
        <f>19.46</f>
        <v>19.46</v>
      </c>
      <c r="E4274" t="e">
        <f>NA()</f>
        <v>#N/A</v>
      </c>
    </row>
    <row r="4275" spans="1:5" x14ac:dyDescent="0.2">
      <c r="A4275" s="1">
        <v>39143</v>
      </c>
      <c r="B4275">
        <f>18.61</f>
        <v>18.61</v>
      </c>
      <c r="C4275">
        <f>20.2958</f>
        <v>20.2958</v>
      </c>
      <c r="D4275">
        <f>18.56</f>
        <v>18.559999999999999</v>
      </c>
      <c r="E4275" t="e">
        <f>NA()</f>
        <v>#N/A</v>
      </c>
    </row>
    <row r="4276" spans="1:5" x14ac:dyDescent="0.2">
      <c r="A4276" s="1">
        <v>39142</v>
      </c>
      <c r="B4276">
        <f>15.82</f>
        <v>15.82</v>
      </c>
      <c r="C4276">
        <f>20.0117</f>
        <v>20.011700000000001</v>
      </c>
      <c r="D4276">
        <f>17.96</f>
        <v>17.96</v>
      </c>
      <c r="E4276" t="e">
        <f>NA()</f>
        <v>#N/A</v>
      </c>
    </row>
    <row r="4277" spans="1:5" x14ac:dyDescent="0.2">
      <c r="A4277" s="1">
        <v>39141</v>
      </c>
      <c r="B4277">
        <f>15.42</f>
        <v>15.42</v>
      </c>
      <c r="C4277">
        <f>19.4973</f>
        <v>19.497299999999999</v>
      </c>
      <c r="D4277">
        <f>16.74</f>
        <v>16.739999999999998</v>
      </c>
      <c r="E4277" t="e">
        <f>NA()</f>
        <v>#N/A</v>
      </c>
    </row>
    <row r="4278" spans="1:5" x14ac:dyDescent="0.2">
      <c r="A4278" s="1">
        <v>39140</v>
      </c>
      <c r="B4278">
        <f>18.31</f>
        <v>18.309999999999999</v>
      </c>
      <c r="C4278">
        <f>17.7266</f>
        <v>17.726600000000001</v>
      </c>
      <c r="D4278">
        <f>14.58</f>
        <v>14.58</v>
      </c>
      <c r="E4278" t="e">
        <f>NA()</f>
        <v>#N/A</v>
      </c>
    </row>
    <row r="4279" spans="1:5" x14ac:dyDescent="0.2">
      <c r="A4279" s="1">
        <v>39139</v>
      </c>
      <c r="B4279">
        <f>11.15</f>
        <v>11.15</v>
      </c>
      <c r="C4279">
        <f>13.7887</f>
        <v>13.7887</v>
      </c>
      <c r="D4279">
        <f>11.93</f>
        <v>11.93</v>
      </c>
      <c r="E4279" t="e">
        <f>NA()</f>
        <v>#N/A</v>
      </c>
    </row>
    <row r="4280" spans="1:5" x14ac:dyDescent="0.2">
      <c r="A4280" s="1">
        <v>39136</v>
      </c>
      <c r="B4280">
        <f>10.58</f>
        <v>10.58</v>
      </c>
      <c r="C4280">
        <f>13.7426</f>
        <v>13.742599999999999</v>
      </c>
      <c r="D4280">
        <f>12.12</f>
        <v>12.12</v>
      </c>
      <c r="E4280" t="e">
        <f>NA()</f>
        <v>#N/A</v>
      </c>
    </row>
    <row r="4281" spans="1:5" x14ac:dyDescent="0.2">
      <c r="A4281" s="1">
        <v>39135</v>
      </c>
      <c r="B4281">
        <f>10.18</f>
        <v>10.18</v>
      </c>
      <c r="C4281">
        <f>13.873</f>
        <v>13.872999999999999</v>
      </c>
      <c r="D4281">
        <f>12.64</f>
        <v>12.64</v>
      </c>
      <c r="E4281" t="e">
        <f>NA()</f>
        <v>#N/A</v>
      </c>
    </row>
    <row r="4282" spans="1:5" x14ac:dyDescent="0.2">
      <c r="A4282" s="1">
        <v>39134</v>
      </c>
      <c r="B4282">
        <f>10.2</f>
        <v>10.199999999999999</v>
      </c>
      <c r="C4282">
        <f>14.1864</f>
        <v>14.186400000000001</v>
      </c>
      <c r="D4282">
        <f>12.7</f>
        <v>12.7</v>
      </c>
      <c r="E4282" t="e">
        <f>NA()</f>
        <v>#N/A</v>
      </c>
    </row>
    <row r="4283" spans="1:5" x14ac:dyDescent="0.2">
      <c r="A4283" s="1">
        <v>39133</v>
      </c>
      <c r="B4283">
        <f>10.24</f>
        <v>10.24</v>
      </c>
      <c r="C4283">
        <f>13.7441</f>
        <v>13.7441</v>
      </c>
      <c r="D4283">
        <f>12.41</f>
        <v>12.41</v>
      </c>
      <c r="E4283" t="e">
        <f>NA()</f>
        <v>#N/A</v>
      </c>
    </row>
    <row r="4284" spans="1:5" x14ac:dyDescent="0.2">
      <c r="A4284" s="1">
        <v>39132</v>
      </c>
      <c r="B4284" t="e">
        <f>NA()</f>
        <v>#N/A</v>
      </c>
      <c r="C4284">
        <f>13.4146</f>
        <v>13.4146</v>
      </c>
      <c r="D4284">
        <f>12.18</f>
        <v>12.18</v>
      </c>
      <c r="E4284" t="e">
        <f>NA()</f>
        <v>#N/A</v>
      </c>
    </row>
    <row r="4285" spans="1:5" x14ac:dyDescent="0.2">
      <c r="A4285" s="1">
        <v>39129</v>
      </c>
      <c r="B4285">
        <f>10.02</f>
        <v>10.02</v>
      </c>
      <c r="C4285">
        <f>13.451</f>
        <v>13.451000000000001</v>
      </c>
      <c r="D4285">
        <f>12.07</f>
        <v>12.07</v>
      </c>
      <c r="E4285" t="e">
        <f>NA()</f>
        <v>#N/A</v>
      </c>
    </row>
    <row r="4286" spans="1:5" x14ac:dyDescent="0.2">
      <c r="A4286" s="1">
        <v>39128</v>
      </c>
      <c r="B4286">
        <f>10.22</f>
        <v>10.220000000000001</v>
      </c>
      <c r="C4286">
        <f>13.8324</f>
        <v>13.8324</v>
      </c>
      <c r="D4286">
        <f>11.81</f>
        <v>11.81</v>
      </c>
      <c r="E4286" t="e">
        <f>NA()</f>
        <v>#N/A</v>
      </c>
    </row>
    <row r="4287" spans="1:5" x14ac:dyDescent="0.2">
      <c r="A4287" s="1">
        <v>39127</v>
      </c>
      <c r="B4287">
        <f>10.23</f>
        <v>10.23</v>
      </c>
      <c r="C4287">
        <f>13.9087</f>
        <v>13.9087</v>
      </c>
      <c r="D4287">
        <f>12.14</f>
        <v>12.14</v>
      </c>
      <c r="E4287" t="e">
        <f>NA()</f>
        <v>#N/A</v>
      </c>
    </row>
    <row r="4288" spans="1:5" x14ac:dyDescent="0.2">
      <c r="A4288" s="1">
        <v>39126</v>
      </c>
      <c r="B4288">
        <f>10.34</f>
        <v>10.34</v>
      </c>
      <c r="C4288">
        <f>14.7057</f>
        <v>14.7057</v>
      </c>
      <c r="D4288">
        <f>12.65</f>
        <v>12.65</v>
      </c>
      <c r="E4288" t="e">
        <f>NA()</f>
        <v>#N/A</v>
      </c>
    </row>
    <row r="4289" spans="1:5" x14ac:dyDescent="0.2">
      <c r="A4289" s="1">
        <v>39125</v>
      </c>
      <c r="B4289">
        <f>11.61</f>
        <v>11.61</v>
      </c>
      <c r="C4289">
        <f>15.1052</f>
        <v>15.1052</v>
      </c>
      <c r="D4289">
        <f>13.25</f>
        <v>13.25</v>
      </c>
      <c r="E4289" t="e">
        <f>NA()</f>
        <v>#N/A</v>
      </c>
    </row>
    <row r="4290" spans="1:5" x14ac:dyDescent="0.2">
      <c r="A4290" s="1">
        <v>39122</v>
      </c>
      <c r="B4290">
        <f>11.1</f>
        <v>11.1</v>
      </c>
      <c r="C4290">
        <f>13.9194</f>
        <v>13.9194</v>
      </c>
      <c r="D4290">
        <f>12.55</f>
        <v>12.55</v>
      </c>
      <c r="E4290" t="e">
        <f>NA()</f>
        <v>#N/A</v>
      </c>
    </row>
    <row r="4291" spans="1:5" x14ac:dyDescent="0.2">
      <c r="A4291" s="1">
        <v>39121</v>
      </c>
      <c r="B4291">
        <f>10.44</f>
        <v>10.44</v>
      </c>
      <c r="C4291">
        <f>14.2559</f>
        <v>14.2559</v>
      </c>
      <c r="D4291">
        <f>12.58</f>
        <v>12.58</v>
      </c>
      <c r="E4291" t="e">
        <f>NA()</f>
        <v>#N/A</v>
      </c>
    </row>
    <row r="4292" spans="1:5" x14ac:dyDescent="0.2">
      <c r="A4292" s="1">
        <v>39120</v>
      </c>
      <c r="B4292">
        <f>10.32</f>
        <v>10.32</v>
      </c>
      <c r="C4292">
        <f>13.9667</f>
        <v>13.966699999999999</v>
      </c>
      <c r="D4292">
        <f>12.52</f>
        <v>12.52</v>
      </c>
      <c r="E4292" t="e">
        <f>NA()</f>
        <v>#N/A</v>
      </c>
    </row>
    <row r="4293" spans="1:5" x14ac:dyDescent="0.2">
      <c r="A4293" s="1">
        <v>39119</v>
      </c>
      <c r="B4293">
        <f>10.65</f>
        <v>10.65</v>
      </c>
      <c r="C4293">
        <f>14.411</f>
        <v>14.411</v>
      </c>
      <c r="D4293">
        <f>12.67</f>
        <v>12.67</v>
      </c>
      <c r="E4293" t="e">
        <f>NA()</f>
        <v>#N/A</v>
      </c>
    </row>
    <row r="4294" spans="1:5" x14ac:dyDescent="0.2">
      <c r="A4294" s="1">
        <v>39118</v>
      </c>
      <c r="B4294">
        <f>10.55</f>
        <v>10.55</v>
      </c>
      <c r="C4294">
        <f>14.3621</f>
        <v>14.3621</v>
      </c>
      <c r="D4294">
        <f>12.71</f>
        <v>12.71</v>
      </c>
      <c r="E4294" t="e">
        <f>NA()</f>
        <v>#N/A</v>
      </c>
    </row>
    <row r="4295" spans="1:5" x14ac:dyDescent="0.2">
      <c r="A4295" s="1">
        <v>39115</v>
      </c>
      <c r="B4295">
        <f>10.08</f>
        <v>10.08</v>
      </c>
      <c r="C4295">
        <f>14.142</f>
        <v>14.141999999999999</v>
      </c>
      <c r="D4295">
        <f>12.94</f>
        <v>12.94</v>
      </c>
      <c r="E4295" t="e">
        <f>NA()</f>
        <v>#N/A</v>
      </c>
    </row>
    <row r="4296" spans="1:5" x14ac:dyDescent="0.2">
      <c r="A4296" s="1">
        <v>39114</v>
      </c>
      <c r="B4296">
        <f>10.31</f>
        <v>10.31</v>
      </c>
      <c r="C4296">
        <f>15.1284</f>
        <v>15.128399999999999</v>
      </c>
      <c r="D4296">
        <f>13.59</f>
        <v>13.59</v>
      </c>
      <c r="E4296" t="e">
        <f>NA()</f>
        <v>#N/A</v>
      </c>
    </row>
    <row r="4297" spans="1:5" x14ac:dyDescent="0.2">
      <c r="A4297" s="1">
        <v>39113</v>
      </c>
      <c r="B4297">
        <f>10.42</f>
        <v>10.42</v>
      </c>
      <c r="C4297">
        <f>15.9174</f>
        <v>15.917400000000001</v>
      </c>
      <c r="D4297">
        <f>14.17</f>
        <v>14.17</v>
      </c>
      <c r="E4297" t="e">
        <f>NA()</f>
        <v>#N/A</v>
      </c>
    </row>
    <row r="4298" spans="1:5" x14ac:dyDescent="0.2">
      <c r="A4298" s="1">
        <v>39112</v>
      </c>
      <c r="B4298">
        <f>10.96</f>
        <v>10.96</v>
      </c>
      <c r="C4298">
        <f>15.1698</f>
        <v>15.1698</v>
      </c>
      <c r="D4298">
        <f>13.81</f>
        <v>13.81</v>
      </c>
      <c r="E4298" t="e">
        <f>NA()</f>
        <v>#N/A</v>
      </c>
    </row>
    <row r="4299" spans="1:5" x14ac:dyDescent="0.2">
      <c r="A4299" s="1">
        <v>39111</v>
      </c>
      <c r="B4299">
        <f>11.45</f>
        <v>11.45</v>
      </c>
      <c r="C4299">
        <f>16.1201</f>
        <v>16.120100000000001</v>
      </c>
      <c r="D4299">
        <f>14.24</f>
        <v>14.24</v>
      </c>
      <c r="E4299" t="e">
        <f>NA()</f>
        <v>#N/A</v>
      </c>
    </row>
    <row r="4300" spans="1:5" x14ac:dyDescent="0.2">
      <c r="A4300" s="1">
        <v>39108</v>
      </c>
      <c r="B4300">
        <f>11.13</f>
        <v>11.13</v>
      </c>
      <c r="C4300">
        <f>15.8256</f>
        <v>15.8256</v>
      </c>
      <c r="D4300">
        <f>13.83</f>
        <v>13.83</v>
      </c>
      <c r="E4300" t="e">
        <f>NA()</f>
        <v>#N/A</v>
      </c>
    </row>
    <row r="4301" spans="1:5" x14ac:dyDescent="0.2">
      <c r="A4301" s="1">
        <v>39107</v>
      </c>
      <c r="B4301">
        <f>11.22</f>
        <v>11.22</v>
      </c>
      <c r="C4301">
        <f>15.378</f>
        <v>15.378</v>
      </c>
      <c r="D4301">
        <f>13.13</f>
        <v>13.13</v>
      </c>
      <c r="E4301" t="e">
        <f>NA()</f>
        <v>#N/A</v>
      </c>
    </row>
    <row r="4302" spans="1:5" x14ac:dyDescent="0.2">
      <c r="A4302" s="1">
        <v>39106</v>
      </c>
      <c r="B4302">
        <f>9.89</f>
        <v>9.89</v>
      </c>
      <c r="C4302">
        <f>14.8436</f>
        <v>14.8436</v>
      </c>
      <c r="D4302">
        <f>12.88</f>
        <v>12.88</v>
      </c>
      <c r="E4302" t="e">
        <f>NA()</f>
        <v>#N/A</v>
      </c>
    </row>
    <row r="4303" spans="1:5" x14ac:dyDescent="0.2">
      <c r="A4303" s="1">
        <v>39105</v>
      </c>
      <c r="B4303">
        <f>10.34</f>
        <v>10.34</v>
      </c>
      <c r="C4303">
        <f>16.0071</f>
        <v>16.007100000000001</v>
      </c>
      <c r="D4303">
        <f>13.74</f>
        <v>13.74</v>
      </c>
      <c r="E4303" t="e">
        <f>NA()</f>
        <v>#N/A</v>
      </c>
    </row>
    <row r="4304" spans="1:5" x14ac:dyDescent="0.2">
      <c r="A4304" s="1">
        <v>39104</v>
      </c>
      <c r="B4304">
        <f>10.77</f>
        <v>10.77</v>
      </c>
      <c r="C4304">
        <f>16.02</f>
        <v>16.02</v>
      </c>
      <c r="D4304">
        <f>13.75</f>
        <v>13.75</v>
      </c>
      <c r="E4304" t="e">
        <f>NA()</f>
        <v>#N/A</v>
      </c>
    </row>
    <row r="4305" spans="1:5" x14ac:dyDescent="0.2">
      <c r="A4305" s="1">
        <v>39101</v>
      </c>
      <c r="B4305">
        <f>10.4</f>
        <v>10.4</v>
      </c>
      <c r="C4305">
        <f>14.9526</f>
        <v>14.9526</v>
      </c>
      <c r="D4305">
        <f>12.96</f>
        <v>12.96</v>
      </c>
      <c r="E4305" t="e">
        <f>NA()</f>
        <v>#N/A</v>
      </c>
    </row>
    <row r="4306" spans="1:5" x14ac:dyDescent="0.2">
      <c r="A4306" s="1">
        <v>39100</v>
      </c>
      <c r="B4306">
        <f>10.85</f>
        <v>10.85</v>
      </c>
      <c r="C4306">
        <f>16.2548</f>
        <v>16.254799999999999</v>
      </c>
      <c r="D4306">
        <f>13.89</f>
        <v>13.89</v>
      </c>
      <c r="E4306" t="e">
        <f>NA()</f>
        <v>#N/A</v>
      </c>
    </row>
    <row r="4307" spans="1:5" x14ac:dyDescent="0.2">
      <c r="A4307" s="1">
        <v>39099</v>
      </c>
      <c r="B4307">
        <f>10.59</f>
        <v>10.59</v>
      </c>
      <c r="C4307">
        <f>16.0961</f>
        <v>16.0961</v>
      </c>
      <c r="D4307">
        <f>13.51</f>
        <v>13.51</v>
      </c>
      <c r="E4307" t="e">
        <f>NA()</f>
        <v>#N/A</v>
      </c>
    </row>
    <row r="4308" spans="1:5" x14ac:dyDescent="0.2">
      <c r="A4308" s="1">
        <v>39098</v>
      </c>
      <c r="B4308">
        <f>10.74</f>
        <v>10.74</v>
      </c>
      <c r="C4308">
        <f>15.7299</f>
        <v>15.729900000000001</v>
      </c>
      <c r="D4308">
        <f>13.29</f>
        <v>13.29</v>
      </c>
      <c r="E4308" t="e">
        <f>NA()</f>
        <v>#N/A</v>
      </c>
    </row>
    <row r="4309" spans="1:5" x14ac:dyDescent="0.2">
      <c r="A4309" s="1">
        <v>39097</v>
      </c>
      <c r="B4309" t="e">
        <f>NA()</f>
        <v>#N/A</v>
      </c>
      <c r="C4309">
        <f>14.7277</f>
        <v>14.7277</v>
      </c>
      <c r="D4309">
        <f>12.36</f>
        <v>12.36</v>
      </c>
      <c r="E4309" t="e">
        <f>NA()</f>
        <v>#N/A</v>
      </c>
    </row>
    <row r="4310" spans="1:5" x14ac:dyDescent="0.2">
      <c r="A4310" s="1">
        <v>39094</v>
      </c>
      <c r="B4310">
        <f>10.15</f>
        <v>10.15</v>
      </c>
      <c r="C4310">
        <f>14.5839</f>
        <v>14.5839</v>
      </c>
      <c r="D4310">
        <f>12.6</f>
        <v>12.6</v>
      </c>
      <c r="E4310" t="e">
        <f>NA()</f>
        <v>#N/A</v>
      </c>
    </row>
    <row r="4311" spans="1:5" x14ac:dyDescent="0.2">
      <c r="A4311" s="1">
        <v>39093</v>
      </c>
      <c r="B4311">
        <f>10.87</f>
        <v>10.87</v>
      </c>
      <c r="C4311">
        <f>15.0516</f>
        <v>15.051600000000001</v>
      </c>
      <c r="D4311">
        <f>13.19</f>
        <v>13.19</v>
      </c>
      <c r="E4311" t="e">
        <f>NA()</f>
        <v>#N/A</v>
      </c>
    </row>
    <row r="4312" spans="1:5" x14ac:dyDescent="0.2">
      <c r="A4312" s="1">
        <v>39092</v>
      </c>
      <c r="B4312">
        <f>11.47</f>
        <v>11.47</v>
      </c>
      <c r="C4312">
        <f>17.2546</f>
        <v>17.2546</v>
      </c>
      <c r="D4312">
        <f>15.1</f>
        <v>15.1</v>
      </c>
      <c r="E4312" t="e">
        <f>NA()</f>
        <v>#N/A</v>
      </c>
    </row>
    <row r="4313" spans="1:5" x14ac:dyDescent="0.2">
      <c r="A4313" s="1">
        <v>39091</v>
      </c>
      <c r="B4313">
        <f>11.91</f>
        <v>11.91</v>
      </c>
      <c r="C4313">
        <f>16.6287</f>
        <v>16.628699999999998</v>
      </c>
      <c r="D4313">
        <f>14.46</f>
        <v>14.46</v>
      </c>
      <c r="E4313" t="e">
        <f>NA()</f>
        <v>#N/A</v>
      </c>
    </row>
    <row r="4314" spans="1:5" x14ac:dyDescent="0.2">
      <c r="A4314" s="1">
        <v>39090</v>
      </c>
      <c r="B4314">
        <f>12</f>
        <v>12</v>
      </c>
      <c r="C4314">
        <f>16.8783</f>
        <v>16.878299999999999</v>
      </c>
      <c r="D4314">
        <f>15.17</f>
        <v>15.17</v>
      </c>
      <c r="E4314" t="e">
        <f>NA()</f>
        <v>#N/A</v>
      </c>
    </row>
    <row r="4315" spans="1:5" x14ac:dyDescent="0.2">
      <c r="A4315" s="1">
        <v>39087</v>
      </c>
      <c r="B4315">
        <f>12.14</f>
        <v>12.14</v>
      </c>
      <c r="C4315">
        <f>16.3518</f>
        <v>16.351800000000001</v>
      </c>
      <c r="D4315">
        <f>14.24</f>
        <v>14.24</v>
      </c>
      <c r="E4315" t="e">
        <f>NA()</f>
        <v>#N/A</v>
      </c>
    </row>
    <row r="4316" spans="1:5" x14ac:dyDescent="0.2">
      <c r="A4316" s="1">
        <v>39086</v>
      </c>
      <c r="B4316">
        <f>11.51</f>
        <v>11.51</v>
      </c>
      <c r="C4316">
        <f>15.063</f>
        <v>15.063000000000001</v>
      </c>
      <c r="D4316">
        <f>13.04</f>
        <v>13.04</v>
      </c>
      <c r="E4316" t="e">
        <f>NA()</f>
        <v>#N/A</v>
      </c>
    </row>
    <row r="4317" spans="1:5" x14ac:dyDescent="0.2">
      <c r="A4317" s="1">
        <v>39085</v>
      </c>
      <c r="B4317">
        <f>12.04</f>
        <v>12.04</v>
      </c>
      <c r="C4317">
        <f>14.7294</f>
        <v>14.7294</v>
      </c>
      <c r="D4317">
        <f>12.58</f>
        <v>12.58</v>
      </c>
      <c r="E4317" t="e">
        <f>NA()</f>
        <v>#N/A</v>
      </c>
    </row>
    <row r="4318" spans="1:5" x14ac:dyDescent="0.2">
      <c r="A4318" s="1">
        <v>39084</v>
      </c>
      <c r="B4318" t="e">
        <f>NA()</f>
        <v>#N/A</v>
      </c>
      <c r="C4318">
        <f>14.6795</f>
        <v>14.679500000000001</v>
      </c>
      <c r="D4318">
        <f>12.63</f>
        <v>12.63</v>
      </c>
      <c r="E4318" t="e">
        <f>NA()</f>
        <v>#N/A</v>
      </c>
    </row>
    <row r="4319" spans="1:5" x14ac:dyDescent="0.2">
      <c r="A4319" s="1">
        <v>39080</v>
      </c>
      <c r="B4319">
        <f>11.56</f>
        <v>11.56</v>
      </c>
      <c r="C4319">
        <f>14.83</f>
        <v>14.83</v>
      </c>
      <c r="D4319">
        <f>12.8</f>
        <v>12.8</v>
      </c>
      <c r="E4319" t="e">
        <f>NA()</f>
        <v>#N/A</v>
      </c>
    </row>
    <row r="4320" spans="1:5" x14ac:dyDescent="0.2">
      <c r="A4320" s="1">
        <v>39079</v>
      </c>
      <c r="B4320">
        <f>10.99</f>
        <v>10.99</v>
      </c>
      <c r="C4320">
        <f>14.1402</f>
        <v>14.1402</v>
      </c>
      <c r="D4320">
        <f>12.27</f>
        <v>12.27</v>
      </c>
      <c r="E4320" t="e">
        <f>NA()</f>
        <v>#N/A</v>
      </c>
    </row>
    <row r="4321" spans="1:5" x14ac:dyDescent="0.2">
      <c r="A4321" s="1">
        <v>39078</v>
      </c>
      <c r="B4321">
        <f>10.64</f>
        <v>10.64</v>
      </c>
      <c r="C4321">
        <f>14.2715</f>
        <v>14.2715</v>
      </c>
      <c r="D4321">
        <f>12.31</f>
        <v>12.31</v>
      </c>
      <c r="E4321" t="e">
        <f>NA()</f>
        <v>#N/A</v>
      </c>
    </row>
    <row r="4322" spans="1:5" x14ac:dyDescent="0.2">
      <c r="A4322" s="1">
        <v>39077</v>
      </c>
      <c r="B4322">
        <f>11.26</f>
        <v>11.26</v>
      </c>
      <c r="C4322" t="e">
        <f>NA()</f>
        <v>#N/A</v>
      </c>
      <c r="D4322" t="e">
        <f>NA()</f>
        <v>#N/A</v>
      </c>
      <c r="E4322" t="e">
        <f>NA()</f>
        <v>#N/A</v>
      </c>
    </row>
    <row r="4323" spans="1:5" x14ac:dyDescent="0.2">
      <c r="A4323" s="1">
        <v>39073</v>
      </c>
      <c r="B4323">
        <f>11.36</f>
        <v>11.36</v>
      </c>
      <c r="C4323">
        <f>14.4039</f>
        <v>14.4039</v>
      </c>
      <c r="D4323">
        <f>11.84</f>
        <v>11.84</v>
      </c>
      <c r="E4323" t="e">
        <f>NA()</f>
        <v>#N/A</v>
      </c>
    </row>
    <row r="4324" spans="1:5" x14ac:dyDescent="0.2">
      <c r="A4324" s="1">
        <v>39072</v>
      </c>
      <c r="B4324">
        <f>10.53</f>
        <v>10.53</v>
      </c>
      <c r="C4324">
        <f>13.0608</f>
        <v>13.0608</v>
      </c>
      <c r="D4324">
        <f>11.65</f>
        <v>11.65</v>
      </c>
      <c r="E4324" t="e">
        <f>NA()</f>
        <v>#N/A</v>
      </c>
    </row>
    <row r="4325" spans="1:5" x14ac:dyDescent="0.2">
      <c r="A4325" s="1">
        <v>39071</v>
      </c>
      <c r="B4325">
        <f>10.26</f>
        <v>10.26</v>
      </c>
      <c r="C4325">
        <f>12.9212</f>
        <v>12.921200000000001</v>
      </c>
      <c r="D4325">
        <f>11.2</f>
        <v>11.2</v>
      </c>
      <c r="E4325" t="e">
        <f>NA()</f>
        <v>#N/A</v>
      </c>
    </row>
    <row r="4326" spans="1:5" x14ac:dyDescent="0.2">
      <c r="A4326" s="1">
        <v>39070</v>
      </c>
      <c r="B4326">
        <f>10.3</f>
        <v>10.3</v>
      </c>
      <c r="C4326">
        <f>14.1774</f>
        <v>14.1774</v>
      </c>
      <c r="D4326">
        <f>11.24</f>
        <v>11.24</v>
      </c>
      <c r="E4326" t="e">
        <f>NA()</f>
        <v>#N/A</v>
      </c>
    </row>
    <row r="4327" spans="1:5" x14ac:dyDescent="0.2">
      <c r="A4327" s="1">
        <v>39069</v>
      </c>
      <c r="B4327">
        <f>10.6</f>
        <v>10.6</v>
      </c>
      <c r="C4327">
        <f>13.2655</f>
        <v>13.265499999999999</v>
      </c>
      <c r="D4327">
        <f>10.42</f>
        <v>10.42</v>
      </c>
      <c r="E4327" t="e">
        <f>NA()</f>
        <v>#N/A</v>
      </c>
    </row>
    <row r="4328" spans="1:5" x14ac:dyDescent="0.2">
      <c r="A4328" s="1">
        <v>39066</v>
      </c>
      <c r="B4328">
        <f>10.05</f>
        <v>10.050000000000001</v>
      </c>
      <c r="C4328">
        <f>12.8487</f>
        <v>12.848699999999999</v>
      </c>
      <c r="D4328">
        <f>10.52</f>
        <v>10.52</v>
      </c>
      <c r="E4328" t="e">
        <f>NA()</f>
        <v>#N/A</v>
      </c>
    </row>
    <row r="4329" spans="1:5" x14ac:dyDescent="0.2">
      <c r="A4329" s="1">
        <v>39065</v>
      </c>
      <c r="B4329">
        <f>9.97</f>
        <v>9.9700000000000006</v>
      </c>
      <c r="C4329">
        <f>13.3398</f>
        <v>13.3398</v>
      </c>
      <c r="D4329">
        <f>10.86</f>
        <v>10.86</v>
      </c>
      <c r="E4329" t="e">
        <f>NA()</f>
        <v>#N/A</v>
      </c>
    </row>
    <row r="4330" spans="1:5" x14ac:dyDescent="0.2">
      <c r="A4330" s="1">
        <v>39064</v>
      </c>
      <c r="B4330">
        <f>10.18</f>
        <v>10.18</v>
      </c>
      <c r="C4330">
        <f>14.0522</f>
        <v>14.052199999999999</v>
      </c>
      <c r="D4330">
        <f>11.32</f>
        <v>11.32</v>
      </c>
      <c r="E4330" t="e">
        <f>NA()</f>
        <v>#N/A</v>
      </c>
    </row>
    <row r="4331" spans="1:5" x14ac:dyDescent="0.2">
      <c r="A4331" s="1">
        <v>39063</v>
      </c>
      <c r="B4331">
        <f>10.65</f>
        <v>10.65</v>
      </c>
      <c r="C4331">
        <f>14.5589</f>
        <v>14.5589</v>
      </c>
      <c r="D4331">
        <f>11.24</f>
        <v>11.24</v>
      </c>
      <c r="E4331" t="e">
        <f>NA()</f>
        <v>#N/A</v>
      </c>
    </row>
    <row r="4332" spans="1:5" x14ac:dyDescent="0.2">
      <c r="A4332" s="1">
        <v>39062</v>
      </c>
      <c r="B4332">
        <f>10.71</f>
        <v>10.71</v>
      </c>
      <c r="C4332">
        <f>14.7925</f>
        <v>14.7925</v>
      </c>
      <c r="D4332">
        <f>11.16</f>
        <v>11.16</v>
      </c>
      <c r="E4332" t="e">
        <f>NA()</f>
        <v>#N/A</v>
      </c>
    </row>
    <row r="4333" spans="1:5" x14ac:dyDescent="0.2">
      <c r="A4333" s="1">
        <v>39059</v>
      </c>
      <c r="B4333">
        <f>12.07</f>
        <v>12.07</v>
      </c>
      <c r="C4333">
        <f>15.0764</f>
        <v>15.0764</v>
      </c>
      <c r="D4333">
        <f>11.52</f>
        <v>11.52</v>
      </c>
      <c r="E4333" t="e">
        <f>NA()</f>
        <v>#N/A</v>
      </c>
    </row>
    <row r="4334" spans="1:5" x14ac:dyDescent="0.2">
      <c r="A4334" s="1">
        <v>39058</v>
      </c>
      <c r="B4334">
        <f>12.67</f>
        <v>12.67</v>
      </c>
      <c r="C4334">
        <f>15.5133</f>
        <v>15.513299999999999</v>
      </c>
      <c r="D4334">
        <f>12.57</f>
        <v>12.57</v>
      </c>
      <c r="E4334" t="e">
        <f>NA()</f>
        <v>#N/A</v>
      </c>
    </row>
    <row r="4335" spans="1:5" x14ac:dyDescent="0.2">
      <c r="A4335" s="1">
        <v>39057</v>
      </c>
      <c r="B4335">
        <f>11.33</f>
        <v>11.33</v>
      </c>
      <c r="C4335">
        <f>15.8557</f>
        <v>15.855700000000001</v>
      </c>
      <c r="D4335">
        <f>13.32</f>
        <v>13.32</v>
      </c>
      <c r="E4335" t="e">
        <f>NA()</f>
        <v>#N/A</v>
      </c>
    </row>
    <row r="4336" spans="1:5" x14ac:dyDescent="0.2">
      <c r="A4336" s="1">
        <v>39056</v>
      </c>
      <c r="B4336">
        <f>11.27</f>
        <v>11.27</v>
      </c>
      <c r="C4336">
        <f>15.6308</f>
        <v>15.630800000000001</v>
      </c>
      <c r="D4336">
        <f>13.05</f>
        <v>13.05</v>
      </c>
      <c r="E4336" t="e">
        <f>NA()</f>
        <v>#N/A</v>
      </c>
    </row>
    <row r="4337" spans="1:5" x14ac:dyDescent="0.2">
      <c r="A4337" s="1">
        <v>39055</v>
      </c>
      <c r="B4337">
        <f>11.23</f>
        <v>11.23</v>
      </c>
      <c r="C4337">
        <f>17.0827</f>
        <v>17.082699999999999</v>
      </c>
      <c r="D4337">
        <f>13.79</f>
        <v>13.79</v>
      </c>
      <c r="E4337" t="e">
        <f>NA()</f>
        <v>#N/A</v>
      </c>
    </row>
    <row r="4338" spans="1:5" x14ac:dyDescent="0.2">
      <c r="A4338" s="1">
        <v>39052</v>
      </c>
      <c r="B4338">
        <f>11.66</f>
        <v>11.66</v>
      </c>
      <c r="C4338">
        <f>17.0511</f>
        <v>17.051100000000002</v>
      </c>
      <c r="D4338">
        <f>13.82</f>
        <v>13.82</v>
      </c>
      <c r="E4338" t="e">
        <f>NA()</f>
        <v>#N/A</v>
      </c>
    </row>
    <row r="4339" spans="1:5" x14ac:dyDescent="0.2">
      <c r="A4339" s="1">
        <v>39051</v>
      </c>
      <c r="B4339">
        <f>10.91</f>
        <v>10.91</v>
      </c>
      <c r="C4339">
        <f>15.5561</f>
        <v>15.556100000000001</v>
      </c>
      <c r="D4339">
        <f>13.36</f>
        <v>13.36</v>
      </c>
      <c r="E4339" t="e">
        <f>NA()</f>
        <v>#N/A</v>
      </c>
    </row>
    <row r="4340" spans="1:5" x14ac:dyDescent="0.2">
      <c r="A4340" s="1">
        <v>39050</v>
      </c>
      <c r="B4340">
        <f>10.83</f>
        <v>10.83</v>
      </c>
      <c r="C4340">
        <f>14.8246</f>
        <v>14.8246</v>
      </c>
      <c r="D4340">
        <f>12.84</f>
        <v>12.84</v>
      </c>
      <c r="E4340" t="e">
        <f>NA()</f>
        <v>#N/A</v>
      </c>
    </row>
    <row r="4341" spans="1:5" x14ac:dyDescent="0.2">
      <c r="A4341" s="1">
        <v>39049</v>
      </c>
      <c r="B4341">
        <f>11.62</f>
        <v>11.62</v>
      </c>
      <c r="C4341">
        <f>15.9572</f>
        <v>15.9572</v>
      </c>
      <c r="D4341">
        <f>13.72</f>
        <v>13.72</v>
      </c>
      <c r="E4341" t="e">
        <f>NA()</f>
        <v>#N/A</v>
      </c>
    </row>
    <row r="4342" spans="1:5" x14ac:dyDescent="0.2">
      <c r="A4342" s="1">
        <v>39048</v>
      </c>
      <c r="B4342">
        <f>12.3</f>
        <v>12.3</v>
      </c>
      <c r="C4342">
        <f>16.5885</f>
        <v>16.5885</v>
      </c>
      <c r="D4342">
        <f>13.94</f>
        <v>13.94</v>
      </c>
      <c r="E4342" t="e">
        <f>NA()</f>
        <v>#N/A</v>
      </c>
    </row>
    <row r="4343" spans="1:5" x14ac:dyDescent="0.2">
      <c r="A4343" s="1">
        <v>39045</v>
      </c>
      <c r="B4343">
        <f>10.73</f>
        <v>10.73</v>
      </c>
      <c r="C4343">
        <f>14.3144</f>
        <v>14.314399999999999</v>
      </c>
      <c r="D4343">
        <f>11.89</f>
        <v>11.89</v>
      </c>
      <c r="E4343" t="e">
        <f>NA()</f>
        <v>#N/A</v>
      </c>
    </row>
    <row r="4344" spans="1:5" x14ac:dyDescent="0.2">
      <c r="A4344" s="1">
        <v>39044</v>
      </c>
      <c r="B4344" t="e">
        <f>NA()</f>
        <v>#N/A</v>
      </c>
      <c r="C4344">
        <f>13.2078</f>
        <v>13.207800000000001</v>
      </c>
      <c r="D4344">
        <f>11.7</f>
        <v>11.7</v>
      </c>
      <c r="E4344" t="e">
        <f>NA()</f>
        <v>#N/A</v>
      </c>
    </row>
    <row r="4345" spans="1:5" x14ac:dyDescent="0.2">
      <c r="A4345" s="1">
        <v>39043</v>
      </c>
      <c r="B4345">
        <f>10.14</f>
        <v>10.14</v>
      </c>
      <c r="C4345">
        <f>12.8486</f>
        <v>12.848599999999999</v>
      </c>
      <c r="D4345">
        <f>11.47</f>
        <v>11.47</v>
      </c>
      <c r="E4345" t="e">
        <f>NA()</f>
        <v>#N/A</v>
      </c>
    </row>
    <row r="4346" spans="1:5" x14ac:dyDescent="0.2">
      <c r="A4346" s="1">
        <v>39042</v>
      </c>
      <c r="B4346">
        <f>9.9</f>
        <v>9.9</v>
      </c>
      <c r="C4346">
        <f>12.7078</f>
        <v>12.707800000000001</v>
      </c>
      <c r="D4346">
        <f>10.97</f>
        <v>10.97</v>
      </c>
      <c r="E4346" t="e">
        <f>NA()</f>
        <v>#N/A</v>
      </c>
    </row>
    <row r="4347" spans="1:5" x14ac:dyDescent="0.2">
      <c r="A4347" s="1">
        <v>39041</v>
      </c>
      <c r="B4347">
        <f>9.97</f>
        <v>9.9700000000000006</v>
      </c>
      <c r="C4347">
        <f>13.3018</f>
        <v>13.3018</v>
      </c>
      <c r="D4347">
        <f>11.43</f>
        <v>11.43</v>
      </c>
      <c r="E4347" t="e">
        <f>NA()</f>
        <v>#N/A</v>
      </c>
    </row>
    <row r="4348" spans="1:5" x14ac:dyDescent="0.2">
      <c r="A4348" s="1">
        <v>39038</v>
      </c>
      <c r="B4348">
        <f>10.05</f>
        <v>10.050000000000001</v>
      </c>
      <c r="C4348">
        <f>13.4419</f>
        <v>13.4419</v>
      </c>
      <c r="D4348">
        <f>11.82</f>
        <v>11.82</v>
      </c>
      <c r="E4348" t="e">
        <f>NA()</f>
        <v>#N/A</v>
      </c>
    </row>
    <row r="4349" spans="1:5" x14ac:dyDescent="0.2">
      <c r="A4349" s="1">
        <v>39037</v>
      </c>
      <c r="B4349">
        <f>10.16</f>
        <v>10.16</v>
      </c>
      <c r="C4349">
        <f>13.4836</f>
        <v>13.483599999999999</v>
      </c>
      <c r="D4349">
        <f>11.61</f>
        <v>11.61</v>
      </c>
      <c r="E4349" t="e">
        <f>NA()</f>
        <v>#N/A</v>
      </c>
    </row>
    <row r="4350" spans="1:5" x14ac:dyDescent="0.2">
      <c r="A4350" s="1">
        <v>39036</v>
      </c>
      <c r="B4350">
        <f>10.31</f>
        <v>10.31</v>
      </c>
      <c r="C4350">
        <f>13.7616</f>
        <v>13.7616</v>
      </c>
      <c r="D4350">
        <f>12.1</f>
        <v>12.1</v>
      </c>
      <c r="E4350" t="e">
        <f>NA()</f>
        <v>#N/A</v>
      </c>
    </row>
    <row r="4351" spans="1:5" x14ac:dyDescent="0.2">
      <c r="A4351" s="1">
        <v>39035</v>
      </c>
      <c r="B4351">
        <f>10.5</f>
        <v>10.5</v>
      </c>
      <c r="C4351">
        <f>14.3518</f>
        <v>14.351800000000001</v>
      </c>
      <c r="D4351">
        <f>12.36</f>
        <v>12.36</v>
      </c>
      <c r="E4351" t="e">
        <f>NA()</f>
        <v>#N/A</v>
      </c>
    </row>
    <row r="4352" spans="1:5" x14ac:dyDescent="0.2">
      <c r="A4352" s="1">
        <v>39034</v>
      </c>
      <c r="B4352">
        <f>10.86</f>
        <v>10.86</v>
      </c>
      <c r="C4352">
        <f>14.0769</f>
        <v>14.0769</v>
      </c>
      <c r="D4352">
        <f>11.96</f>
        <v>11.96</v>
      </c>
      <c r="E4352" t="e">
        <f>NA()</f>
        <v>#N/A</v>
      </c>
    </row>
    <row r="4353" spans="1:5" x14ac:dyDescent="0.2">
      <c r="A4353" s="1">
        <v>39031</v>
      </c>
      <c r="B4353">
        <f>10.79</f>
        <v>10.79</v>
      </c>
      <c r="C4353">
        <f>13.7988</f>
        <v>13.7988</v>
      </c>
      <c r="D4353">
        <f>11.8</f>
        <v>11.8</v>
      </c>
      <c r="E4353" t="e">
        <f>NA()</f>
        <v>#N/A</v>
      </c>
    </row>
    <row r="4354" spans="1:5" x14ac:dyDescent="0.2">
      <c r="A4354" s="1">
        <v>39030</v>
      </c>
      <c r="B4354">
        <f>11.01</f>
        <v>11.01</v>
      </c>
      <c r="C4354">
        <f>14.0318</f>
        <v>14.0318</v>
      </c>
      <c r="D4354">
        <f>11.75</f>
        <v>11.75</v>
      </c>
      <c r="E4354" t="e">
        <f>NA()</f>
        <v>#N/A</v>
      </c>
    </row>
    <row r="4355" spans="1:5" x14ac:dyDescent="0.2">
      <c r="A4355" s="1">
        <v>39029</v>
      </c>
      <c r="B4355">
        <f>10.75</f>
        <v>10.75</v>
      </c>
      <c r="C4355">
        <f>14.0015</f>
        <v>14.0015</v>
      </c>
      <c r="D4355">
        <f>11.68</f>
        <v>11.68</v>
      </c>
      <c r="E4355" t="e">
        <f>NA()</f>
        <v>#N/A</v>
      </c>
    </row>
    <row r="4356" spans="1:5" x14ac:dyDescent="0.2">
      <c r="A4356" s="1">
        <v>39028</v>
      </c>
      <c r="B4356">
        <f>11.09</f>
        <v>11.09</v>
      </c>
      <c r="C4356">
        <f>13.8875</f>
        <v>13.887499999999999</v>
      </c>
      <c r="D4356">
        <f>11.84</f>
        <v>11.84</v>
      </c>
      <c r="E4356" t="e">
        <f>NA()</f>
        <v>#N/A</v>
      </c>
    </row>
    <row r="4357" spans="1:5" x14ac:dyDescent="0.2">
      <c r="A4357" s="1">
        <v>39027</v>
      </c>
      <c r="B4357">
        <f>11.16</f>
        <v>11.16</v>
      </c>
      <c r="C4357">
        <f>13.9834</f>
        <v>13.9834</v>
      </c>
      <c r="D4357">
        <f>11.98</f>
        <v>11.98</v>
      </c>
      <c r="E4357" t="e">
        <f>NA()</f>
        <v>#N/A</v>
      </c>
    </row>
    <row r="4358" spans="1:5" x14ac:dyDescent="0.2">
      <c r="A4358" s="1">
        <v>39024</v>
      </c>
      <c r="B4358">
        <f>11.16</f>
        <v>11.16</v>
      </c>
      <c r="C4358">
        <f>14.4651</f>
        <v>14.4651</v>
      </c>
      <c r="D4358">
        <f>12.2</f>
        <v>12.2</v>
      </c>
      <c r="E4358" t="e">
        <f>NA()</f>
        <v>#N/A</v>
      </c>
    </row>
    <row r="4359" spans="1:5" x14ac:dyDescent="0.2">
      <c r="A4359" s="1">
        <v>39023</v>
      </c>
      <c r="B4359">
        <f>11.42</f>
        <v>11.42</v>
      </c>
      <c r="C4359">
        <f>14.8847</f>
        <v>14.8847</v>
      </c>
      <c r="D4359">
        <f>12.48</f>
        <v>12.48</v>
      </c>
      <c r="E4359" t="e">
        <f>NA()</f>
        <v>#N/A</v>
      </c>
    </row>
    <row r="4360" spans="1:5" x14ac:dyDescent="0.2">
      <c r="A4360" s="1">
        <v>39022</v>
      </c>
      <c r="B4360">
        <f>11.51</f>
        <v>11.51</v>
      </c>
      <c r="C4360">
        <f>13.9959</f>
        <v>13.995900000000001</v>
      </c>
      <c r="D4360">
        <f>12.28</f>
        <v>12.28</v>
      </c>
      <c r="E4360" t="e">
        <f>NA()</f>
        <v>#N/A</v>
      </c>
    </row>
    <row r="4361" spans="1:5" x14ac:dyDescent="0.2">
      <c r="A4361" s="1">
        <v>39021</v>
      </c>
      <c r="B4361">
        <f>11.1</f>
        <v>11.1</v>
      </c>
      <c r="C4361">
        <f>14.5146</f>
        <v>14.5146</v>
      </c>
      <c r="D4361">
        <f>12.45</f>
        <v>12.45</v>
      </c>
      <c r="E4361" t="e">
        <f>NA()</f>
        <v>#N/A</v>
      </c>
    </row>
    <row r="4362" spans="1:5" x14ac:dyDescent="0.2">
      <c r="A4362" s="1">
        <v>39020</v>
      </c>
      <c r="B4362">
        <f>11.2</f>
        <v>11.2</v>
      </c>
      <c r="C4362">
        <f>14.9257</f>
        <v>14.925700000000001</v>
      </c>
      <c r="D4362">
        <f>12.99</f>
        <v>12.99</v>
      </c>
      <c r="E4362" t="e">
        <f>NA()</f>
        <v>#N/A</v>
      </c>
    </row>
    <row r="4363" spans="1:5" x14ac:dyDescent="0.2">
      <c r="A4363" s="1">
        <v>39017</v>
      </c>
      <c r="B4363">
        <f>10.8</f>
        <v>10.8</v>
      </c>
      <c r="C4363">
        <f>14.2753</f>
        <v>14.2753</v>
      </c>
      <c r="D4363">
        <f>12.13</f>
        <v>12.13</v>
      </c>
      <c r="E4363" t="e">
        <f>NA()</f>
        <v>#N/A</v>
      </c>
    </row>
    <row r="4364" spans="1:5" x14ac:dyDescent="0.2">
      <c r="A4364" s="1">
        <v>39016</v>
      </c>
      <c r="B4364">
        <f>10.56</f>
        <v>10.56</v>
      </c>
      <c r="C4364">
        <f>14.2664</f>
        <v>14.266400000000001</v>
      </c>
      <c r="D4364">
        <f>12.16</f>
        <v>12.16</v>
      </c>
      <c r="E4364" t="e">
        <f>NA()</f>
        <v>#N/A</v>
      </c>
    </row>
    <row r="4365" spans="1:5" x14ac:dyDescent="0.2">
      <c r="A4365" s="1">
        <v>39015</v>
      </c>
      <c r="B4365">
        <f>10.66</f>
        <v>10.66</v>
      </c>
      <c r="C4365">
        <f>14.3105</f>
        <v>14.310499999999999</v>
      </c>
      <c r="D4365">
        <f>12.2</f>
        <v>12.2</v>
      </c>
      <c r="E4365" t="e">
        <f>NA()</f>
        <v>#N/A</v>
      </c>
    </row>
    <row r="4366" spans="1:5" x14ac:dyDescent="0.2">
      <c r="A4366" s="1">
        <v>39014</v>
      </c>
      <c r="B4366">
        <f>10.78</f>
        <v>10.78</v>
      </c>
      <c r="C4366">
        <f>14.2983</f>
        <v>14.298299999999999</v>
      </c>
      <c r="D4366">
        <f>12.5</f>
        <v>12.5</v>
      </c>
      <c r="E4366" t="e">
        <f>NA()</f>
        <v>#N/A</v>
      </c>
    </row>
    <row r="4367" spans="1:5" x14ac:dyDescent="0.2">
      <c r="A4367" s="1">
        <v>39013</v>
      </c>
      <c r="B4367">
        <f>11.08</f>
        <v>11.08</v>
      </c>
      <c r="C4367">
        <f>14.6179</f>
        <v>14.617900000000001</v>
      </c>
      <c r="D4367">
        <f>12.97</f>
        <v>12.97</v>
      </c>
      <c r="E4367" t="e">
        <f>NA()</f>
        <v>#N/A</v>
      </c>
    </row>
    <row r="4368" spans="1:5" x14ac:dyDescent="0.2">
      <c r="A4368" s="1">
        <v>39010</v>
      </c>
      <c r="B4368">
        <f>10.63</f>
        <v>10.63</v>
      </c>
      <c r="C4368">
        <f>14.7278</f>
        <v>14.7278</v>
      </c>
      <c r="D4368">
        <f>13.09</f>
        <v>13.09</v>
      </c>
      <c r="E4368" t="e">
        <f>NA()</f>
        <v>#N/A</v>
      </c>
    </row>
    <row r="4369" spans="1:5" x14ac:dyDescent="0.2">
      <c r="A4369" s="1">
        <v>39009</v>
      </c>
      <c r="B4369">
        <f>10.9</f>
        <v>10.9</v>
      </c>
      <c r="C4369">
        <f>15.4457</f>
        <v>15.4457</v>
      </c>
      <c r="D4369">
        <f>13.26</f>
        <v>13.26</v>
      </c>
      <c r="E4369" t="e">
        <f>NA()</f>
        <v>#N/A</v>
      </c>
    </row>
    <row r="4370" spans="1:5" x14ac:dyDescent="0.2">
      <c r="A4370" s="1">
        <v>39008</v>
      </c>
      <c r="B4370">
        <f>11.34</f>
        <v>11.34</v>
      </c>
      <c r="C4370">
        <f>15.6317</f>
        <v>15.6317</v>
      </c>
      <c r="D4370">
        <f>13.26</f>
        <v>13.26</v>
      </c>
      <c r="E4370" t="e">
        <f>NA()</f>
        <v>#N/A</v>
      </c>
    </row>
    <row r="4371" spans="1:5" x14ac:dyDescent="0.2">
      <c r="A4371" s="1">
        <v>39007</v>
      </c>
      <c r="B4371">
        <f>11.73</f>
        <v>11.73</v>
      </c>
      <c r="C4371">
        <f>16.4103</f>
        <v>16.410299999999999</v>
      </c>
      <c r="D4371">
        <f>14.24</f>
        <v>14.24</v>
      </c>
      <c r="E4371" t="e">
        <f>NA()</f>
        <v>#N/A</v>
      </c>
    </row>
    <row r="4372" spans="1:5" x14ac:dyDescent="0.2">
      <c r="A4372" s="1">
        <v>39006</v>
      </c>
      <c r="B4372">
        <f>11.09</f>
        <v>11.09</v>
      </c>
      <c r="C4372">
        <f>15.0645</f>
        <v>15.064500000000001</v>
      </c>
      <c r="D4372">
        <f>13.12</f>
        <v>13.12</v>
      </c>
      <c r="E4372" t="e">
        <f>NA()</f>
        <v>#N/A</v>
      </c>
    </row>
    <row r="4373" spans="1:5" x14ac:dyDescent="0.2">
      <c r="A4373" s="1">
        <v>39003</v>
      </c>
      <c r="B4373">
        <f>10.75</f>
        <v>10.75</v>
      </c>
      <c r="C4373">
        <f>14.7672</f>
        <v>14.767200000000001</v>
      </c>
      <c r="D4373">
        <f>12.56</f>
        <v>12.56</v>
      </c>
      <c r="E4373" t="e">
        <f>NA()</f>
        <v>#N/A</v>
      </c>
    </row>
    <row r="4374" spans="1:5" x14ac:dyDescent="0.2">
      <c r="A4374" s="1">
        <v>39002</v>
      </c>
      <c r="B4374">
        <f>11.09</f>
        <v>11.09</v>
      </c>
      <c r="C4374">
        <f>14.9913</f>
        <v>14.991300000000001</v>
      </c>
      <c r="D4374">
        <f>12.73</f>
        <v>12.73</v>
      </c>
      <c r="E4374" t="e">
        <f>NA()</f>
        <v>#N/A</v>
      </c>
    </row>
    <row r="4375" spans="1:5" x14ac:dyDescent="0.2">
      <c r="A4375" s="1">
        <v>39001</v>
      </c>
      <c r="B4375">
        <f>11.62</f>
        <v>11.62</v>
      </c>
      <c r="C4375">
        <f>15.4926</f>
        <v>15.492599999999999</v>
      </c>
      <c r="D4375">
        <f>13.44</f>
        <v>13.44</v>
      </c>
      <c r="E4375" t="e">
        <f>NA()</f>
        <v>#N/A</v>
      </c>
    </row>
    <row r="4376" spans="1:5" x14ac:dyDescent="0.2">
      <c r="A4376" s="1">
        <v>39000</v>
      </c>
      <c r="B4376">
        <f>11.52</f>
        <v>11.52</v>
      </c>
      <c r="C4376">
        <f>15.6974</f>
        <v>15.6974</v>
      </c>
      <c r="D4376">
        <f>13.69</f>
        <v>13.69</v>
      </c>
      <c r="E4376" t="e">
        <f>NA()</f>
        <v>#N/A</v>
      </c>
    </row>
    <row r="4377" spans="1:5" x14ac:dyDescent="0.2">
      <c r="A4377" s="1">
        <v>38999</v>
      </c>
      <c r="B4377">
        <f>11.68</f>
        <v>11.68</v>
      </c>
      <c r="C4377">
        <f>16.3807</f>
        <v>16.380700000000001</v>
      </c>
      <c r="D4377">
        <f>14.15</f>
        <v>14.15</v>
      </c>
      <c r="E4377" t="e">
        <f>NA()</f>
        <v>#N/A</v>
      </c>
    </row>
    <row r="4378" spans="1:5" x14ac:dyDescent="0.2">
      <c r="A4378" s="1">
        <v>38996</v>
      </c>
      <c r="B4378">
        <f>11.56</f>
        <v>11.56</v>
      </c>
      <c r="C4378">
        <f>15.6778</f>
        <v>15.6778</v>
      </c>
      <c r="D4378">
        <f>13.92</f>
        <v>13.92</v>
      </c>
      <c r="E4378" t="e">
        <f>NA()</f>
        <v>#N/A</v>
      </c>
    </row>
    <row r="4379" spans="1:5" x14ac:dyDescent="0.2">
      <c r="A4379" s="1">
        <v>38995</v>
      </c>
      <c r="B4379">
        <f>11.98</f>
        <v>11.98</v>
      </c>
      <c r="C4379">
        <f>15.9714</f>
        <v>15.971399999999999</v>
      </c>
      <c r="D4379">
        <f>13.94</f>
        <v>13.94</v>
      </c>
      <c r="E4379" t="e">
        <f>NA()</f>
        <v>#N/A</v>
      </c>
    </row>
    <row r="4380" spans="1:5" x14ac:dyDescent="0.2">
      <c r="A4380" s="1">
        <v>38994</v>
      </c>
      <c r="B4380">
        <f>11.86</f>
        <v>11.86</v>
      </c>
      <c r="C4380">
        <f>16.0214</f>
        <v>16.0214</v>
      </c>
      <c r="D4380">
        <f>14.26</f>
        <v>14.26</v>
      </c>
      <c r="E4380" t="e">
        <f>NA()</f>
        <v>#N/A</v>
      </c>
    </row>
    <row r="4381" spans="1:5" x14ac:dyDescent="0.2">
      <c r="A4381" s="1">
        <v>38993</v>
      </c>
      <c r="B4381">
        <f>12.24</f>
        <v>12.24</v>
      </c>
      <c r="C4381">
        <f>17.1133</f>
        <v>17.113299999999999</v>
      </c>
      <c r="D4381">
        <f>14.81</f>
        <v>14.81</v>
      </c>
      <c r="E4381" t="e">
        <f>NA()</f>
        <v>#N/A</v>
      </c>
    </row>
    <row r="4382" spans="1:5" x14ac:dyDescent="0.2">
      <c r="A4382" s="1">
        <v>38992</v>
      </c>
      <c r="B4382">
        <f>12.57</f>
        <v>12.57</v>
      </c>
      <c r="C4382">
        <f>17.0755</f>
        <v>17.075500000000002</v>
      </c>
      <c r="D4382">
        <f>14.43</f>
        <v>14.43</v>
      </c>
      <c r="E4382" t="e">
        <f>NA()</f>
        <v>#N/A</v>
      </c>
    </row>
    <row r="4383" spans="1:5" x14ac:dyDescent="0.2">
      <c r="A4383" s="1">
        <v>38989</v>
      </c>
      <c r="B4383">
        <f>11.98</f>
        <v>11.98</v>
      </c>
      <c r="C4383">
        <f>16.2455</f>
        <v>16.2455</v>
      </c>
      <c r="D4383">
        <f>14</f>
        <v>14</v>
      </c>
      <c r="E4383" t="e">
        <f>NA()</f>
        <v>#N/A</v>
      </c>
    </row>
    <row r="4384" spans="1:5" x14ac:dyDescent="0.2">
      <c r="A4384" s="1">
        <v>38988</v>
      </c>
      <c r="B4384">
        <f>11.72</f>
        <v>11.72</v>
      </c>
      <c r="C4384">
        <f>15.8951</f>
        <v>15.895099999999999</v>
      </c>
      <c r="D4384">
        <f>13.82</f>
        <v>13.82</v>
      </c>
      <c r="E4384" t="e">
        <f>NA()</f>
        <v>#N/A</v>
      </c>
    </row>
    <row r="4385" spans="1:5" x14ac:dyDescent="0.2">
      <c r="A4385" s="1">
        <v>38987</v>
      </c>
      <c r="B4385">
        <f>11.58</f>
        <v>11.58</v>
      </c>
      <c r="C4385">
        <f>15.7681</f>
        <v>15.7681</v>
      </c>
      <c r="D4385">
        <f>14.22</f>
        <v>14.22</v>
      </c>
      <c r="E4385" t="e">
        <f>NA()</f>
        <v>#N/A</v>
      </c>
    </row>
    <row r="4386" spans="1:5" x14ac:dyDescent="0.2">
      <c r="A4386" s="1">
        <v>38986</v>
      </c>
      <c r="B4386">
        <f>11.53</f>
        <v>11.53</v>
      </c>
      <c r="C4386">
        <f>15.7843</f>
        <v>15.7843</v>
      </c>
      <c r="D4386">
        <f>14.34</f>
        <v>14.34</v>
      </c>
      <c r="E4386" t="e">
        <f>NA()</f>
        <v>#N/A</v>
      </c>
    </row>
    <row r="4387" spans="1:5" x14ac:dyDescent="0.2">
      <c r="A4387" s="1">
        <v>38985</v>
      </c>
      <c r="B4387">
        <f>12.12</f>
        <v>12.12</v>
      </c>
      <c r="C4387">
        <f>16.6682</f>
        <v>16.668199999999999</v>
      </c>
      <c r="D4387">
        <f>15.2</f>
        <v>15.2</v>
      </c>
      <c r="E4387" t="e">
        <f>NA()</f>
        <v>#N/A</v>
      </c>
    </row>
    <row r="4388" spans="1:5" x14ac:dyDescent="0.2">
      <c r="A4388" s="1">
        <v>38982</v>
      </c>
      <c r="B4388">
        <f>12.59</f>
        <v>12.59</v>
      </c>
      <c r="C4388">
        <f>16.542</f>
        <v>16.542000000000002</v>
      </c>
      <c r="D4388">
        <f>15.21</f>
        <v>15.21</v>
      </c>
      <c r="E4388" t="e">
        <f>NA()</f>
        <v>#N/A</v>
      </c>
    </row>
    <row r="4389" spans="1:5" x14ac:dyDescent="0.2">
      <c r="A4389" s="1">
        <v>38981</v>
      </c>
      <c r="B4389">
        <f>12.25</f>
        <v>12.25</v>
      </c>
      <c r="C4389">
        <f>15.2623</f>
        <v>15.2623</v>
      </c>
      <c r="D4389">
        <f>13.61</f>
        <v>13.61</v>
      </c>
      <c r="E4389" t="e">
        <f>NA()</f>
        <v>#N/A</v>
      </c>
    </row>
    <row r="4390" spans="1:5" x14ac:dyDescent="0.2">
      <c r="A4390" s="1">
        <v>38980</v>
      </c>
      <c r="B4390">
        <f>11.39</f>
        <v>11.39</v>
      </c>
      <c r="C4390">
        <f>15.6285</f>
        <v>15.628500000000001</v>
      </c>
      <c r="D4390">
        <f>14.28</f>
        <v>14.28</v>
      </c>
      <c r="E4390" t="e">
        <f>NA()</f>
        <v>#N/A</v>
      </c>
    </row>
    <row r="4391" spans="1:5" x14ac:dyDescent="0.2">
      <c r="A4391" s="1">
        <v>38979</v>
      </c>
      <c r="B4391">
        <f>11.98</f>
        <v>11.98</v>
      </c>
      <c r="C4391">
        <f>16.5144</f>
        <v>16.514399999999998</v>
      </c>
      <c r="D4391">
        <f>14.42</f>
        <v>14.42</v>
      </c>
      <c r="E4391" t="e">
        <f>NA()</f>
        <v>#N/A</v>
      </c>
    </row>
    <row r="4392" spans="1:5" x14ac:dyDescent="0.2">
      <c r="A4392" s="1">
        <v>38978</v>
      </c>
      <c r="B4392">
        <f>11.78</f>
        <v>11.78</v>
      </c>
      <c r="C4392">
        <f>16.1522</f>
        <v>16.152200000000001</v>
      </c>
      <c r="D4392">
        <f>13.96</f>
        <v>13.96</v>
      </c>
      <c r="E4392" t="e">
        <f>NA()</f>
        <v>#N/A</v>
      </c>
    </row>
    <row r="4393" spans="1:5" x14ac:dyDescent="0.2">
      <c r="A4393" s="1">
        <v>38975</v>
      </c>
      <c r="B4393">
        <f>11.76</f>
        <v>11.76</v>
      </c>
      <c r="C4393">
        <f>15.8518</f>
        <v>15.851800000000001</v>
      </c>
      <c r="D4393">
        <f>14.32</f>
        <v>14.32</v>
      </c>
      <c r="E4393" t="e">
        <f>NA()</f>
        <v>#N/A</v>
      </c>
    </row>
    <row r="4394" spans="1:5" x14ac:dyDescent="0.2">
      <c r="A4394" s="1">
        <v>38974</v>
      </c>
      <c r="B4394">
        <f>11.55</f>
        <v>11.55</v>
      </c>
      <c r="C4394">
        <f>16.5403</f>
        <v>16.540299999999998</v>
      </c>
      <c r="D4394">
        <f>14.62</f>
        <v>14.62</v>
      </c>
      <c r="E4394" t="e">
        <f>NA()</f>
        <v>#N/A</v>
      </c>
    </row>
    <row r="4395" spans="1:5" x14ac:dyDescent="0.2">
      <c r="A4395" s="1">
        <v>38973</v>
      </c>
      <c r="B4395">
        <f>11.18</f>
        <v>11.18</v>
      </c>
      <c r="C4395">
        <f>16.646</f>
        <v>16.646000000000001</v>
      </c>
      <c r="D4395">
        <f>14.06</f>
        <v>14.06</v>
      </c>
      <c r="E4395" t="e">
        <f>NA()</f>
        <v>#N/A</v>
      </c>
    </row>
    <row r="4396" spans="1:5" x14ac:dyDescent="0.2">
      <c r="A4396" s="1">
        <v>38972</v>
      </c>
      <c r="B4396">
        <f>11.92</f>
        <v>11.92</v>
      </c>
      <c r="C4396">
        <f>16.6865</f>
        <v>16.686499999999999</v>
      </c>
      <c r="D4396">
        <f>14.07</f>
        <v>14.07</v>
      </c>
      <c r="E4396" t="e">
        <f>NA()</f>
        <v>#N/A</v>
      </c>
    </row>
    <row r="4397" spans="1:5" x14ac:dyDescent="0.2">
      <c r="A4397" s="1">
        <v>38971</v>
      </c>
      <c r="B4397">
        <f>12.99</f>
        <v>12.99</v>
      </c>
      <c r="C4397">
        <f>17.9936</f>
        <v>17.993600000000001</v>
      </c>
      <c r="D4397">
        <f>15.39</f>
        <v>15.39</v>
      </c>
      <c r="E4397" t="e">
        <f>NA()</f>
        <v>#N/A</v>
      </c>
    </row>
    <row r="4398" spans="1:5" x14ac:dyDescent="0.2">
      <c r="A4398" s="1">
        <v>38968</v>
      </c>
      <c r="B4398">
        <f>13.16</f>
        <v>13.16</v>
      </c>
      <c r="C4398">
        <f>17.1908</f>
        <v>17.190799999999999</v>
      </c>
      <c r="D4398">
        <f>14.83</f>
        <v>14.83</v>
      </c>
      <c r="E4398" t="e">
        <f>NA()</f>
        <v>#N/A</v>
      </c>
    </row>
    <row r="4399" spans="1:5" x14ac:dyDescent="0.2">
      <c r="A4399" s="1">
        <v>38967</v>
      </c>
      <c r="B4399">
        <f>13.88</f>
        <v>13.88</v>
      </c>
      <c r="C4399">
        <f>18.0193</f>
        <v>18.019300000000001</v>
      </c>
      <c r="D4399">
        <f>15.85</f>
        <v>15.85</v>
      </c>
      <c r="E4399" t="e">
        <f>NA()</f>
        <v>#N/A</v>
      </c>
    </row>
    <row r="4400" spans="1:5" x14ac:dyDescent="0.2">
      <c r="A4400" s="1">
        <v>38966</v>
      </c>
      <c r="B4400">
        <f>13.74</f>
        <v>13.74</v>
      </c>
      <c r="C4400">
        <f>17.5849</f>
        <v>17.584900000000001</v>
      </c>
      <c r="D4400">
        <f>14.6</f>
        <v>14.6</v>
      </c>
      <c r="E4400" t="e">
        <f>NA()</f>
        <v>#N/A</v>
      </c>
    </row>
    <row r="4401" spans="1:5" x14ac:dyDescent="0.2">
      <c r="A4401" s="1">
        <v>38965</v>
      </c>
      <c r="B4401">
        <f>12.63</f>
        <v>12.63</v>
      </c>
      <c r="C4401">
        <f>16.4321</f>
        <v>16.432099999999998</v>
      </c>
      <c r="D4401">
        <f>13.78</f>
        <v>13.78</v>
      </c>
      <c r="E4401" t="e">
        <f>NA()</f>
        <v>#N/A</v>
      </c>
    </row>
    <row r="4402" spans="1:5" x14ac:dyDescent="0.2">
      <c r="A4402" s="1">
        <v>38964</v>
      </c>
      <c r="B4402" t="e">
        <f>NA()</f>
        <v>#N/A</v>
      </c>
      <c r="C4402">
        <f>15.7982</f>
        <v>15.7982</v>
      </c>
      <c r="D4402">
        <f>13.62</f>
        <v>13.62</v>
      </c>
      <c r="E4402" t="e">
        <f>NA()</f>
        <v>#N/A</v>
      </c>
    </row>
    <row r="4403" spans="1:5" x14ac:dyDescent="0.2">
      <c r="A4403" s="1">
        <v>38961</v>
      </c>
      <c r="B4403">
        <f>11.96</f>
        <v>11.96</v>
      </c>
      <c r="C4403">
        <f>15.6894</f>
        <v>15.689399999999999</v>
      </c>
      <c r="D4403">
        <f>13.53</f>
        <v>13.53</v>
      </c>
      <c r="E4403" t="e">
        <f>NA()</f>
        <v>#N/A</v>
      </c>
    </row>
    <row r="4404" spans="1:5" x14ac:dyDescent="0.2">
      <c r="A4404" s="1">
        <v>38960</v>
      </c>
      <c r="B4404">
        <f>12.31</f>
        <v>12.31</v>
      </c>
      <c r="C4404">
        <f>16.1689</f>
        <v>16.168900000000001</v>
      </c>
      <c r="D4404">
        <f>13.73</f>
        <v>13.73</v>
      </c>
      <c r="E4404" t="e">
        <f>NA()</f>
        <v>#N/A</v>
      </c>
    </row>
    <row r="4405" spans="1:5" x14ac:dyDescent="0.2">
      <c r="A4405" s="1">
        <v>38959</v>
      </c>
      <c r="B4405">
        <f>12.22</f>
        <v>12.22</v>
      </c>
      <c r="C4405">
        <f>16.2129</f>
        <v>16.212900000000001</v>
      </c>
      <c r="D4405">
        <f>13.39</f>
        <v>13.39</v>
      </c>
      <c r="E4405" t="e">
        <f>NA()</f>
        <v>#N/A</v>
      </c>
    </row>
    <row r="4406" spans="1:5" x14ac:dyDescent="0.2">
      <c r="A4406" s="1">
        <v>38958</v>
      </c>
      <c r="B4406">
        <f>12.28</f>
        <v>12.28</v>
      </c>
      <c r="C4406">
        <f>16.6878</f>
        <v>16.687799999999999</v>
      </c>
      <c r="D4406">
        <f>13.79</f>
        <v>13.79</v>
      </c>
      <c r="E4406" t="e">
        <f>NA()</f>
        <v>#N/A</v>
      </c>
    </row>
    <row r="4407" spans="1:5" x14ac:dyDescent="0.2">
      <c r="A4407" s="1">
        <v>38957</v>
      </c>
      <c r="B4407">
        <f>12.18</f>
        <v>12.18</v>
      </c>
      <c r="C4407">
        <f>16.1099</f>
        <v>16.1099</v>
      </c>
      <c r="D4407" t="e">
        <f>NA()</f>
        <v>#N/A</v>
      </c>
      <c r="E4407" t="e">
        <f>NA()</f>
        <v>#N/A</v>
      </c>
    </row>
    <row r="4408" spans="1:5" x14ac:dyDescent="0.2">
      <c r="A4408" s="1">
        <v>38954</v>
      </c>
      <c r="B4408">
        <f>12.31</f>
        <v>12.31</v>
      </c>
      <c r="C4408">
        <f>15.9337</f>
        <v>15.9337</v>
      </c>
      <c r="D4408">
        <f>13.25</f>
        <v>13.25</v>
      </c>
      <c r="E4408" t="e">
        <f>NA()</f>
        <v>#N/A</v>
      </c>
    </row>
    <row r="4409" spans="1:5" x14ac:dyDescent="0.2">
      <c r="A4409" s="1">
        <v>38953</v>
      </c>
      <c r="B4409">
        <f>12.4</f>
        <v>12.4</v>
      </c>
      <c r="C4409">
        <f>16.2685</f>
        <v>16.2685</v>
      </c>
      <c r="D4409">
        <f>13.79</f>
        <v>13.79</v>
      </c>
      <c r="E4409" t="e">
        <f>NA()</f>
        <v>#N/A</v>
      </c>
    </row>
    <row r="4410" spans="1:5" x14ac:dyDescent="0.2">
      <c r="A4410" s="1">
        <v>38952</v>
      </c>
      <c r="B4410">
        <f>12.4</f>
        <v>12.4</v>
      </c>
      <c r="C4410">
        <f>16.9853</f>
        <v>16.985299999999999</v>
      </c>
      <c r="D4410">
        <f>14</f>
        <v>14</v>
      </c>
      <c r="E4410" t="e">
        <f>NA()</f>
        <v>#N/A</v>
      </c>
    </row>
    <row r="4411" spans="1:5" x14ac:dyDescent="0.2">
      <c r="A4411" s="1">
        <v>38951</v>
      </c>
      <c r="B4411">
        <f>12.19</f>
        <v>12.19</v>
      </c>
      <c r="C4411">
        <f>16.5631</f>
        <v>16.563099999999999</v>
      </c>
      <c r="D4411">
        <f>13.86</f>
        <v>13.86</v>
      </c>
      <c r="E4411" t="e">
        <f>NA()</f>
        <v>#N/A</v>
      </c>
    </row>
    <row r="4412" spans="1:5" x14ac:dyDescent="0.2">
      <c r="A4412" s="1">
        <v>38950</v>
      </c>
      <c r="B4412">
        <f>12.22</f>
        <v>12.22</v>
      </c>
      <c r="C4412">
        <f>17.4915</f>
        <v>17.491499999999998</v>
      </c>
      <c r="D4412">
        <f>14.28</f>
        <v>14.28</v>
      </c>
      <c r="E4412" t="e">
        <f>NA()</f>
        <v>#N/A</v>
      </c>
    </row>
    <row r="4413" spans="1:5" x14ac:dyDescent="0.2">
      <c r="A4413" s="1">
        <v>38947</v>
      </c>
      <c r="B4413">
        <f>11.64</f>
        <v>11.64</v>
      </c>
      <c r="C4413">
        <f>17.1458</f>
        <v>17.145800000000001</v>
      </c>
      <c r="D4413">
        <f>14.24</f>
        <v>14.24</v>
      </c>
      <c r="E4413" t="e">
        <f>NA()</f>
        <v>#N/A</v>
      </c>
    </row>
    <row r="4414" spans="1:5" x14ac:dyDescent="0.2">
      <c r="A4414" s="1">
        <v>38946</v>
      </c>
      <c r="B4414">
        <f>12.24</f>
        <v>12.24</v>
      </c>
      <c r="C4414">
        <f>17.5862</f>
        <v>17.586200000000002</v>
      </c>
      <c r="D4414">
        <f>14.6</f>
        <v>14.6</v>
      </c>
      <c r="E4414" t="e">
        <f>NA()</f>
        <v>#N/A</v>
      </c>
    </row>
    <row r="4415" spans="1:5" x14ac:dyDescent="0.2">
      <c r="A4415" s="1">
        <v>38945</v>
      </c>
      <c r="B4415">
        <f>12.41</f>
        <v>12.41</v>
      </c>
      <c r="C4415">
        <f>17.3557</f>
        <v>17.355699999999999</v>
      </c>
      <c r="D4415">
        <f>15.14</f>
        <v>15.14</v>
      </c>
      <c r="E4415" t="e">
        <f>NA()</f>
        <v>#N/A</v>
      </c>
    </row>
    <row r="4416" spans="1:5" x14ac:dyDescent="0.2">
      <c r="A4416" s="1">
        <v>38944</v>
      </c>
      <c r="B4416">
        <f>13.42</f>
        <v>13.42</v>
      </c>
      <c r="C4416">
        <f>17.4584</f>
        <v>17.458400000000001</v>
      </c>
      <c r="D4416">
        <f>15.3</f>
        <v>15.3</v>
      </c>
      <c r="E4416" t="e">
        <f>NA()</f>
        <v>#N/A</v>
      </c>
    </row>
    <row r="4417" spans="1:5" x14ac:dyDescent="0.2">
      <c r="A4417" s="1">
        <v>38943</v>
      </c>
      <c r="B4417">
        <f>14.26</f>
        <v>14.26</v>
      </c>
      <c r="C4417">
        <f>18.5039</f>
        <v>18.503900000000002</v>
      </c>
      <c r="D4417">
        <f>15.81</f>
        <v>15.81</v>
      </c>
      <c r="E4417" t="e">
        <f>NA()</f>
        <v>#N/A</v>
      </c>
    </row>
    <row r="4418" spans="1:5" x14ac:dyDescent="0.2">
      <c r="A4418" s="1">
        <v>38940</v>
      </c>
      <c r="B4418">
        <f>14.3</f>
        <v>14.3</v>
      </c>
      <c r="C4418">
        <f>19.1018</f>
        <v>19.101800000000001</v>
      </c>
      <c r="D4418">
        <f>16.42</f>
        <v>16.420000000000002</v>
      </c>
      <c r="E4418" t="e">
        <f>NA()</f>
        <v>#N/A</v>
      </c>
    </row>
    <row r="4419" spans="1:5" x14ac:dyDescent="0.2">
      <c r="A4419" s="1">
        <v>38939</v>
      </c>
      <c r="B4419">
        <f>14.46</f>
        <v>14.46</v>
      </c>
      <c r="C4419">
        <f>19.9403</f>
        <v>19.940300000000001</v>
      </c>
      <c r="D4419">
        <f>17.24</f>
        <v>17.239999999999998</v>
      </c>
      <c r="E4419" t="e">
        <f>NA()</f>
        <v>#N/A</v>
      </c>
    </row>
    <row r="4420" spans="1:5" x14ac:dyDescent="0.2">
      <c r="A4420" s="1">
        <v>38938</v>
      </c>
      <c r="B4420">
        <f>15.2</f>
        <v>15.2</v>
      </c>
      <c r="C4420">
        <f>18.9895</f>
        <v>18.9895</v>
      </c>
      <c r="D4420">
        <f>16.49</f>
        <v>16.489999999999998</v>
      </c>
      <c r="E4420" t="e">
        <f>NA()</f>
        <v>#N/A</v>
      </c>
    </row>
    <row r="4421" spans="1:5" x14ac:dyDescent="0.2">
      <c r="A4421" s="1">
        <v>38937</v>
      </c>
      <c r="B4421">
        <f>15.23</f>
        <v>15.23</v>
      </c>
      <c r="C4421">
        <f>20.6779</f>
        <v>20.677900000000001</v>
      </c>
      <c r="D4421">
        <f>17.85</f>
        <v>17.850000000000001</v>
      </c>
      <c r="E4421" t="e">
        <f>NA()</f>
        <v>#N/A</v>
      </c>
    </row>
    <row r="4422" spans="1:5" x14ac:dyDescent="0.2">
      <c r="A4422" s="1">
        <v>38936</v>
      </c>
      <c r="B4422">
        <f>15.23</f>
        <v>15.23</v>
      </c>
      <c r="C4422">
        <f>20.679</f>
        <v>20.678999999999998</v>
      </c>
      <c r="D4422">
        <f>17.49</f>
        <v>17.489999999999998</v>
      </c>
      <c r="E4422" t="e">
        <f>NA()</f>
        <v>#N/A</v>
      </c>
    </row>
    <row r="4423" spans="1:5" x14ac:dyDescent="0.2">
      <c r="A4423" s="1">
        <v>38933</v>
      </c>
      <c r="B4423">
        <f>14.34</f>
        <v>14.34</v>
      </c>
      <c r="C4423">
        <f>18.4072</f>
        <v>18.4072</v>
      </c>
      <c r="D4423">
        <f>16.11</f>
        <v>16.11</v>
      </c>
      <c r="E4423" t="e">
        <f>NA()</f>
        <v>#N/A</v>
      </c>
    </row>
    <row r="4424" spans="1:5" x14ac:dyDescent="0.2">
      <c r="A4424" s="1">
        <v>38932</v>
      </c>
      <c r="B4424">
        <f>14.46</f>
        <v>14.46</v>
      </c>
      <c r="C4424">
        <f>19.2039</f>
        <v>19.203900000000001</v>
      </c>
      <c r="D4424">
        <f>17.05</f>
        <v>17.05</v>
      </c>
      <c r="E4424" t="e">
        <f>NA()</f>
        <v>#N/A</v>
      </c>
    </row>
    <row r="4425" spans="1:5" x14ac:dyDescent="0.2">
      <c r="A4425" s="1">
        <v>38931</v>
      </c>
      <c r="B4425">
        <f>14.34</f>
        <v>14.34</v>
      </c>
      <c r="C4425">
        <f>18.4996</f>
        <v>18.499600000000001</v>
      </c>
      <c r="D4425">
        <f>16.17</f>
        <v>16.170000000000002</v>
      </c>
      <c r="E4425" t="e">
        <f>NA()</f>
        <v>#N/A</v>
      </c>
    </row>
    <row r="4426" spans="1:5" x14ac:dyDescent="0.2">
      <c r="A4426" s="1">
        <v>38930</v>
      </c>
      <c r="B4426">
        <f>15.05</f>
        <v>15.05</v>
      </c>
      <c r="C4426">
        <f>19.7592</f>
        <v>19.7592</v>
      </c>
      <c r="D4426">
        <f>17.19</f>
        <v>17.190000000000001</v>
      </c>
      <c r="E4426" t="e">
        <f>NA()</f>
        <v>#N/A</v>
      </c>
    </row>
    <row r="4427" spans="1:5" x14ac:dyDescent="0.2">
      <c r="A4427" s="1">
        <v>38929</v>
      </c>
      <c r="B4427">
        <f>14.95</f>
        <v>14.95</v>
      </c>
      <c r="C4427">
        <f>18.5171</f>
        <v>18.517099999999999</v>
      </c>
      <c r="D4427">
        <f>16.27</f>
        <v>16.27</v>
      </c>
      <c r="E4427" t="e">
        <f>NA()</f>
        <v>#N/A</v>
      </c>
    </row>
    <row r="4428" spans="1:5" x14ac:dyDescent="0.2">
      <c r="A4428" s="1">
        <v>38926</v>
      </c>
      <c r="B4428">
        <f>14.33</f>
        <v>14.33</v>
      </c>
      <c r="C4428">
        <f>17.3297</f>
        <v>17.329699999999999</v>
      </c>
      <c r="D4428">
        <f>15.31</f>
        <v>15.31</v>
      </c>
      <c r="E4428" t="e">
        <f>NA()</f>
        <v>#N/A</v>
      </c>
    </row>
    <row r="4429" spans="1:5" x14ac:dyDescent="0.2">
      <c r="A4429" s="1">
        <v>38925</v>
      </c>
      <c r="B4429">
        <f>14.94</f>
        <v>14.94</v>
      </c>
      <c r="C4429">
        <f>18.0301</f>
        <v>18.030100000000001</v>
      </c>
      <c r="D4429">
        <f>15.67</f>
        <v>15.67</v>
      </c>
      <c r="E4429" t="e">
        <f>NA()</f>
        <v>#N/A</v>
      </c>
    </row>
    <row r="4430" spans="1:5" x14ac:dyDescent="0.2">
      <c r="A4430" s="1">
        <v>38924</v>
      </c>
      <c r="B4430">
        <f>14.62</f>
        <v>14.62</v>
      </c>
      <c r="C4430">
        <f>18.8477</f>
        <v>18.8477</v>
      </c>
      <c r="D4430">
        <f>16.35</f>
        <v>16.350000000000001</v>
      </c>
      <c r="E4430" t="e">
        <f>NA()</f>
        <v>#N/A</v>
      </c>
    </row>
    <row r="4431" spans="1:5" x14ac:dyDescent="0.2">
      <c r="A4431" s="1">
        <v>38923</v>
      </c>
      <c r="B4431">
        <f>14.85</f>
        <v>14.85</v>
      </c>
      <c r="C4431">
        <f>19.6107</f>
        <v>19.610700000000001</v>
      </c>
      <c r="D4431">
        <f>17.07</f>
        <v>17.07</v>
      </c>
      <c r="E4431" t="e">
        <f>NA()</f>
        <v>#N/A</v>
      </c>
    </row>
    <row r="4432" spans="1:5" x14ac:dyDescent="0.2">
      <c r="A4432" s="1">
        <v>38922</v>
      </c>
      <c r="B4432">
        <f>14.98</f>
        <v>14.98</v>
      </c>
      <c r="C4432">
        <f>19.2059</f>
        <v>19.2059</v>
      </c>
      <c r="D4432">
        <f>17.24</f>
        <v>17.239999999999998</v>
      </c>
      <c r="E4432" t="e">
        <f>NA()</f>
        <v>#N/A</v>
      </c>
    </row>
    <row r="4433" spans="1:5" x14ac:dyDescent="0.2">
      <c r="A4433" s="1">
        <v>38919</v>
      </c>
      <c r="B4433">
        <f>17.4</f>
        <v>17.399999999999999</v>
      </c>
      <c r="C4433">
        <f>20.2251</f>
        <v>20.225100000000001</v>
      </c>
      <c r="D4433">
        <f>18.32</f>
        <v>18.32</v>
      </c>
      <c r="E4433" t="e">
        <f>NA()</f>
        <v>#N/A</v>
      </c>
    </row>
    <row r="4434" spans="1:5" x14ac:dyDescent="0.2">
      <c r="A4434" s="1">
        <v>38918</v>
      </c>
      <c r="B4434">
        <f>16.21</f>
        <v>16.21</v>
      </c>
      <c r="C4434">
        <f>19.7917</f>
        <v>19.791699999999999</v>
      </c>
      <c r="D4434">
        <f>17.98</f>
        <v>17.98</v>
      </c>
      <c r="E4434" t="e">
        <f>NA()</f>
        <v>#N/A</v>
      </c>
    </row>
    <row r="4435" spans="1:5" x14ac:dyDescent="0.2">
      <c r="A4435" s="1">
        <v>38917</v>
      </c>
      <c r="B4435">
        <f>15.55</f>
        <v>15.55</v>
      </c>
      <c r="C4435">
        <f>20.5026</f>
        <v>20.502600000000001</v>
      </c>
      <c r="D4435">
        <f>18.08</f>
        <v>18.079999999999998</v>
      </c>
      <c r="E4435" t="e">
        <f>NA()</f>
        <v>#N/A</v>
      </c>
    </row>
    <row r="4436" spans="1:5" x14ac:dyDescent="0.2">
      <c r="A4436" s="1">
        <v>38916</v>
      </c>
      <c r="B4436">
        <f>17.74</f>
        <v>17.739999999999998</v>
      </c>
      <c r="C4436">
        <f>22.7733</f>
        <v>22.773299999999999</v>
      </c>
      <c r="D4436">
        <f>20.39</f>
        <v>20.39</v>
      </c>
      <c r="E4436" t="e">
        <f>NA()</f>
        <v>#N/A</v>
      </c>
    </row>
    <row r="4437" spans="1:5" x14ac:dyDescent="0.2">
      <c r="A4437" s="1">
        <v>38915</v>
      </c>
      <c r="B4437">
        <f>18.64</f>
        <v>18.64</v>
      </c>
      <c r="C4437">
        <f>22.8298</f>
        <v>22.829799999999999</v>
      </c>
      <c r="D4437">
        <f>20.74</f>
        <v>20.74</v>
      </c>
      <c r="E4437" t="e">
        <f>NA()</f>
        <v>#N/A</v>
      </c>
    </row>
    <row r="4438" spans="1:5" x14ac:dyDescent="0.2">
      <c r="A4438" s="1">
        <v>38912</v>
      </c>
      <c r="B4438">
        <f>18.05</f>
        <v>18.05</v>
      </c>
      <c r="C4438">
        <f>22.2434</f>
        <v>22.243400000000001</v>
      </c>
      <c r="D4438">
        <f>20.1</f>
        <v>20.100000000000001</v>
      </c>
      <c r="E4438" t="e">
        <f>NA()</f>
        <v>#N/A</v>
      </c>
    </row>
    <row r="4439" spans="1:5" x14ac:dyDescent="0.2">
      <c r="A4439" s="1">
        <v>38911</v>
      </c>
      <c r="B4439">
        <f>17.79</f>
        <v>17.79</v>
      </c>
      <c r="C4439">
        <f>20.8361</f>
        <v>20.836099999999998</v>
      </c>
      <c r="D4439">
        <f>19.1</f>
        <v>19.100000000000001</v>
      </c>
      <c r="E4439" t="e">
        <f>NA()</f>
        <v>#N/A</v>
      </c>
    </row>
    <row r="4440" spans="1:5" x14ac:dyDescent="0.2">
      <c r="A4440" s="1">
        <v>38910</v>
      </c>
      <c r="B4440">
        <f>14.49</f>
        <v>14.49</v>
      </c>
      <c r="C4440">
        <f>19.0527</f>
        <v>19.052700000000002</v>
      </c>
      <c r="D4440">
        <f>16.97</f>
        <v>16.97</v>
      </c>
      <c r="E4440" t="e">
        <f>NA()</f>
        <v>#N/A</v>
      </c>
    </row>
    <row r="4441" spans="1:5" x14ac:dyDescent="0.2">
      <c r="A4441" s="1">
        <v>38909</v>
      </c>
      <c r="B4441">
        <f>13.14</f>
        <v>13.14</v>
      </c>
      <c r="C4441">
        <f>19.4222</f>
        <v>19.4222</v>
      </c>
      <c r="D4441">
        <f>16.87</f>
        <v>16.87</v>
      </c>
      <c r="E4441" t="e">
        <f>NA()</f>
        <v>#N/A</v>
      </c>
    </row>
    <row r="4442" spans="1:5" x14ac:dyDescent="0.2">
      <c r="A4442" s="1">
        <v>38908</v>
      </c>
      <c r="B4442">
        <f>14.02</f>
        <v>14.02</v>
      </c>
      <c r="C4442">
        <f>18.2504</f>
        <v>18.250399999999999</v>
      </c>
      <c r="D4442">
        <f>15.85</f>
        <v>15.85</v>
      </c>
      <c r="E4442" t="e">
        <f>NA()</f>
        <v>#N/A</v>
      </c>
    </row>
    <row r="4443" spans="1:5" x14ac:dyDescent="0.2">
      <c r="A4443" s="1">
        <v>38905</v>
      </c>
      <c r="B4443">
        <f>13.97</f>
        <v>13.97</v>
      </c>
      <c r="C4443">
        <f>18.5834</f>
        <v>18.583400000000001</v>
      </c>
      <c r="D4443">
        <f>16.29</f>
        <v>16.29</v>
      </c>
      <c r="E4443" t="e">
        <f>NA()</f>
        <v>#N/A</v>
      </c>
    </row>
    <row r="4444" spans="1:5" x14ac:dyDescent="0.2">
      <c r="A4444" s="1">
        <v>38904</v>
      </c>
      <c r="B4444">
        <f>13.65</f>
        <v>13.65</v>
      </c>
      <c r="C4444">
        <f>18.3061</f>
        <v>18.306100000000001</v>
      </c>
      <c r="D4444">
        <f>16.42</f>
        <v>16.420000000000002</v>
      </c>
      <c r="E4444" t="e">
        <f>NA()</f>
        <v>#N/A</v>
      </c>
    </row>
    <row r="4445" spans="1:5" x14ac:dyDescent="0.2">
      <c r="A4445" s="1">
        <v>38903</v>
      </c>
      <c r="B4445">
        <f>14.15</f>
        <v>14.15</v>
      </c>
      <c r="C4445">
        <f>19.8315</f>
        <v>19.831499999999998</v>
      </c>
      <c r="D4445">
        <f>17.4</f>
        <v>17.399999999999999</v>
      </c>
      <c r="E4445" t="e">
        <f>NA()</f>
        <v>#N/A</v>
      </c>
    </row>
    <row r="4446" spans="1:5" x14ac:dyDescent="0.2">
      <c r="A4446" s="1">
        <v>38902</v>
      </c>
      <c r="B4446" t="e">
        <f>NA()</f>
        <v>#N/A</v>
      </c>
      <c r="C4446">
        <f>17.4514</f>
        <v>17.4514</v>
      </c>
      <c r="D4446">
        <f>16.15</f>
        <v>16.149999999999999</v>
      </c>
      <c r="E4446" t="e">
        <f>NA()</f>
        <v>#N/A</v>
      </c>
    </row>
    <row r="4447" spans="1:5" x14ac:dyDescent="0.2">
      <c r="A4447" s="1">
        <v>38901</v>
      </c>
      <c r="B4447">
        <f>13.05</f>
        <v>13.05</v>
      </c>
      <c r="C4447">
        <f>17.68</f>
        <v>17.68</v>
      </c>
      <c r="D4447">
        <f>15.91</f>
        <v>15.91</v>
      </c>
      <c r="E4447" t="e">
        <f>NA()</f>
        <v>#N/A</v>
      </c>
    </row>
    <row r="4448" spans="1:5" x14ac:dyDescent="0.2">
      <c r="A4448" s="1">
        <v>38898</v>
      </c>
      <c r="B4448">
        <f>13.08</f>
        <v>13.08</v>
      </c>
      <c r="C4448">
        <f>18.3282</f>
        <v>18.328199999999999</v>
      </c>
      <c r="D4448">
        <f>16.54</f>
        <v>16.54</v>
      </c>
      <c r="E4448" t="e">
        <f>NA()</f>
        <v>#N/A</v>
      </c>
    </row>
    <row r="4449" spans="1:5" x14ac:dyDescent="0.2">
      <c r="A4449" s="1">
        <v>38897</v>
      </c>
      <c r="B4449">
        <f>13.03</f>
        <v>13.03</v>
      </c>
      <c r="C4449">
        <f>20.5377</f>
        <v>20.537700000000001</v>
      </c>
      <c r="D4449">
        <f>17.55</f>
        <v>17.55</v>
      </c>
      <c r="E4449" t="e">
        <f>NA()</f>
        <v>#N/A</v>
      </c>
    </row>
    <row r="4450" spans="1:5" x14ac:dyDescent="0.2">
      <c r="A4450" s="1">
        <v>38896</v>
      </c>
      <c r="B4450">
        <f>15.79</f>
        <v>15.79</v>
      </c>
      <c r="C4450">
        <f>21.4942</f>
        <v>21.494199999999999</v>
      </c>
      <c r="D4450">
        <f>18.79</f>
        <v>18.79</v>
      </c>
      <c r="E4450" t="e">
        <f>NA()</f>
        <v>#N/A</v>
      </c>
    </row>
    <row r="4451" spans="1:5" x14ac:dyDescent="0.2">
      <c r="A4451" s="1">
        <v>38895</v>
      </c>
      <c r="B4451">
        <f>16.4</f>
        <v>16.399999999999999</v>
      </c>
      <c r="C4451">
        <f>21.4847</f>
        <v>21.4847</v>
      </c>
      <c r="D4451">
        <f>19.13</f>
        <v>19.13</v>
      </c>
      <c r="E4451" t="e">
        <f>NA()</f>
        <v>#N/A</v>
      </c>
    </row>
    <row r="4452" spans="1:5" x14ac:dyDescent="0.2">
      <c r="A4452" s="1">
        <v>38894</v>
      </c>
      <c r="B4452">
        <f>15.62</f>
        <v>15.62</v>
      </c>
      <c r="C4452">
        <f>20.7021</f>
        <v>20.702100000000002</v>
      </c>
      <c r="D4452">
        <f>18.64</f>
        <v>18.64</v>
      </c>
      <c r="E4452" t="e">
        <f>NA()</f>
        <v>#N/A</v>
      </c>
    </row>
    <row r="4453" spans="1:5" x14ac:dyDescent="0.2">
      <c r="A4453" s="1">
        <v>38891</v>
      </c>
      <c r="B4453">
        <f>15.89</f>
        <v>15.89</v>
      </c>
      <c r="C4453">
        <f>20.0873</f>
        <v>20.087299999999999</v>
      </c>
      <c r="D4453">
        <f>18.32</f>
        <v>18.32</v>
      </c>
      <c r="E4453" t="e">
        <f>NA()</f>
        <v>#N/A</v>
      </c>
    </row>
    <row r="4454" spans="1:5" x14ac:dyDescent="0.2">
      <c r="A4454" s="1">
        <v>38890</v>
      </c>
      <c r="B4454">
        <f>15.88</f>
        <v>15.88</v>
      </c>
      <c r="C4454">
        <f>20.3521</f>
        <v>20.3521</v>
      </c>
      <c r="D4454">
        <f>19.19</f>
        <v>19.190000000000001</v>
      </c>
      <c r="E4454" t="e">
        <f>NA()</f>
        <v>#N/A</v>
      </c>
    </row>
    <row r="4455" spans="1:5" x14ac:dyDescent="0.2">
      <c r="A4455" s="1">
        <v>38889</v>
      </c>
      <c r="B4455">
        <f>15.52</f>
        <v>15.52</v>
      </c>
      <c r="C4455">
        <f>20.936</f>
        <v>20.936</v>
      </c>
      <c r="D4455">
        <f>19.56</f>
        <v>19.559999999999999</v>
      </c>
      <c r="E4455" t="e">
        <f>NA()</f>
        <v>#N/A</v>
      </c>
    </row>
    <row r="4456" spans="1:5" x14ac:dyDescent="0.2">
      <c r="A4456" s="1">
        <v>38888</v>
      </c>
      <c r="B4456">
        <f>16.69</f>
        <v>16.690000000000001</v>
      </c>
      <c r="C4456">
        <f>21.7896</f>
        <v>21.7896</v>
      </c>
      <c r="D4456">
        <f>20.11</f>
        <v>20.11</v>
      </c>
      <c r="E4456" t="e">
        <f>NA()</f>
        <v>#N/A</v>
      </c>
    </row>
    <row r="4457" spans="1:5" x14ac:dyDescent="0.2">
      <c r="A4457" s="1">
        <v>38887</v>
      </c>
      <c r="B4457">
        <f>17.83</f>
        <v>17.829999999999998</v>
      </c>
      <c r="C4457">
        <f>22.7968</f>
        <v>22.796800000000001</v>
      </c>
      <c r="D4457">
        <f>21.3</f>
        <v>21.3</v>
      </c>
      <c r="E4457" t="e">
        <f>NA()</f>
        <v>#N/A</v>
      </c>
    </row>
    <row r="4458" spans="1:5" x14ac:dyDescent="0.2">
      <c r="A4458" s="1">
        <v>38884</v>
      </c>
      <c r="B4458">
        <f>17.25</f>
        <v>17.25</v>
      </c>
      <c r="C4458">
        <f>23.9522</f>
        <v>23.952200000000001</v>
      </c>
      <c r="D4458">
        <f>22.48</f>
        <v>22.48</v>
      </c>
      <c r="E4458" t="e">
        <f>NA()</f>
        <v>#N/A</v>
      </c>
    </row>
    <row r="4459" spans="1:5" x14ac:dyDescent="0.2">
      <c r="A4459" s="1">
        <v>38883</v>
      </c>
      <c r="B4459">
        <f>15.9</f>
        <v>15.9</v>
      </c>
      <c r="C4459">
        <f>24.1402</f>
        <v>24.1402</v>
      </c>
      <c r="D4459">
        <f>22.02</f>
        <v>22.02</v>
      </c>
      <c r="E4459" t="e">
        <f>NA()</f>
        <v>#N/A</v>
      </c>
    </row>
    <row r="4460" spans="1:5" x14ac:dyDescent="0.2">
      <c r="A4460" s="1">
        <v>38882</v>
      </c>
      <c r="B4460">
        <f>21.46</f>
        <v>21.46</v>
      </c>
      <c r="C4460">
        <f>26.6852</f>
        <v>26.685199999999998</v>
      </c>
      <c r="D4460">
        <f>24.64</f>
        <v>24.64</v>
      </c>
      <c r="E4460" t="e">
        <f>NA()</f>
        <v>#N/A</v>
      </c>
    </row>
    <row r="4461" spans="1:5" x14ac:dyDescent="0.2">
      <c r="A4461" s="1">
        <v>38881</v>
      </c>
      <c r="B4461">
        <f>23.81</f>
        <v>23.81</v>
      </c>
      <c r="C4461">
        <f>26.6163</f>
        <v>26.616299999999999</v>
      </c>
      <c r="D4461">
        <f>25.02</f>
        <v>25.02</v>
      </c>
      <c r="E4461" t="e">
        <f>NA()</f>
        <v>#N/A</v>
      </c>
    </row>
    <row r="4462" spans="1:5" x14ac:dyDescent="0.2">
      <c r="A4462" s="1">
        <v>38880</v>
      </c>
      <c r="B4462">
        <f>20.96</f>
        <v>20.96</v>
      </c>
      <c r="C4462">
        <f>24.3492</f>
        <v>24.3492</v>
      </c>
      <c r="D4462">
        <f>22.64</f>
        <v>22.64</v>
      </c>
      <c r="E4462" t="e">
        <f>NA()</f>
        <v>#N/A</v>
      </c>
    </row>
    <row r="4463" spans="1:5" x14ac:dyDescent="0.2">
      <c r="A4463" s="1">
        <v>38877</v>
      </c>
      <c r="B4463">
        <f>18.12</f>
        <v>18.12</v>
      </c>
      <c r="C4463">
        <f>22.8714</f>
        <v>22.871400000000001</v>
      </c>
      <c r="D4463">
        <f>21.98</f>
        <v>21.98</v>
      </c>
      <c r="E4463" t="e">
        <f>NA()</f>
        <v>#N/A</v>
      </c>
    </row>
    <row r="4464" spans="1:5" x14ac:dyDescent="0.2">
      <c r="A4464" s="1">
        <v>38876</v>
      </c>
      <c r="B4464">
        <f>18.35</f>
        <v>18.350000000000001</v>
      </c>
      <c r="C4464">
        <f>24.8105</f>
        <v>24.810500000000001</v>
      </c>
      <c r="D4464">
        <f>24.38</f>
        <v>24.38</v>
      </c>
      <c r="E4464" t="e">
        <f>NA()</f>
        <v>#N/A</v>
      </c>
    </row>
    <row r="4465" spans="1:5" x14ac:dyDescent="0.2">
      <c r="A4465" s="1">
        <v>38875</v>
      </c>
      <c r="B4465">
        <f>17.8</f>
        <v>17.8</v>
      </c>
      <c r="C4465">
        <f>22.6092</f>
        <v>22.609200000000001</v>
      </c>
      <c r="D4465">
        <f>20.8</f>
        <v>20.8</v>
      </c>
      <c r="E4465" t="e">
        <f>NA()</f>
        <v>#N/A</v>
      </c>
    </row>
    <row r="4466" spans="1:5" x14ac:dyDescent="0.2">
      <c r="A4466" s="1">
        <v>38874</v>
      </c>
      <c r="B4466">
        <f>17.34</f>
        <v>17.34</v>
      </c>
      <c r="C4466">
        <f>23.7789</f>
        <v>23.7789</v>
      </c>
      <c r="D4466">
        <f>21.96</f>
        <v>21.96</v>
      </c>
      <c r="E4466" t="e">
        <f>NA()</f>
        <v>#N/A</v>
      </c>
    </row>
    <row r="4467" spans="1:5" x14ac:dyDescent="0.2">
      <c r="A4467" s="1">
        <v>38873</v>
      </c>
      <c r="B4467">
        <f>16.65</f>
        <v>16.649999999999999</v>
      </c>
      <c r="C4467">
        <f>21.7745</f>
        <v>21.7745</v>
      </c>
      <c r="D4467">
        <f>20.02</f>
        <v>20.02</v>
      </c>
      <c r="E4467" t="e">
        <f>NA()</f>
        <v>#N/A</v>
      </c>
    </row>
    <row r="4468" spans="1:5" x14ac:dyDescent="0.2">
      <c r="A4468" s="1">
        <v>38870</v>
      </c>
      <c r="B4468">
        <f>14.32</f>
        <v>14.32</v>
      </c>
      <c r="C4468">
        <f>20.7394</f>
        <v>20.7394</v>
      </c>
      <c r="D4468">
        <f>19.28</f>
        <v>19.28</v>
      </c>
      <c r="E4468" t="e">
        <f>NA()</f>
        <v>#N/A</v>
      </c>
    </row>
    <row r="4469" spans="1:5" x14ac:dyDescent="0.2">
      <c r="A4469" s="1">
        <v>38869</v>
      </c>
      <c r="B4469">
        <f>14.52</f>
        <v>14.52</v>
      </c>
      <c r="C4469">
        <f>21.5323</f>
        <v>21.532299999999999</v>
      </c>
      <c r="D4469">
        <f>20.16</f>
        <v>20.16</v>
      </c>
      <c r="E4469" t="e">
        <f>NA()</f>
        <v>#N/A</v>
      </c>
    </row>
    <row r="4470" spans="1:5" x14ac:dyDescent="0.2">
      <c r="A4470" s="1">
        <v>38868</v>
      </c>
      <c r="B4470">
        <f>16.44</f>
        <v>16.440000000000001</v>
      </c>
      <c r="C4470">
        <f>23.0529</f>
        <v>23.052900000000001</v>
      </c>
      <c r="D4470">
        <f>21.02</f>
        <v>21.02</v>
      </c>
      <c r="E4470" t="e">
        <f>NA()</f>
        <v>#N/A</v>
      </c>
    </row>
    <row r="4471" spans="1:5" x14ac:dyDescent="0.2">
      <c r="A4471" s="1">
        <v>38867</v>
      </c>
      <c r="B4471">
        <f>18.66</f>
        <v>18.66</v>
      </c>
      <c r="C4471">
        <f>24.0765</f>
        <v>24.076499999999999</v>
      </c>
      <c r="D4471">
        <f>22.52</f>
        <v>22.52</v>
      </c>
      <c r="E4471" t="e">
        <f>NA()</f>
        <v>#N/A</v>
      </c>
    </row>
    <row r="4472" spans="1:5" x14ac:dyDescent="0.2">
      <c r="A4472" s="1">
        <v>38866</v>
      </c>
      <c r="B4472" t="e">
        <f>NA()</f>
        <v>#N/A</v>
      </c>
      <c r="C4472">
        <f>20.9911</f>
        <v>20.991099999999999</v>
      </c>
      <c r="D4472" t="e">
        <f>NA()</f>
        <v>#N/A</v>
      </c>
      <c r="E4472" t="e">
        <f>NA()</f>
        <v>#N/A</v>
      </c>
    </row>
    <row r="4473" spans="1:5" x14ac:dyDescent="0.2">
      <c r="A4473" s="1">
        <v>38863</v>
      </c>
      <c r="B4473">
        <f>14.26</f>
        <v>14.26</v>
      </c>
      <c r="C4473">
        <f>20.3767</f>
        <v>20.3767</v>
      </c>
      <c r="D4473">
        <f>19.36</f>
        <v>19.36</v>
      </c>
      <c r="E4473" t="e">
        <f>NA()</f>
        <v>#N/A</v>
      </c>
    </row>
    <row r="4474" spans="1:5" x14ac:dyDescent="0.2">
      <c r="A4474" s="1">
        <v>38862</v>
      </c>
      <c r="B4474">
        <f>15.5</f>
        <v>15.5</v>
      </c>
      <c r="C4474">
        <f>21.9235</f>
        <v>21.923500000000001</v>
      </c>
      <c r="D4474">
        <f>20.2</f>
        <v>20.2</v>
      </c>
      <c r="E4474" t="e">
        <f>NA()</f>
        <v>#N/A</v>
      </c>
    </row>
    <row r="4475" spans="1:5" x14ac:dyDescent="0.2">
      <c r="A4475" s="1">
        <v>38861</v>
      </c>
      <c r="B4475">
        <f>17.36</f>
        <v>17.36</v>
      </c>
      <c r="C4475">
        <f>24.3648</f>
        <v>24.364799999999999</v>
      </c>
      <c r="D4475">
        <f>22.54</f>
        <v>22.54</v>
      </c>
      <c r="E4475" t="e">
        <f>NA()</f>
        <v>#N/A</v>
      </c>
    </row>
    <row r="4476" spans="1:5" x14ac:dyDescent="0.2">
      <c r="A4476" s="1">
        <v>38860</v>
      </c>
      <c r="B4476">
        <f>18.26</f>
        <v>18.260000000000002</v>
      </c>
      <c r="C4476">
        <f>22.3335</f>
        <v>22.333500000000001</v>
      </c>
      <c r="D4476">
        <f>19.74</f>
        <v>19.739999999999998</v>
      </c>
      <c r="E4476" t="e">
        <f>NA()</f>
        <v>#N/A</v>
      </c>
    </row>
    <row r="4477" spans="1:5" x14ac:dyDescent="0.2">
      <c r="A4477" s="1">
        <v>38859</v>
      </c>
      <c r="B4477">
        <f>17.72</f>
        <v>17.72</v>
      </c>
      <c r="C4477">
        <f>24.6675</f>
        <v>24.6675</v>
      </c>
      <c r="D4477">
        <f>22.07</f>
        <v>22.07</v>
      </c>
      <c r="E4477" t="e">
        <f>NA()</f>
        <v>#N/A</v>
      </c>
    </row>
    <row r="4478" spans="1:5" x14ac:dyDescent="0.2">
      <c r="A4478" s="1">
        <v>38856</v>
      </c>
      <c r="B4478">
        <f>17.18</f>
        <v>17.18</v>
      </c>
      <c r="C4478">
        <f>20.6506</f>
        <v>20.650600000000001</v>
      </c>
      <c r="D4478">
        <f>18.06</f>
        <v>18.059999999999999</v>
      </c>
      <c r="E4478" t="e">
        <f>NA()</f>
        <v>#N/A</v>
      </c>
    </row>
    <row r="4479" spans="1:5" x14ac:dyDescent="0.2">
      <c r="A4479" s="1">
        <v>38855</v>
      </c>
      <c r="B4479">
        <f>16.99</f>
        <v>16.989999999999998</v>
      </c>
      <c r="C4479">
        <f>21.4678</f>
        <v>21.4678</v>
      </c>
      <c r="D4479">
        <f>18.37</f>
        <v>18.37</v>
      </c>
      <c r="E4479" t="e">
        <f>NA()</f>
        <v>#N/A</v>
      </c>
    </row>
    <row r="4480" spans="1:5" x14ac:dyDescent="0.2">
      <c r="A4480" s="1">
        <v>38854</v>
      </c>
      <c r="B4480">
        <f>16.26</f>
        <v>16.260000000000002</v>
      </c>
      <c r="C4480">
        <f>18.6215</f>
        <v>18.621500000000001</v>
      </c>
      <c r="D4480">
        <f>18.1</f>
        <v>18.100000000000001</v>
      </c>
      <c r="E4480" t="e">
        <f>NA()</f>
        <v>#N/A</v>
      </c>
    </row>
    <row r="4481" spans="1:5" x14ac:dyDescent="0.2">
      <c r="A4481" s="1">
        <v>38853</v>
      </c>
      <c r="B4481">
        <f>13.35</f>
        <v>13.35</v>
      </c>
      <c r="C4481">
        <f>17.2415</f>
        <v>17.241499999999998</v>
      </c>
      <c r="D4481">
        <f>15.62</f>
        <v>15.62</v>
      </c>
      <c r="E4481" t="e">
        <f>NA()</f>
        <v>#N/A</v>
      </c>
    </row>
    <row r="4482" spans="1:5" x14ac:dyDescent="0.2">
      <c r="A4482" s="1">
        <v>38852</v>
      </c>
      <c r="B4482">
        <f>13.57</f>
        <v>13.57</v>
      </c>
      <c r="C4482">
        <f>18.0434</f>
        <v>18.043399999999998</v>
      </c>
      <c r="D4482">
        <f>16.22</f>
        <v>16.22</v>
      </c>
      <c r="E4482" t="e">
        <f>NA()</f>
        <v>#N/A</v>
      </c>
    </row>
    <row r="4483" spans="1:5" x14ac:dyDescent="0.2">
      <c r="A4483" s="1">
        <v>38849</v>
      </c>
      <c r="B4483">
        <f>14.19</f>
        <v>14.19</v>
      </c>
      <c r="C4483">
        <f>16.4524</f>
        <v>16.452400000000001</v>
      </c>
      <c r="D4483">
        <f>14.13</f>
        <v>14.13</v>
      </c>
      <c r="E4483" t="e">
        <f>NA()</f>
        <v>#N/A</v>
      </c>
    </row>
    <row r="4484" spans="1:5" x14ac:dyDescent="0.2">
      <c r="A4484" s="1">
        <v>38848</v>
      </c>
      <c r="B4484">
        <f>12.49</f>
        <v>12.49</v>
      </c>
      <c r="C4484">
        <f>15.1787</f>
        <v>15.178699999999999</v>
      </c>
      <c r="D4484">
        <f>12.65</f>
        <v>12.65</v>
      </c>
      <c r="E4484" t="e">
        <f>NA()</f>
        <v>#N/A</v>
      </c>
    </row>
    <row r="4485" spans="1:5" x14ac:dyDescent="0.2">
      <c r="A4485" s="1">
        <v>38847</v>
      </c>
      <c r="B4485">
        <f>11.78</f>
        <v>11.78</v>
      </c>
      <c r="C4485">
        <f>14.7</f>
        <v>14.7</v>
      </c>
      <c r="D4485">
        <f>12.14</f>
        <v>12.14</v>
      </c>
      <c r="E4485" t="e">
        <f>NA()</f>
        <v>#N/A</v>
      </c>
    </row>
    <row r="4486" spans="1:5" x14ac:dyDescent="0.2">
      <c r="A4486" s="1">
        <v>38846</v>
      </c>
      <c r="B4486">
        <f>11.99</f>
        <v>11.99</v>
      </c>
      <c r="C4486">
        <f>14.2821</f>
        <v>14.2821</v>
      </c>
      <c r="D4486">
        <f>12.25</f>
        <v>12.25</v>
      </c>
      <c r="E4486" t="e">
        <f>NA()</f>
        <v>#N/A</v>
      </c>
    </row>
    <row r="4487" spans="1:5" x14ac:dyDescent="0.2">
      <c r="A4487" s="1">
        <v>38845</v>
      </c>
      <c r="B4487">
        <f>12</f>
        <v>12</v>
      </c>
      <c r="C4487">
        <f>14.53</f>
        <v>14.53</v>
      </c>
      <c r="D4487">
        <f>12.92</f>
        <v>12.92</v>
      </c>
      <c r="E4487" t="e">
        <f>NA()</f>
        <v>#N/A</v>
      </c>
    </row>
    <row r="4488" spans="1:5" x14ac:dyDescent="0.2">
      <c r="A4488" s="1">
        <v>38842</v>
      </c>
      <c r="B4488">
        <f>11.62</f>
        <v>11.62</v>
      </c>
      <c r="C4488">
        <f>14.0024</f>
        <v>14.0024</v>
      </c>
      <c r="D4488">
        <f>12.02</f>
        <v>12.02</v>
      </c>
      <c r="E4488" t="e">
        <f>NA()</f>
        <v>#N/A</v>
      </c>
    </row>
    <row r="4489" spans="1:5" x14ac:dyDescent="0.2">
      <c r="A4489" s="1">
        <v>38841</v>
      </c>
      <c r="B4489">
        <f>11.86</f>
        <v>11.86</v>
      </c>
      <c r="C4489">
        <f>14.8677</f>
        <v>14.867699999999999</v>
      </c>
      <c r="D4489">
        <f>12.62</f>
        <v>12.62</v>
      </c>
      <c r="E4489" t="e">
        <f>NA()</f>
        <v>#N/A</v>
      </c>
    </row>
    <row r="4490" spans="1:5" x14ac:dyDescent="0.2">
      <c r="A4490" s="1">
        <v>38840</v>
      </c>
      <c r="B4490">
        <f>11.99</f>
        <v>11.99</v>
      </c>
      <c r="C4490">
        <f>15.8879</f>
        <v>15.8879</v>
      </c>
      <c r="D4490">
        <f>13</f>
        <v>13</v>
      </c>
      <c r="E4490" t="e">
        <f>NA()</f>
        <v>#N/A</v>
      </c>
    </row>
    <row r="4491" spans="1:5" x14ac:dyDescent="0.2">
      <c r="A4491" s="1">
        <v>38839</v>
      </c>
      <c r="B4491">
        <f>11.99</f>
        <v>11.99</v>
      </c>
      <c r="C4491">
        <f>15.0612</f>
        <v>15.061199999999999</v>
      </c>
      <c r="D4491">
        <f>12.32</f>
        <v>12.32</v>
      </c>
      <c r="E4491" t="e">
        <f>NA()</f>
        <v>#N/A</v>
      </c>
    </row>
    <row r="4492" spans="1:5" x14ac:dyDescent="0.2">
      <c r="A4492" s="1">
        <v>38838</v>
      </c>
      <c r="B4492">
        <f>12.54</f>
        <v>12.54</v>
      </c>
      <c r="C4492" t="e">
        <f>NA()</f>
        <v>#N/A</v>
      </c>
      <c r="D4492" t="e">
        <f>NA()</f>
        <v>#N/A</v>
      </c>
      <c r="E4492" t="e">
        <f>NA()</f>
        <v>#N/A</v>
      </c>
    </row>
    <row r="4493" spans="1:5" x14ac:dyDescent="0.2">
      <c r="A4493" s="1">
        <v>38835</v>
      </c>
      <c r="B4493">
        <f>11.59</f>
        <v>11.59</v>
      </c>
      <c r="C4493">
        <f>14.7089</f>
        <v>14.7089</v>
      </c>
      <c r="D4493">
        <f>12.08</f>
        <v>12.08</v>
      </c>
      <c r="E4493" t="e">
        <f>NA()</f>
        <v>#N/A</v>
      </c>
    </row>
    <row r="4494" spans="1:5" x14ac:dyDescent="0.2">
      <c r="A4494" s="1">
        <v>38834</v>
      </c>
      <c r="B4494">
        <f>11.84</f>
        <v>11.84</v>
      </c>
      <c r="C4494">
        <f>14.7209</f>
        <v>14.7209</v>
      </c>
      <c r="D4494">
        <f>12.46</f>
        <v>12.46</v>
      </c>
      <c r="E4494" t="e">
        <f>NA()</f>
        <v>#N/A</v>
      </c>
    </row>
    <row r="4495" spans="1:5" x14ac:dyDescent="0.2">
      <c r="A4495" s="1">
        <v>38833</v>
      </c>
      <c r="B4495">
        <f>11.76</f>
        <v>11.76</v>
      </c>
      <c r="C4495">
        <f>14.4282</f>
        <v>14.4282</v>
      </c>
      <c r="D4495">
        <f>11.72</f>
        <v>11.72</v>
      </c>
      <c r="E4495" t="e">
        <f>NA()</f>
        <v>#N/A</v>
      </c>
    </row>
    <row r="4496" spans="1:5" x14ac:dyDescent="0.2">
      <c r="A4496" s="1">
        <v>38832</v>
      </c>
      <c r="B4496">
        <f>11.75</f>
        <v>11.75</v>
      </c>
      <c r="C4496">
        <f>14.8972</f>
        <v>14.8972</v>
      </c>
      <c r="D4496">
        <f>11.96</f>
        <v>11.96</v>
      </c>
      <c r="E4496" t="e">
        <f>NA()</f>
        <v>#N/A</v>
      </c>
    </row>
    <row r="4497" spans="1:5" x14ac:dyDescent="0.2">
      <c r="A4497" s="1">
        <v>38831</v>
      </c>
      <c r="B4497">
        <f>11.75</f>
        <v>11.75</v>
      </c>
      <c r="C4497">
        <f>15.2911</f>
        <v>15.2911</v>
      </c>
      <c r="D4497">
        <f>12.23</f>
        <v>12.23</v>
      </c>
      <c r="E4497" t="e">
        <f>NA()</f>
        <v>#N/A</v>
      </c>
    </row>
    <row r="4498" spans="1:5" x14ac:dyDescent="0.2">
      <c r="A4498" s="1">
        <v>38828</v>
      </c>
      <c r="B4498">
        <f>11.59</f>
        <v>11.59</v>
      </c>
      <c r="C4498">
        <f>14.4811</f>
        <v>14.4811</v>
      </c>
      <c r="D4498">
        <f>11.48</f>
        <v>11.48</v>
      </c>
      <c r="E4498" t="e">
        <f>NA()</f>
        <v>#N/A</v>
      </c>
    </row>
    <row r="4499" spans="1:5" x14ac:dyDescent="0.2">
      <c r="A4499" s="1">
        <v>38827</v>
      </c>
      <c r="B4499">
        <f>11.64</f>
        <v>11.64</v>
      </c>
      <c r="C4499">
        <f>14.7966</f>
        <v>14.7966</v>
      </c>
      <c r="D4499">
        <f>12.09</f>
        <v>12.09</v>
      </c>
      <c r="E4499" t="e">
        <f>NA()</f>
        <v>#N/A</v>
      </c>
    </row>
    <row r="4500" spans="1:5" x14ac:dyDescent="0.2">
      <c r="A4500" s="1">
        <v>38826</v>
      </c>
      <c r="B4500">
        <f>11.32</f>
        <v>11.32</v>
      </c>
      <c r="C4500">
        <f>14.9101</f>
        <v>14.9101</v>
      </c>
      <c r="D4500">
        <f>12.16</f>
        <v>12.16</v>
      </c>
      <c r="E4500" t="e">
        <f>NA()</f>
        <v>#N/A</v>
      </c>
    </row>
    <row r="4501" spans="1:5" x14ac:dyDescent="0.2">
      <c r="A4501" s="1">
        <v>38825</v>
      </c>
      <c r="B4501">
        <f>11.4</f>
        <v>11.4</v>
      </c>
      <c r="C4501">
        <f>15.3849</f>
        <v>15.3849</v>
      </c>
      <c r="D4501">
        <f>12.42</f>
        <v>12.42</v>
      </c>
      <c r="E4501" t="e">
        <f>NA()</f>
        <v>#N/A</v>
      </c>
    </row>
    <row r="4502" spans="1:5" x14ac:dyDescent="0.2">
      <c r="A4502" s="1">
        <v>38824</v>
      </c>
      <c r="B4502">
        <f>12.58</f>
        <v>12.58</v>
      </c>
      <c r="C4502" t="e">
        <f>NA()</f>
        <v>#N/A</v>
      </c>
      <c r="D4502" t="e">
        <f>NA()</f>
        <v>#N/A</v>
      </c>
      <c r="E4502" t="e">
        <f>NA()</f>
        <v>#N/A</v>
      </c>
    </row>
    <row r="4503" spans="1:5" x14ac:dyDescent="0.2">
      <c r="A4503" s="1">
        <v>38820</v>
      </c>
      <c r="B4503">
        <f>12.38</f>
        <v>12.38</v>
      </c>
      <c r="C4503">
        <f>15.0837</f>
        <v>15.0837</v>
      </c>
      <c r="D4503">
        <f>11.8</f>
        <v>11.8</v>
      </c>
      <c r="E4503" t="e">
        <f>NA()</f>
        <v>#N/A</v>
      </c>
    </row>
    <row r="4504" spans="1:5" x14ac:dyDescent="0.2">
      <c r="A4504" s="1">
        <v>38819</v>
      </c>
      <c r="B4504">
        <f>12.76</f>
        <v>12.76</v>
      </c>
      <c r="C4504">
        <f>15.3774</f>
        <v>15.3774</v>
      </c>
      <c r="D4504">
        <f>12.28</f>
        <v>12.28</v>
      </c>
      <c r="E4504" t="e">
        <f>NA()</f>
        <v>#N/A</v>
      </c>
    </row>
    <row r="4505" spans="1:5" x14ac:dyDescent="0.2">
      <c r="A4505" s="1">
        <v>38818</v>
      </c>
      <c r="B4505">
        <f>13</f>
        <v>13</v>
      </c>
      <c r="C4505">
        <f>15.3593</f>
        <v>15.359299999999999</v>
      </c>
      <c r="D4505">
        <f>12.21</f>
        <v>12.21</v>
      </c>
      <c r="E4505" t="e">
        <f>NA()</f>
        <v>#N/A</v>
      </c>
    </row>
    <row r="4506" spans="1:5" x14ac:dyDescent="0.2">
      <c r="A4506" s="1">
        <v>38817</v>
      </c>
      <c r="B4506">
        <f>12.19</f>
        <v>12.19</v>
      </c>
      <c r="C4506">
        <f>14.4419</f>
        <v>14.4419</v>
      </c>
      <c r="D4506">
        <f>11.89</f>
        <v>11.89</v>
      </c>
      <c r="E4506" t="e">
        <f>NA()</f>
        <v>#N/A</v>
      </c>
    </row>
    <row r="4507" spans="1:5" x14ac:dyDescent="0.2">
      <c r="A4507" s="1">
        <v>38814</v>
      </c>
      <c r="B4507">
        <f>12.26</f>
        <v>12.26</v>
      </c>
      <c r="C4507">
        <f>14.3497</f>
        <v>14.3497</v>
      </c>
      <c r="D4507">
        <f>11.88</f>
        <v>11.88</v>
      </c>
      <c r="E4507" t="e">
        <f>NA()</f>
        <v>#N/A</v>
      </c>
    </row>
    <row r="4508" spans="1:5" x14ac:dyDescent="0.2">
      <c r="A4508" s="1">
        <v>38813</v>
      </c>
      <c r="B4508">
        <f>11.45</f>
        <v>11.45</v>
      </c>
      <c r="C4508">
        <f>13.5542</f>
        <v>13.5542</v>
      </c>
      <c r="D4508">
        <f>11.82</f>
        <v>11.82</v>
      </c>
      <c r="E4508" t="e">
        <f>NA()</f>
        <v>#N/A</v>
      </c>
    </row>
    <row r="4509" spans="1:5" x14ac:dyDescent="0.2">
      <c r="A4509" s="1">
        <v>38812</v>
      </c>
      <c r="B4509">
        <f>11.13</f>
        <v>11.13</v>
      </c>
      <c r="C4509">
        <f>13.7946</f>
        <v>13.794600000000001</v>
      </c>
      <c r="D4509">
        <f>12.18</f>
        <v>12.18</v>
      </c>
      <c r="E4509" t="e">
        <f>NA()</f>
        <v>#N/A</v>
      </c>
    </row>
    <row r="4510" spans="1:5" x14ac:dyDescent="0.2">
      <c r="A4510" s="1">
        <v>38811</v>
      </c>
      <c r="B4510">
        <f>11.14</f>
        <v>11.14</v>
      </c>
      <c r="C4510">
        <f>14.3142</f>
        <v>14.3142</v>
      </c>
      <c r="D4510">
        <f>12.56</f>
        <v>12.56</v>
      </c>
      <c r="E4510" t="e">
        <f>NA()</f>
        <v>#N/A</v>
      </c>
    </row>
    <row r="4511" spans="1:5" x14ac:dyDescent="0.2">
      <c r="A4511" s="1">
        <v>38810</v>
      </c>
      <c r="B4511">
        <f>11.57</f>
        <v>11.57</v>
      </c>
      <c r="C4511">
        <f>13.8832</f>
        <v>13.8832</v>
      </c>
      <c r="D4511">
        <f>12.44</f>
        <v>12.44</v>
      </c>
      <c r="E4511" t="e">
        <f>NA()</f>
        <v>#N/A</v>
      </c>
    </row>
    <row r="4512" spans="1:5" x14ac:dyDescent="0.2">
      <c r="A4512" s="1">
        <v>38807</v>
      </c>
      <c r="B4512">
        <f>11.39</f>
        <v>11.39</v>
      </c>
      <c r="C4512">
        <f>14.0139</f>
        <v>14.0139</v>
      </c>
      <c r="D4512">
        <f>12.28</f>
        <v>12.28</v>
      </c>
      <c r="E4512" t="e">
        <f>NA()</f>
        <v>#N/A</v>
      </c>
    </row>
    <row r="4513" spans="1:5" x14ac:dyDescent="0.2">
      <c r="A4513" s="1">
        <v>38806</v>
      </c>
      <c r="B4513">
        <f>11.57</f>
        <v>11.57</v>
      </c>
      <c r="C4513">
        <f>13.6051</f>
        <v>13.6051</v>
      </c>
      <c r="D4513">
        <f>11.81</f>
        <v>11.81</v>
      </c>
      <c r="E4513" t="e">
        <f>NA()</f>
        <v>#N/A</v>
      </c>
    </row>
    <row r="4514" spans="1:5" x14ac:dyDescent="0.2">
      <c r="A4514" s="1">
        <v>38805</v>
      </c>
      <c r="B4514">
        <f>10.95</f>
        <v>10.95</v>
      </c>
      <c r="C4514">
        <f>14.3144</f>
        <v>14.314399999999999</v>
      </c>
      <c r="D4514">
        <f>12.23</f>
        <v>12.23</v>
      </c>
      <c r="E4514" t="e">
        <f>NA()</f>
        <v>#N/A</v>
      </c>
    </row>
    <row r="4515" spans="1:5" x14ac:dyDescent="0.2">
      <c r="A4515" s="1">
        <v>38804</v>
      </c>
      <c r="B4515">
        <f>11.58</f>
        <v>11.58</v>
      </c>
      <c r="C4515">
        <f>14.7849</f>
        <v>14.7849</v>
      </c>
      <c r="D4515">
        <f>12.36</f>
        <v>12.36</v>
      </c>
      <c r="E4515" t="e">
        <f>NA()</f>
        <v>#N/A</v>
      </c>
    </row>
    <row r="4516" spans="1:5" x14ac:dyDescent="0.2">
      <c r="A4516" s="1">
        <v>38803</v>
      </c>
      <c r="B4516">
        <f>11.46</f>
        <v>11.46</v>
      </c>
      <c r="C4516">
        <f>14.6162</f>
        <v>14.616199999999999</v>
      </c>
      <c r="D4516">
        <f>12.02</f>
        <v>12.02</v>
      </c>
      <c r="E4516" t="e">
        <f>NA()</f>
        <v>#N/A</v>
      </c>
    </row>
    <row r="4517" spans="1:5" x14ac:dyDescent="0.2">
      <c r="A4517" s="1">
        <v>38800</v>
      </c>
      <c r="B4517">
        <f>11.19</f>
        <v>11.19</v>
      </c>
      <c r="C4517">
        <f>13.0311</f>
        <v>13.0311</v>
      </c>
      <c r="D4517">
        <f>11.24</f>
        <v>11.24</v>
      </c>
      <c r="E4517" t="e">
        <f>NA()</f>
        <v>#N/A</v>
      </c>
    </row>
    <row r="4518" spans="1:5" x14ac:dyDescent="0.2">
      <c r="A4518" s="1">
        <v>38799</v>
      </c>
      <c r="B4518">
        <f>11.17</f>
        <v>11.17</v>
      </c>
      <c r="C4518">
        <f>13.6083</f>
        <v>13.6083</v>
      </c>
      <c r="D4518">
        <f>11.82</f>
        <v>11.82</v>
      </c>
      <c r="E4518" t="e">
        <f>NA()</f>
        <v>#N/A</v>
      </c>
    </row>
    <row r="4519" spans="1:5" x14ac:dyDescent="0.2">
      <c r="A4519" s="1">
        <v>38798</v>
      </c>
      <c r="B4519">
        <f>11.21</f>
        <v>11.21</v>
      </c>
      <c r="C4519">
        <f>13.5353</f>
        <v>13.535299999999999</v>
      </c>
      <c r="D4519">
        <f>11.55</f>
        <v>11.55</v>
      </c>
      <c r="E4519" t="e">
        <f>NA()</f>
        <v>#N/A</v>
      </c>
    </row>
    <row r="4520" spans="1:5" x14ac:dyDescent="0.2">
      <c r="A4520" s="1">
        <v>38797</v>
      </c>
      <c r="B4520">
        <f>11.62</f>
        <v>11.62</v>
      </c>
      <c r="C4520">
        <f>13.6421</f>
        <v>13.642099999999999</v>
      </c>
      <c r="D4520">
        <f>12.05</f>
        <v>12.05</v>
      </c>
      <c r="E4520" t="e">
        <f>NA()</f>
        <v>#N/A</v>
      </c>
    </row>
    <row r="4521" spans="1:5" x14ac:dyDescent="0.2">
      <c r="A4521" s="1">
        <v>38796</v>
      </c>
      <c r="B4521">
        <f>11.79</f>
        <v>11.79</v>
      </c>
      <c r="C4521">
        <f>14.0272</f>
        <v>14.027200000000001</v>
      </c>
      <c r="D4521">
        <f>12.25</f>
        <v>12.25</v>
      </c>
      <c r="E4521" t="e">
        <f>NA()</f>
        <v>#N/A</v>
      </c>
    </row>
    <row r="4522" spans="1:5" x14ac:dyDescent="0.2">
      <c r="A4522" s="1">
        <v>38793</v>
      </c>
      <c r="B4522">
        <f>12.12</f>
        <v>12.12</v>
      </c>
      <c r="C4522">
        <f>13.3971</f>
        <v>13.3971</v>
      </c>
      <c r="D4522">
        <f>11.94</f>
        <v>11.94</v>
      </c>
      <c r="E4522" t="e">
        <f>NA()</f>
        <v>#N/A</v>
      </c>
    </row>
    <row r="4523" spans="1:5" x14ac:dyDescent="0.2">
      <c r="A4523" s="1">
        <v>38792</v>
      </c>
      <c r="B4523">
        <f>11.98</f>
        <v>11.98</v>
      </c>
      <c r="C4523">
        <f>13.4109</f>
        <v>13.4109</v>
      </c>
      <c r="D4523">
        <f>11.77</f>
        <v>11.77</v>
      </c>
      <c r="E4523" t="e">
        <f>NA()</f>
        <v>#N/A</v>
      </c>
    </row>
    <row r="4524" spans="1:5" x14ac:dyDescent="0.2">
      <c r="A4524" s="1">
        <v>38791</v>
      </c>
      <c r="B4524">
        <f>11.35</f>
        <v>11.35</v>
      </c>
      <c r="C4524">
        <f>13.6402</f>
        <v>13.6402</v>
      </c>
      <c r="D4524">
        <f>12.04</f>
        <v>12.04</v>
      </c>
      <c r="E4524" t="e">
        <f>NA()</f>
        <v>#N/A</v>
      </c>
    </row>
    <row r="4525" spans="1:5" x14ac:dyDescent="0.2">
      <c r="A4525" s="1">
        <v>38790</v>
      </c>
      <c r="B4525">
        <f>10.74</f>
        <v>10.74</v>
      </c>
      <c r="C4525">
        <f>13.8621</f>
        <v>13.8621</v>
      </c>
      <c r="D4525">
        <f>12.15</f>
        <v>12.15</v>
      </c>
      <c r="E4525" t="e">
        <f>NA()</f>
        <v>#N/A</v>
      </c>
    </row>
    <row r="4526" spans="1:5" x14ac:dyDescent="0.2">
      <c r="A4526" s="1">
        <v>38789</v>
      </c>
      <c r="B4526">
        <f>11.37</f>
        <v>11.37</v>
      </c>
      <c r="C4526">
        <f>14.0297</f>
        <v>14.0297</v>
      </c>
      <c r="D4526">
        <f>11.86</f>
        <v>11.86</v>
      </c>
      <c r="E4526" t="e">
        <f>NA()</f>
        <v>#N/A</v>
      </c>
    </row>
    <row r="4527" spans="1:5" x14ac:dyDescent="0.2">
      <c r="A4527" s="1">
        <v>38786</v>
      </c>
      <c r="B4527">
        <f>11.85</f>
        <v>11.85</v>
      </c>
      <c r="C4527">
        <f>14.1788</f>
        <v>14.178800000000001</v>
      </c>
      <c r="D4527">
        <f>12.11</f>
        <v>12.11</v>
      </c>
      <c r="E4527" t="e">
        <f>NA()</f>
        <v>#N/A</v>
      </c>
    </row>
    <row r="4528" spans="1:5" x14ac:dyDescent="0.2">
      <c r="A4528" s="1">
        <v>38785</v>
      </c>
      <c r="B4528">
        <f>12.68</f>
        <v>12.68</v>
      </c>
      <c r="C4528">
        <f>15.292</f>
        <v>15.292</v>
      </c>
      <c r="D4528">
        <f>12.5</f>
        <v>12.5</v>
      </c>
      <c r="E4528" t="e">
        <f>NA()</f>
        <v>#N/A</v>
      </c>
    </row>
    <row r="4529" spans="1:5" x14ac:dyDescent="0.2">
      <c r="A4529" s="1">
        <v>38784</v>
      </c>
      <c r="B4529">
        <f>12.32</f>
        <v>12.32</v>
      </c>
      <c r="C4529">
        <f>15.7863</f>
        <v>15.786300000000001</v>
      </c>
      <c r="D4529">
        <f>13.17</f>
        <v>13.17</v>
      </c>
      <c r="E4529" t="e">
        <f>NA()</f>
        <v>#N/A</v>
      </c>
    </row>
    <row r="4530" spans="1:5" x14ac:dyDescent="0.2">
      <c r="A4530" s="1">
        <v>38783</v>
      </c>
      <c r="B4530">
        <f>12.66</f>
        <v>12.66</v>
      </c>
      <c r="C4530">
        <f>15.6891</f>
        <v>15.6891</v>
      </c>
      <c r="D4530">
        <f>12.75</f>
        <v>12.75</v>
      </c>
      <c r="E4530" t="e">
        <f>NA()</f>
        <v>#N/A</v>
      </c>
    </row>
    <row r="4531" spans="1:5" x14ac:dyDescent="0.2">
      <c r="A4531" s="1">
        <v>38782</v>
      </c>
      <c r="B4531">
        <f>12.74</f>
        <v>12.74</v>
      </c>
      <c r="C4531">
        <f>15.1907</f>
        <v>15.1907</v>
      </c>
      <c r="D4531">
        <f>12.28</f>
        <v>12.28</v>
      </c>
      <c r="E4531" t="e">
        <f>NA()</f>
        <v>#N/A</v>
      </c>
    </row>
    <row r="4532" spans="1:5" x14ac:dyDescent="0.2">
      <c r="A4532" s="1">
        <v>38779</v>
      </c>
      <c r="B4532">
        <f>11.96</f>
        <v>11.96</v>
      </c>
      <c r="C4532">
        <f>15.3114</f>
        <v>15.311400000000001</v>
      </c>
      <c r="D4532">
        <f>12.43</f>
        <v>12.43</v>
      </c>
      <c r="E4532" t="e">
        <f>NA()</f>
        <v>#N/A</v>
      </c>
    </row>
    <row r="4533" spans="1:5" x14ac:dyDescent="0.2">
      <c r="A4533" s="1">
        <v>38778</v>
      </c>
      <c r="B4533">
        <f>11.72</f>
        <v>11.72</v>
      </c>
      <c r="C4533">
        <f>14.9328</f>
        <v>14.9328</v>
      </c>
      <c r="D4533">
        <f>12.25</f>
        <v>12.25</v>
      </c>
      <c r="E4533" t="e">
        <f>NA()</f>
        <v>#N/A</v>
      </c>
    </row>
    <row r="4534" spans="1:5" x14ac:dyDescent="0.2">
      <c r="A4534" s="1">
        <v>38777</v>
      </c>
      <c r="B4534">
        <f>11.54</f>
        <v>11.54</v>
      </c>
      <c r="C4534">
        <f>14.3989</f>
        <v>14.398899999999999</v>
      </c>
      <c r="D4534">
        <f>12.18</f>
        <v>12.18</v>
      </c>
      <c r="E4534" t="e">
        <f>NA()</f>
        <v>#N/A</v>
      </c>
    </row>
    <row r="4535" spans="1:5" x14ac:dyDescent="0.2">
      <c r="A4535" s="1">
        <v>38776</v>
      </c>
      <c r="B4535">
        <f>12.34</f>
        <v>12.34</v>
      </c>
      <c r="C4535">
        <f>15.0449</f>
        <v>15.0449</v>
      </c>
      <c r="D4535">
        <f>12.48</f>
        <v>12.48</v>
      </c>
      <c r="E4535" t="e">
        <f>NA()</f>
        <v>#N/A</v>
      </c>
    </row>
    <row r="4536" spans="1:5" x14ac:dyDescent="0.2">
      <c r="A4536" s="1">
        <v>38775</v>
      </c>
      <c r="B4536">
        <f>11.59</f>
        <v>11.59</v>
      </c>
      <c r="C4536">
        <f>14.0339</f>
        <v>14.033899999999999</v>
      </c>
      <c r="D4536">
        <f>11.72</f>
        <v>11.72</v>
      </c>
      <c r="E4536" t="e">
        <f>NA()</f>
        <v>#N/A</v>
      </c>
    </row>
    <row r="4537" spans="1:5" x14ac:dyDescent="0.2">
      <c r="A4537" s="1">
        <v>38772</v>
      </c>
      <c r="B4537">
        <f>11.46</f>
        <v>11.46</v>
      </c>
      <c r="C4537">
        <f>14.252</f>
        <v>14.252000000000001</v>
      </c>
      <c r="D4537">
        <f>11.85</f>
        <v>11.85</v>
      </c>
      <c r="E4537" t="e">
        <f>NA()</f>
        <v>#N/A</v>
      </c>
    </row>
    <row r="4538" spans="1:5" x14ac:dyDescent="0.2">
      <c r="A4538" s="1">
        <v>38771</v>
      </c>
      <c r="B4538">
        <f>11.87</f>
        <v>11.87</v>
      </c>
      <c r="C4538">
        <f>14.6621</f>
        <v>14.662100000000001</v>
      </c>
      <c r="D4538">
        <f>12.32</f>
        <v>12.32</v>
      </c>
      <c r="E4538" t="e">
        <f>NA()</f>
        <v>#N/A</v>
      </c>
    </row>
    <row r="4539" spans="1:5" x14ac:dyDescent="0.2">
      <c r="A4539" s="1">
        <v>38770</v>
      </c>
      <c r="B4539">
        <f>11.88</f>
        <v>11.88</v>
      </c>
      <c r="C4539">
        <f>14.289</f>
        <v>14.289</v>
      </c>
      <c r="D4539">
        <f>12.29</f>
        <v>12.29</v>
      </c>
      <c r="E4539" t="e">
        <f>NA()</f>
        <v>#N/A</v>
      </c>
    </row>
    <row r="4540" spans="1:5" x14ac:dyDescent="0.2">
      <c r="A4540" s="1">
        <v>38769</v>
      </c>
      <c r="B4540">
        <f>12.41</f>
        <v>12.41</v>
      </c>
      <c r="C4540">
        <f>15.1253</f>
        <v>15.125299999999999</v>
      </c>
      <c r="D4540">
        <f>12.13</f>
        <v>12.13</v>
      </c>
      <c r="E4540" t="e">
        <f>NA()</f>
        <v>#N/A</v>
      </c>
    </row>
    <row r="4541" spans="1:5" x14ac:dyDescent="0.2">
      <c r="A4541" s="1">
        <v>38768</v>
      </c>
      <c r="B4541" t="e">
        <f>NA()</f>
        <v>#N/A</v>
      </c>
      <c r="C4541">
        <f>14.7889</f>
        <v>14.7889</v>
      </c>
      <c r="D4541">
        <f>12.15</f>
        <v>12.15</v>
      </c>
      <c r="E4541" t="e">
        <f>NA()</f>
        <v>#N/A</v>
      </c>
    </row>
    <row r="4542" spans="1:5" x14ac:dyDescent="0.2">
      <c r="A4542" s="1">
        <v>38765</v>
      </c>
      <c r="B4542">
        <f>12.01</f>
        <v>12.01</v>
      </c>
      <c r="C4542">
        <f>14.589</f>
        <v>14.589</v>
      </c>
      <c r="D4542">
        <f>12.41</f>
        <v>12.41</v>
      </c>
      <c r="E4542" t="e">
        <f>NA()</f>
        <v>#N/A</v>
      </c>
    </row>
    <row r="4543" spans="1:5" x14ac:dyDescent="0.2">
      <c r="A4543" s="1">
        <v>38764</v>
      </c>
      <c r="B4543">
        <f>11.48</f>
        <v>11.48</v>
      </c>
      <c r="C4543">
        <f>14.8742</f>
        <v>14.8742</v>
      </c>
      <c r="D4543">
        <f>12.3</f>
        <v>12.3</v>
      </c>
      <c r="E4543" t="e">
        <f>NA()</f>
        <v>#N/A</v>
      </c>
    </row>
    <row r="4544" spans="1:5" x14ac:dyDescent="0.2">
      <c r="A4544" s="1">
        <v>38763</v>
      </c>
      <c r="B4544">
        <f>12.31</f>
        <v>12.31</v>
      </c>
      <c r="C4544">
        <f>16.2622</f>
        <v>16.2622</v>
      </c>
      <c r="D4544">
        <f>13.27</f>
        <v>13.27</v>
      </c>
      <c r="E4544" t="e">
        <f>NA()</f>
        <v>#N/A</v>
      </c>
    </row>
    <row r="4545" spans="1:5" x14ac:dyDescent="0.2">
      <c r="A4545" s="1">
        <v>38762</v>
      </c>
      <c r="B4545">
        <f>12.25</f>
        <v>12.25</v>
      </c>
      <c r="C4545">
        <f>16.0942</f>
        <v>16.094200000000001</v>
      </c>
      <c r="D4545">
        <f>13.25</f>
        <v>13.25</v>
      </c>
      <c r="E4545" t="e">
        <f>NA()</f>
        <v>#N/A</v>
      </c>
    </row>
    <row r="4546" spans="1:5" x14ac:dyDescent="0.2">
      <c r="A4546" s="1">
        <v>38761</v>
      </c>
      <c r="B4546">
        <f>13.35</f>
        <v>13.35</v>
      </c>
      <c r="C4546">
        <f>15.903</f>
        <v>15.903</v>
      </c>
      <c r="D4546">
        <f>13.12</f>
        <v>13.12</v>
      </c>
      <c r="E4546" t="e">
        <f>NA()</f>
        <v>#N/A</v>
      </c>
    </row>
    <row r="4547" spans="1:5" x14ac:dyDescent="0.2">
      <c r="A4547" s="1">
        <v>38758</v>
      </c>
      <c r="B4547">
        <f>12.87</f>
        <v>12.87</v>
      </c>
      <c r="C4547">
        <f>15.7219</f>
        <v>15.7219</v>
      </c>
      <c r="D4547">
        <f>13.26</f>
        <v>13.26</v>
      </c>
      <c r="E4547" t="e">
        <f>NA()</f>
        <v>#N/A</v>
      </c>
    </row>
    <row r="4548" spans="1:5" x14ac:dyDescent="0.2">
      <c r="A4548" s="1">
        <v>38757</v>
      </c>
      <c r="B4548">
        <f>13.12</f>
        <v>13.12</v>
      </c>
      <c r="C4548">
        <f>15.5128</f>
        <v>15.5128</v>
      </c>
      <c r="D4548">
        <f>13.12</f>
        <v>13.12</v>
      </c>
      <c r="E4548" t="e">
        <f>NA()</f>
        <v>#N/A</v>
      </c>
    </row>
    <row r="4549" spans="1:5" x14ac:dyDescent="0.2">
      <c r="A4549" s="1">
        <v>38756</v>
      </c>
      <c r="B4549">
        <f>12.83</f>
        <v>12.83</v>
      </c>
      <c r="C4549">
        <f>16.1962</f>
        <v>16.196200000000001</v>
      </c>
      <c r="D4549">
        <f>13.51</f>
        <v>13.51</v>
      </c>
      <c r="E4549" t="e">
        <f>NA()</f>
        <v>#N/A</v>
      </c>
    </row>
    <row r="4550" spans="1:5" x14ac:dyDescent="0.2">
      <c r="A4550" s="1">
        <v>38755</v>
      </c>
      <c r="B4550">
        <f>13.59</f>
        <v>13.59</v>
      </c>
      <c r="C4550">
        <f>16.397</f>
        <v>16.396999999999998</v>
      </c>
      <c r="D4550">
        <f>13.18</f>
        <v>13.18</v>
      </c>
      <c r="E4550" t="e">
        <f>NA()</f>
        <v>#N/A</v>
      </c>
    </row>
    <row r="4551" spans="1:5" x14ac:dyDescent="0.2">
      <c r="A4551" s="1">
        <v>38754</v>
      </c>
      <c r="B4551">
        <f>13.04</f>
        <v>13.04</v>
      </c>
      <c r="C4551">
        <f>16.3376</f>
        <v>16.337599999999998</v>
      </c>
      <c r="D4551">
        <f>12.93</f>
        <v>12.93</v>
      </c>
      <c r="E4551" t="e">
        <f>NA()</f>
        <v>#N/A</v>
      </c>
    </row>
    <row r="4552" spans="1:5" x14ac:dyDescent="0.2">
      <c r="A4552" s="1">
        <v>38751</v>
      </c>
      <c r="B4552">
        <f>12.96</f>
        <v>12.96</v>
      </c>
      <c r="C4552">
        <f>16.0434</f>
        <v>16.043399999999998</v>
      </c>
      <c r="D4552">
        <f>12.9</f>
        <v>12.9</v>
      </c>
      <c r="E4552" t="e">
        <f>NA()</f>
        <v>#N/A</v>
      </c>
    </row>
    <row r="4553" spans="1:5" x14ac:dyDescent="0.2">
      <c r="A4553" s="1">
        <v>38750</v>
      </c>
      <c r="B4553">
        <f>13.23</f>
        <v>13.23</v>
      </c>
      <c r="C4553">
        <f>16.1795</f>
        <v>16.179500000000001</v>
      </c>
      <c r="D4553">
        <f>13.05</f>
        <v>13.05</v>
      </c>
      <c r="E4553" t="e">
        <f>NA()</f>
        <v>#N/A</v>
      </c>
    </row>
    <row r="4554" spans="1:5" x14ac:dyDescent="0.2">
      <c r="A4554" s="1">
        <v>38749</v>
      </c>
      <c r="B4554">
        <f>12.36</f>
        <v>12.36</v>
      </c>
      <c r="C4554">
        <f>15.4234</f>
        <v>15.423400000000001</v>
      </c>
      <c r="D4554">
        <f>12.25</f>
        <v>12.25</v>
      </c>
      <c r="E4554" t="e">
        <f>NA()</f>
        <v>#N/A</v>
      </c>
    </row>
    <row r="4555" spans="1:5" x14ac:dyDescent="0.2">
      <c r="A4555" s="1">
        <v>38748</v>
      </c>
      <c r="B4555">
        <f>12.95</f>
        <v>12.95</v>
      </c>
      <c r="C4555">
        <f>15.8548</f>
        <v>15.854799999999999</v>
      </c>
      <c r="D4555">
        <f>12.62</f>
        <v>12.62</v>
      </c>
      <c r="E4555" t="e">
        <f>NA()</f>
        <v>#N/A</v>
      </c>
    </row>
    <row r="4556" spans="1:5" x14ac:dyDescent="0.2">
      <c r="A4556" s="1">
        <v>38747</v>
      </c>
      <c r="B4556">
        <f>12.39</f>
        <v>12.39</v>
      </c>
      <c r="C4556">
        <f>15.5187</f>
        <v>15.518700000000001</v>
      </c>
      <c r="D4556">
        <f>12.19</f>
        <v>12.19</v>
      </c>
      <c r="E4556" t="e">
        <f>NA()</f>
        <v>#N/A</v>
      </c>
    </row>
    <row r="4557" spans="1:5" x14ac:dyDescent="0.2">
      <c r="A4557" s="1">
        <v>38744</v>
      </c>
      <c r="B4557">
        <f>11.97</f>
        <v>11.97</v>
      </c>
      <c r="C4557">
        <f>15.1492</f>
        <v>15.1492</v>
      </c>
      <c r="D4557">
        <f>12.1</f>
        <v>12.1</v>
      </c>
      <c r="E4557" t="e">
        <f>NA()</f>
        <v>#N/A</v>
      </c>
    </row>
    <row r="4558" spans="1:5" x14ac:dyDescent="0.2">
      <c r="A4558" s="1">
        <v>38743</v>
      </c>
      <c r="B4558">
        <f>12.42</f>
        <v>12.42</v>
      </c>
      <c r="C4558">
        <f>14.7677</f>
        <v>14.7677</v>
      </c>
      <c r="D4558">
        <f>12.47</f>
        <v>12.47</v>
      </c>
      <c r="E4558" t="e">
        <f>NA()</f>
        <v>#N/A</v>
      </c>
    </row>
    <row r="4559" spans="1:5" x14ac:dyDescent="0.2">
      <c r="A4559" s="1">
        <v>38742</v>
      </c>
      <c r="B4559">
        <f>12.87</f>
        <v>12.87</v>
      </c>
      <c r="C4559">
        <f>14.975</f>
        <v>14.975</v>
      </c>
      <c r="D4559">
        <f>12.62</f>
        <v>12.62</v>
      </c>
      <c r="E4559" t="e">
        <f>NA()</f>
        <v>#N/A</v>
      </c>
    </row>
    <row r="4560" spans="1:5" x14ac:dyDescent="0.2">
      <c r="A4560" s="1">
        <v>38741</v>
      </c>
      <c r="B4560">
        <f>13.31</f>
        <v>13.31</v>
      </c>
      <c r="C4560">
        <f>15.6608</f>
        <v>15.6608</v>
      </c>
      <c r="D4560">
        <f>13.22</f>
        <v>13.22</v>
      </c>
      <c r="E4560" t="e">
        <f>NA()</f>
        <v>#N/A</v>
      </c>
    </row>
    <row r="4561" spans="1:5" x14ac:dyDescent="0.2">
      <c r="A4561" s="1">
        <v>38740</v>
      </c>
      <c r="B4561">
        <f>13.93</f>
        <v>13.93</v>
      </c>
      <c r="C4561">
        <f>16.307</f>
        <v>16.306999999999999</v>
      </c>
      <c r="D4561">
        <f>13.57</f>
        <v>13.57</v>
      </c>
      <c r="E4561" t="e">
        <f>NA()</f>
        <v>#N/A</v>
      </c>
    </row>
    <row r="4562" spans="1:5" x14ac:dyDescent="0.2">
      <c r="A4562" s="1">
        <v>38737</v>
      </c>
      <c r="B4562">
        <f>14.56</f>
        <v>14.56</v>
      </c>
      <c r="C4562">
        <f>16.0032</f>
        <v>16.0032</v>
      </c>
      <c r="D4562">
        <f>12.49</f>
        <v>12.49</v>
      </c>
      <c r="E4562" t="e">
        <f>NA()</f>
        <v>#N/A</v>
      </c>
    </row>
    <row r="4563" spans="1:5" x14ac:dyDescent="0.2">
      <c r="A4563" s="1">
        <v>38736</v>
      </c>
      <c r="B4563">
        <f>11.98</f>
        <v>11.98</v>
      </c>
      <c r="C4563">
        <f>15.4303</f>
        <v>15.430300000000001</v>
      </c>
      <c r="D4563">
        <f>12.23</f>
        <v>12.23</v>
      </c>
      <c r="E4563" t="e">
        <f>NA()</f>
        <v>#N/A</v>
      </c>
    </row>
    <row r="4564" spans="1:5" x14ac:dyDescent="0.2">
      <c r="A4564" s="1">
        <v>38735</v>
      </c>
      <c r="B4564">
        <f>12.25</f>
        <v>12.25</v>
      </c>
      <c r="C4564">
        <f>15.8139</f>
        <v>15.8139</v>
      </c>
      <c r="D4564">
        <f>12.55</f>
        <v>12.55</v>
      </c>
      <c r="E4564" t="e">
        <f>NA()</f>
        <v>#N/A</v>
      </c>
    </row>
    <row r="4565" spans="1:5" x14ac:dyDescent="0.2">
      <c r="A4565" s="1">
        <v>38734</v>
      </c>
      <c r="B4565">
        <f>11.91</f>
        <v>11.91</v>
      </c>
      <c r="C4565">
        <f>15.2464</f>
        <v>15.2464</v>
      </c>
      <c r="D4565">
        <f>12.19</f>
        <v>12.19</v>
      </c>
      <c r="E4565" t="e">
        <f>NA()</f>
        <v>#N/A</v>
      </c>
    </row>
    <row r="4566" spans="1:5" x14ac:dyDescent="0.2">
      <c r="A4566" s="1">
        <v>38733</v>
      </c>
      <c r="B4566" t="e">
        <f>NA()</f>
        <v>#N/A</v>
      </c>
      <c r="C4566">
        <f>14.2488</f>
        <v>14.248799999999999</v>
      </c>
      <c r="D4566">
        <f>11.46</f>
        <v>11.46</v>
      </c>
      <c r="E4566" t="e">
        <f>NA()</f>
        <v>#N/A</v>
      </c>
    </row>
    <row r="4567" spans="1:5" x14ac:dyDescent="0.2">
      <c r="A4567" s="1">
        <v>38730</v>
      </c>
      <c r="B4567">
        <f>11.23</f>
        <v>11.23</v>
      </c>
      <c r="C4567">
        <f>14.3896</f>
        <v>14.3896</v>
      </c>
      <c r="D4567">
        <f>11.27</f>
        <v>11.27</v>
      </c>
      <c r="E4567" t="e">
        <f>NA()</f>
        <v>#N/A</v>
      </c>
    </row>
    <row r="4568" spans="1:5" x14ac:dyDescent="0.2">
      <c r="A4568" s="1">
        <v>38729</v>
      </c>
      <c r="B4568">
        <f>11.2</f>
        <v>11.2</v>
      </c>
      <c r="C4568">
        <f>13.6515</f>
        <v>13.6515</v>
      </c>
      <c r="D4568">
        <f>10.88</f>
        <v>10.88</v>
      </c>
      <c r="E4568" t="e">
        <f>NA()</f>
        <v>#N/A</v>
      </c>
    </row>
    <row r="4569" spans="1:5" x14ac:dyDescent="0.2">
      <c r="A4569" s="1">
        <v>38728</v>
      </c>
      <c r="B4569">
        <f>10.94</f>
        <v>10.94</v>
      </c>
      <c r="C4569">
        <f>13.9825</f>
        <v>13.9825</v>
      </c>
      <c r="D4569">
        <f>11.55</f>
        <v>11.55</v>
      </c>
      <c r="E4569" t="e">
        <f>NA()</f>
        <v>#N/A</v>
      </c>
    </row>
    <row r="4570" spans="1:5" x14ac:dyDescent="0.2">
      <c r="A4570" s="1">
        <v>38727</v>
      </c>
      <c r="B4570">
        <f>10.86</f>
        <v>10.86</v>
      </c>
      <c r="C4570">
        <f>14.5109</f>
        <v>14.510899999999999</v>
      </c>
      <c r="D4570">
        <f>12.13</f>
        <v>12.13</v>
      </c>
      <c r="E4570" t="e">
        <f>NA()</f>
        <v>#N/A</v>
      </c>
    </row>
    <row r="4571" spans="1:5" x14ac:dyDescent="0.2">
      <c r="A4571" s="1">
        <v>38726</v>
      </c>
      <c r="B4571">
        <f>11.13</f>
        <v>11.13</v>
      </c>
      <c r="C4571">
        <f>14.3612</f>
        <v>14.3612</v>
      </c>
      <c r="D4571">
        <f>11.56</f>
        <v>11.56</v>
      </c>
      <c r="E4571" t="e">
        <f>NA()</f>
        <v>#N/A</v>
      </c>
    </row>
    <row r="4572" spans="1:5" x14ac:dyDescent="0.2">
      <c r="A4572" s="1">
        <v>38723</v>
      </c>
      <c r="B4572">
        <f>11</f>
        <v>11</v>
      </c>
      <c r="C4572">
        <f>13.7315</f>
        <v>13.7315</v>
      </c>
      <c r="D4572">
        <f>10.96</f>
        <v>10.96</v>
      </c>
      <c r="E4572" t="e">
        <f>NA()</f>
        <v>#N/A</v>
      </c>
    </row>
    <row r="4573" spans="1:5" x14ac:dyDescent="0.2">
      <c r="A4573" s="1">
        <v>38722</v>
      </c>
      <c r="B4573">
        <f>11.31</f>
        <v>11.31</v>
      </c>
      <c r="C4573">
        <f>14.1421</f>
        <v>14.142099999999999</v>
      </c>
      <c r="D4573">
        <f>11.38</f>
        <v>11.38</v>
      </c>
      <c r="E4573" t="e">
        <f>NA()</f>
        <v>#N/A</v>
      </c>
    </row>
    <row r="4574" spans="1:5" x14ac:dyDescent="0.2">
      <c r="A4574" s="1">
        <v>38721</v>
      </c>
      <c r="B4574">
        <f>11.37</f>
        <v>11.37</v>
      </c>
      <c r="C4574">
        <f>13.9452</f>
        <v>13.9452</v>
      </c>
      <c r="D4574">
        <f>11.25</f>
        <v>11.25</v>
      </c>
      <c r="E4574" t="e">
        <f>NA()</f>
        <v>#N/A</v>
      </c>
    </row>
    <row r="4575" spans="1:5" x14ac:dyDescent="0.2">
      <c r="A4575" s="1">
        <v>38720</v>
      </c>
      <c r="B4575">
        <f>11.14</f>
        <v>11.14</v>
      </c>
      <c r="C4575">
        <f>14.3069</f>
        <v>14.306900000000001</v>
      </c>
      <c r="D4575">
        <f>11.52</f>
        <v>11.52</v>
      </c>
      <c r="E4575" t="e">
        <f>NA()</f>
        <v>#N/A</v>
      </c>
    </row>
    <row r="4576" spans="1:5" x14ac:dyDescent="0.2">
      <c r="A4576" s="1">
        <v>38719</v>
      </c>
      <c r="B4576" t="e">
        <f>NA()</f>
        <v>#N/A</v>
      </c>
      <c r="C4576">
        <f>14.3599</f>
        <v>14.3599</v>
      </c>
      <c r="D4576" t="e">
        <f>NA()</f>
        <v>#N/A</v>
      </c>
      <c r="E4576" t="e">
        <f>NA()</f>
        <v>#N/A</v>
      </c>
    </row>
    <row r="4577" spans="1:5" x14ac:dyDescent="0.2">
      <c r="A4577" s="1">
        <v>38716</v>
      </c>
      <c r="B4577">
        <f>12.07</f>
        <v>12.07</v>
      </c>
      <c r="C4577">
        <f>14.477</f>
        <v>14.477</v>
      </c>
      <c r="D4577">
        <f>11.44</f>
        <v>11.44</v>
      </c>
      <c r="E4577" t="e">
        <f>NA()</f>
        <v>#N/A</v>
      </c>
    </row>
    <row r="4578" spans="1:5" x14ac:dyDescent="0.2">
      <c r="A4578" s="1">
        <v>38715</v>
      </c>
      <c r="B4578">
        <f>11.61</f>
        <v>11.61</v>
      </c>
      <c r="C4578">
        <f>13.334</f>
        <v>13.334</v>
      </c>
      <c r="D4578">
        <f>11.03</f>
        <v>11.03</v>
      </c>
      <c r="E4578" t="e">
        <f>NA()</f>
        <v>#N/A</v>
      </c>
    </row>
    <row r="4579" spans="1:5" x14ac:dyDescent="0.2">
      <c r="A4579" s="1">
        <v>38714</v>
      </c>
      <c r="B4579">
        <f>11.35</f>
        <v>11.35</v>
      </c>
      <c r="C4579">
        <f>13.1741</f>
        <v>13.174099999999999</v>
      </c>
      <c r="D4579">
        <f>10.9</f>
        <v>10.9</v>
      </c>
      <c r="E4579" t="e">
        <f>NA()</f>
        <v>#N/A</v>
      </c>
    </row>
    <row r="4580" spans="1:5" x14ac:dyDescent="0.2">
      <c r="A4580" s="1">
        <v>38713</v>
      </c>
      <c r="B4580">
        <f>11.57</f>
        <v>11.57</v>
      </c>
      <c r="C4580">
        <f>12.6053</f>
        <v>12.6053</v>
      </c>
      <c r="D4580" t="e">
        <f>NA()</f>
        <v>#N/A</v>
      </c>
      <c r="E4580" t="e">
        <f>NA()</f>
        <v>#N/A</v>
      </c>
    </row>
    <row r="4581" spans="1:5" x14ac:dyDescent="0.2">
      <c r="A4581" s="1">
        <v>38709</v>
      </c>
      <c r="B4581">
        <f>10.27</f>
        <v>10.27</v>
      </c>
      <c r="C4581">
        <f>12.0709</f>
        <v>12.0709</v>
      </c>
      <c r="D4581">
        <f>10.3</f>
        <v>10.3</v>
      </c>
      <c r="E4581" t="e">
        <f>NA()</f>
        <v>#N/A</v>
      </c>
    </row>
    <row r="4582" spans="1:5" x14ac:dyDescent="0.2">
      <c r="A4582" s="1">
        <v>38708</v>
      </c>
      <c r="B4582">
        <f>10.29</f>
        <v>10.29</v>
      </c>
      <c r="C4582">
        <f>12.4678</f>
        <v>12.4678</v>
      </c>
      <c r="D4582">
        <f>10.5</f>
        <v>10.5</v>
      </c>
      <c r="E4582" t="e">
        <f>NA()</f>
        <v>#N/A</v>
      </c>
    </row>
    <row r="4583" spans="1:5" x14ac:dyDescent="0.2">
      <c r="A4583" s="1">
        <v>38707</v>
      </c>
      <c r="B4583">
        <f>10.81</f>
        <v>10.81</v>
      </c>
      <c r="C4583">
        <f>12.4621</f>
        <v>12.4621</v>
      </c>
      <c r="D4583">
        <f>10.37</f>
        <v>10.37</v>
      </c>
      <c r="E4583" t="e">
        <f>NA()</f>
        <v>#N/A</v>
      </c>
    </row>
    <row r="4584" spans="1:5" x14ac:dyDescent="0.2">
      <c r="A4584" s="1">
        <v>38706</v>
      </c>
      <c r="B4584">
        <f>11.19</f>
        <v>11.19</v>
      </c>
      <c r="C4584">
        <f>12.4045</f>
        <v>12.404500000000001</v>
      </c>
      <c r="D4584">
        <f>10.79</f>
        <v>10.79</v>
      </c>
      <c r="E4584" t="e">
        <f>NA()</f>
        <v>#N/A</v>
      </c>
    </row>
    <row r="4585" spans="1:5" x14ac:dyDescent="0.2">
      <c r="A4585" s="1">
        <v>38705</v>
      </c>
      <c r="B4585">
        <f>11.38</f>
        <v>11.38</v>
      </c>
      <c r="C4585">
        <f>12.5818</f>
        <v>12.581799999999999</v>
      </c>
      <c r="D4585">
        <f>10.57</f>
        <v>10.57</v>
      </c>
      <c r="E4585" t="e">
        <f>NA()</f>
        <v>#N/A</v>
      </c>
    </row>
    <row r="4586" spans="1:5" x14ac:dyDescent="0.2">
      <c r="A4586" s="1">
        <v>38702</v>
      </c>
      <c r="B4586">
        <f>10.68</f>
        <v>10.68</v>
      </c>
      <c r="C4586">
        <f>12.3556</f>
        <v>12.355600000000001</v>
      </c>
      <c r="D4586">
        <f>10.05</f>
        <v>10.050000000000001</v>
      </c>
      <c r="E4586" t="e">
        <f>NA()</f>
        <v>#N/A</v>
      </c>
    </row>
    <row r="4587" spans="1:5" x14ac:dyDescent="0.2">
      <c r="A4587" s="1">
        <v>38701</v>
      </c>
      <c r="B4587">
        <f>10.73</f>
        <v>10.73</v>
      </c>
      <c r="C4587">
        <f>13.4201</f>
        <v>13.4201</v>
      </c>
      <c r="D4587">
        <f>11.13</f>
        <v>11.13</v>
      </c>
      <c r="E4587" t="e">
        <f>NA()</f>
        <v>#N/A</v>
      </c>
    </row>
    <row r="4588" spans="1:5" x14ac:dyDescent="0.2">
      <c r="A4588" s="1">
        <v>38700</v>
      </c>
      <c r="B4588">
        <f>10.48</f>
        <v>10.48</v>
      </c>
      <c r="C4588">
        <f>13.5334</f>
        <v>13.5334</v>
      </c>
      <c r="D4588">
        <f>10.92</f>
        <v>10.92</v>
      </c>
      <c r="E4588" t="e">
        <f>NA()</f>
        <v>#N/A</v>
      </c>
    </row>
    <row r="4589" spans="1:5" x14ac:dyDescent="0.2">
      <c r="A4589" s="1">
        <v>38699</v>
      </c>
      <c r="B4589">
        <f>11.11</f>
        <v>11.11</v>
      </c>
      <c r="C4589">
        <f>13.102</f>
        <v>13.102</v>
      </c>
      <c r="D4589">
        <f>11.06</f>
        <v>11.06</v>
      </c>
      <c r="E4589" t="e">
        <f>NA()</f>
        <v>#N/A</v>
      </c>
    </row>
    <row r="4590" spans="1:5" x14ac:dyDescent="0.2">
      <c r="A4590" s="1">
        <v>38698</v>
      </c>
      <c r="B4590">
        <f>11.47</f>
        <v>11.47</v>
      </c>
      <c r="C4590">
        <f>13.2823</f>
        <v>13.282299999999999</v>
      </c>
      <c r="D4590">
        <f>10.32</f>
        <v>10.32</v>
      </c>
      <c r="E4590" t="e">
        <f>NA()</f>
        <v>#N/A</v>
      </c>
    </row>
    <row r="4591" spans="1:5" x14ac:dyDescent="0.2">
      <c r="A4591" s="1">
        <v>38695</v>
      </c>
      <c r="B4591">
        <f>11.69</f>
        <v>11.69</v>
      </c>
      <c r="C4591">
        <f>13.1098</f>
        <v>13.1098</v>
      </c>
      <c r="D4591">
        <f>9.96</f>
        <v>9.9600000000000009</v>
      </c>
      <c r="E4591" t="e">
        <f>NA()</f>
        <v>#N/A</v>
      </c>
    </row>
    <row r="4592" spans="1:5" x14ac:dyDescent="0.2">
      <c r="A4592" s="1">
        <v>38694</v>
      </c>
      <c r="B4592">
        <f>12.21</f>
        <v>12.21</v>
      </c>
      <c r="C4592">
        <f>13.5905</f>
        <v>13.5905</v>
      </c>
      <c r="D4592">
        <f>9.48</f>
        <v>9.48</v>
      </c>
      <c r="E4592" t="e">
        <f>NA()</f>
        <v>#N/A</v>
      </c>
    </row>
    <row r="4593" spans="1:5" x14ac:dyDescent="0.2">
      <c r="A4593" s="1">
        <v>38693</v>
      </c>
      <c r="B4593">
        <f>12.18</f>
        <v>12.18</v>
      </c>
      <c r="C4593">
        <f>13.8452</f>
        <v>13.8452</v>
      </c>
      <c r="D4593">
        <f>10.93</f>
        <v>10.93</v>
      </c>
      <c r="E4593" t="e">
        <f>NA()</f>
        <v>#N/A</v>
      </c>
    </row>
    <row r="4594" spans="1:5" x14ac:dyDescent="0.2">
      <c r="A4594" s="1">
        <v>38692</v>
      </c>
      <c r="B4594">
        <f>11.52</f>
        <v>11.52</v>
      </c>
      <c r="C4594">
        <f>13.4236</f>
        <v>13.4236</v>
      </c>
      <c r="D4594">
        <f>11.23</f>
        <v>11.23</v>
      </c>
      <c r="E4594" t="e">
        <f>NA()</f>
        <v>#N/A</v>
      </c>
    </row>
    <row r="4595" spans="1:5" x14ac:dyDescent="0.2">
      <c r="A4595" s="1">
        <v>38691</v>
      </c>
      <c r="B4595">
        <f>11.6</f>
        <v>11.6</v>
      </c>
      <c r="C4595">
        <f>13.7529</f>
        <v>13.7529</v>
      </c>
      <c r="D4595">
        <f>11.55</f>
        <v>11.55</v>
      </c>
      <c r="E4595" t="e">
        <f>NA()</f>
        <v>#N/A</v>
      </c>
    </row>
    <row r="4596" spans="1:5" x14ac:dyDescent="0.2">
      <c r="A4596" s="1">
        <v>38688</v>
      </c>
      <c r="B4596">
        <f>11.01</f>
        <v>11.01</v>
      </c>
      <c r="C4596">
        <f>12.9378</f>
        <v>12.937799999999999</v>
      </c>
      <c r="D4596">
        <f>11.01</f>
        <v>11.01</v>
      </c>
      <c r="E4596" t="e">
        <f>NA()</f>
        <v>#N/A</v>
      </c>
    </row>
    <row r="4597" spans="1:5" x14ac:dyDescent="0.2">
      <c r="A4597" s="1">
        <v>38687</v>
      </c>
      <c r="B4597">
        <f>11.24</f>
        <v>11.24</v>
      </c>
      <c r="C4597">
        <f>12.9933</f>
        <v>12.9933</v>
      </c>
      <c r="D4597">
        <f>11.51</f>
        <v>11.51</v>
      </c>
      <c r="E4597" t="e">
        <f>NA()</f>
        <v>#N/A</v>
      </c>
    </row>
    <row r="4598" spans="1:5" x14ac:dyDescent="0.2">
      <c r="A4598" s="1">
        <v>38686</v>
      </c>
      <c r="B4598">
        <f>12.06</f>
        <v>12.06</v>
      </c>
      <c r="C4598">
        <f>13.9602</f>
        <v>13.9602</v>
      </c>
      <c r="D4598">
        <f>12.05</f>
        <v>12.05</v>
      </c>
      <c r="E4598" t="e">
        <f>NA()</f>
        <v>#N/A</v>
      </c>
    </row>
    <row r="4599" spans="1:5" x14ac:dyDescent="0.2">
      <c r="A4599" s="1">
        <v>38685</v>
      </c>
      <c r="B4599">
        <f>11.89</f>
        <v>11.89</v>
      </c>
      <c r="C4599">
        <f>14.036</f>
        <v>14.036</v>
      </c>
      <c r="D4599">
        <f>11.58</f>
        <v>11.58</v>
      </c>
      <c r="E4599" t="e">
        <f>NA()</f>
        <v>#N/A</v>
      </c>
    </row>
    <row r="4600" spans="1:5" x14ac:dyDescent="0.2">
      <c r="A4600" s="1">
        <v>38684</v>
      </c>
      <c r="B4600">
        <f>11.84</f>
        <v>11.84</v>
      </c>
      <c r="C4600">
        <f>13.8849</f>
        <v>13.8849</v>
      </c>
      <c r="D4600">
        <f>11.56</f>
        <v>11.56</v>
      </c>
      <c r="E4600" t="e">
        <f>NA()</f>
        <v>#N/A</v>
      </c>
    </row>
    <row r="4601" spans="1:5" x14ac:dyDescent="0.2">
      <c r="A4601" s="1">
        <v>38681</v>
      </c>
      <c r="B4601">
        <f>10.88</f>
        <v>10.88</v>
      </c>
      <c r="C4601">
        <f>13.3416</f>
        <v>13.3416</v>
      </c>
      <c r="D4601">
        <f>10.95</f>
        <v>10.95</v>
      </c>
      <c r="E4601" t="e">
        <f>NA()</f>
        <v>#N/A</v>
      </c>
    </row>
    <row r="4602" spans="1:5" x14ac:dyDescent="0.2">
      <c r="A4602" s="1">
        <v>38680</v>
      </c>
      <c r="B4602" t="e">
        <f>NA()</f>
        <v>#N/A</v>
      </c>
      <c r="C4602">
        <f>13.2397</f>
        <v>13.239699999999999</v>
      </c>
      <c r="D4602">
        <f>10.94</f>
        <v>10.94</v>
      </c>
      <c r="E4602" t="e">
        <f>NA()</f>
        <v>#N/A</v>
      </c>
    </row>
    <row r="4603" spans="1:5" x14ac:dyDescent="0.2">
      <c r="A4603" s="1">
        <v>38679</v>
      </c>
      <c r="B4603">
        <f>10.96</f>
        <v>10.96</v>
      </c>
      <c r="C4603">
        <f>13.1907</f>
        <v>13.1907</v>
      </c>
      <c r="D4603">
        <f>11.08</f>
        <v>11.08</v>
      </c>
      <c r="E4603" t="e">
        <f>NA()</f>
        <v>#N/A</v>
      </c>
    </row>
    <row r="4604" spans="1:5" x14ac:dyDescent="0.2">
      <c r="A4604" s="1">
        <v>38678</v>
      </c>
      <c r="B4604">
        <f>10.6</f>
        <v>10.6</v>
      </c>
      <c r="C4604">
        <f>13.5828</f>
        <v>13.582800000000001</v>
      </c>
      <c r="D4604">
        <f>11.49</f>
        <v>11.49</v>
      </c>
      <c r="E4604" t="e">
        <f>NA()</f>
        <v>#N/A</v>
      </c>
    </row>
    <row r="4605" spans="1:5" x14ac:dyDescent="0.2">
      <c r="A4605" s="1">
        <v>38677</v>
      </c>
      <c r="B4605">
        <f>10.82</f>
        <v>10.82</v>
      </c>
      <c r="C4605">
        <f>13.8128</f>
        <v>13.812799999999999</v>
      </c>
      <c r="D4605">
        <f>11.97</f>
        <v>11.97</v>
      </c>
      <c r="E4605" t="e">
        <f>NA()</f>
        <v>#N/A</v>
      </c>
    </row>
    <row r="4606" spans="1:5" x14ac:dyDescent="0.2">
      <c r="A4606" s="1">
        <v>38674</v>
      </c>
      <c r="B4606">
        <f>11.12</f>
        <v>11.12</v>
      </c>
      <c r="C4606">
        <f>14.7475</f>
        <v>14.7475</v>
      </c>
      <c r="D4606">
        <f>12.59</f>
        <v>12.59</v>
      </c>
      <c r="E4606" t="e">
        <f>NA()</f>
        <v>#N/A</v>
      </c>
    </row>
    <row r="4607" spans="1:5" x14ac:dyDescent="0.2">
      <c r="A4607" s="1">
        <v>38673</v>
      </c>
      <c r="B4607">
        <f>11.25</f>
        <v>11.25</v>
      </c>
      <c r="C4607">
        <f>14.8319</f>
        <v>14.831899999999999</v>
      </c>
      <c r="D4607">
        <f>12.35</f>
        <v>12.35</v>
      </c>
      <c r="E4607" t="e">
        <f>NA()</f>
        <v>#N/A</v>
      </c>
    </row>
    <row r="4608" spans="1:5" x14ac:dyDescent="0.2">
      <c r="A4608" s="1">
        <v>38672</v>
      </c>
      <c r="B4608">
        <f>12.26</f>
        <v>12.26</v>
      </c>
      <c r="C4608">
        <f>15.0447</f>
        <v>15.044700000000001</v>
      </c>
      <c r="D4608">
        <f>12.62</f>
        <v>12.62</v>
      </c>
      <c r="E4608" t="e">
        <f>NA()</f>
        <v>#N/A</v>
      </c>
    </row>
    <row r="4609" spans="1:5" x14ac:dyDescent="0.2">
      <c r="A4609" s="1">
        <v>38671</v>
      </c>
      <c r="B4609">
        <f>12.23</f>
        <v>12.23</v>
      </c>
      <c r="C4609">
        <f>15.3937</f>
        <v>15.393700000000001</v>
      </c>
      <c r="D4609">
        <f>11.8</f>
        <v>11.8</v>
      </c>
      <c r="E4609" t="e">
        <f>NA()</f>
        <v>#N/A</v>
      </c>
    </row>
    <row r="4610" spans="1:5" x14ac:dyDescent="0.2">
      <c r="A4610" s="1">
        <v>38670</v>
      </c>
      <c r="B4610">
        <f>12.18</f>
        <v>12.18</v>
      </c>
      <c r="C4610">
        <f>14.6517</f>
        <v>14.6517</v>
      </c>
      <c r="D4610">
        <f>11.54</f>
        <v>11.54</v>
      </c>
      <c r="E4610" t="e">
        <f>NA()</f>
        <v>#N/A</v>
      </c>
    </row>
    <row r="4611" spans="1:5" x14ac:dyDescent="0.2">
      <c r="A4611" s="1">
        <v>38667</v>
      </c>
      <c r="B4611">
        <f>11.63</f>
        <v>11.63</v>
      </c>
      <c r="C4611">
        <f>14.3744</f>
        <v>14.3744</v>
      </c>
      <c r="D4611">
        <f>11.32</f>
        <v>11.32</v>
      </c>
      <c r="E4611" t="e">
        <f>NA()</f>
        <v>#N/A</v>
      </c>
    </row>
    <row r="4612" spans="1:5" x14ac:dyDescent="0.2">
      <c r="A4612" s="1">
        <v>38666</v>
      </c>
      <c r="B4612">
        <f>11.9</f>
        <v>11.9</v>
      </c>
      <c r="C4612">
        <f>14.849</f>
        <v>14.849</v>
      </c>
      <c r="D4612">
        <f>12.15</f>
        <v>12.15</v>
      </c>
      <c r="E4612" t="e">
        <f>NA()</f>
        <v>#N/A</v>
      </c>
    </row>
    <row r="4613" spans="1:5" x14ac:dyDescent="0.2">
      <c r="A4613" s="1">
        <v>38665</v>
      </c>
      <c r="B4613">
        <f>12.8</f>
        <v>12.8</v>
      </c>
      <c r="C4613">
        <f>15.0848</f>
        <v>15.0848</v>
      </c>
      <c r="D4613">
        <f>12.33</f>
        <v>12.33</v>
      </c>
      <c r="E4613" t="e">
        <f>NA()</f>
        <v>#N/A</v>
      </c>
    </row>
    <row r="4614" spans="1:5" x14ac:dyDescent="0.2">
      <c r="A4614" s="1">
        <v>38664</v>
      </c>
      <c r="B4614">
        <f>13.08</f>
        <v>13.08</v>
      </c>
      <c r="C4614">
        <f>15.865</f>
        <v>15.865</v>
      </c>
      <c r="D4614">
        <f>12.62</f>
        <v>12.62</v>
      </c>
      <c r="E4614" t="e">
        <f>NA()</f>
        <v>#N/A</v>
      </c>
    </row>
    <row r="4615" spans="1:5" x14ac:dyDescent="0.2">
      <c r="A4615" s="1">
        <v>38663</v>
      </c>
      <c r="B4615">
        <f>13.1</f>
        <v>13.1</v>
      </c>
      <c r="C4615">
        <f>16.0806</f>
        <v>16.0806</v>
      </c>
      <c r="D4615">
        <f>12.47</f>
        <v>12.47</v>
      </c>
      <c r="E4615" t="e">
        <f>NA()</f>
        <v>#N/A</v>
      </c>
    </row>
    <row r="4616" spans="1:5" x14ac:dyDescent="0.2">
      <c r="A4616" s="1">
        <v>38660</v>
      </c>
      <c r="B4616">
        <f>13.17</f>
        <v>13.17</v>
      </c>
      <c r="C4616">
        <f>15.5152</f>
        <v>15.5152</v>
      </c>
      <c r="D4616">
        <f>12.52</f>
        <v>12.52</v>
      </c>
      <c r="E4616" t="e">
        <f>NA()</f>
        <v>#N/A</v>
      </c>
    </row>
    <row r="4617" spans="1:5" x14ac:dyDescent="0.2">
      <c r="A4617" s="1">
        <v>38659</v>
      </c>
      <c r="B4617">
        <f>13</f>
        <v>13</v>
      </c>
      <c r="C4617">
        <f>15.84</f>
        <v>15.84</v>
      </c>
      <c r="D4617">
        <f>12.54</f>
        <v>12.54</v>
      </c>
      <c r="E4617" t="e">
        <f>NA()</f>
        <v>#N/A</v>
      </c>
    </row>
    <row r="4618" spans="1:5" x14ac:dyDescent="0.2">
      <c r="A4618" s="1">
        <v>38658</v>
      </c>
      <c r="B4618">
        <f>13.48</f>
        <v>13.48</v>
      </c>
      <c r="C4618">
        <f>16.9304</f>
        <v>16.930399999999999</v>
      </c>
      <c r="D4618">
        <f>13.41</f>
        <v>13.41</v>
      </c>
      <c r="E4618" t="e">
        <f>NA()</f>
        <v>#N/A</v>
      </c>
    </row>
    <row r="4619" spans="1:5" x14ac:dyDescent="0.2">
      <c r="A4619" s="1">
        <v>38657</v>
      </c>
      <c r="B4619">
        <f>14.85</f>
        <v>14.85</v>
      </c>
      <c r="C4619">
        <f>17.5434</f>
        <v>17.543399999999998</v>
      </c>
      <c r="D4619">
        <f>14.22</f>
        <v>14.22</v>
      </c>
      <c r="E4619" t="e">
        <f>NA()</f>
        <v>#N/A</v>
      </c>
    </row>
    <row r="4620" spans="1:5" x14ac:dyDescent="0.2">
      <c r="A4620" s="1">
        <v>38656</v>
      </c>
      <c r="B4620">
        <f>15.32</f>
        <v>15.32</v>
      </c>
      <c r="C4620">
        <f>17.4308</f>
        <v>17.430800000000001</v>
      </c>
      <c r="D4620">
        <f>14.55</f>
        <v>14.55</v>
      </c>
      <c r="E4620" t="e">
        <f>NA()</f>
        <v>#N/A</v>
      </c>
    </row>
    <row r="4621" spans="1:5" x14ac:dyDescent="0.2">
      <c r="A4621" s="1">
        <v>38653</v>
      </c>
      <c r="B4621">
        <f>14.25</f>
        <v>14.25</v>
      </c>
      <c r="C4621">
        <f>17.8759</f>
        <v>17.875900000000001</v>
      </c>
      <c r="D4621">
        <f>14.84</f>
        <v>14.84</v>
      </c>
      <c r="E4621" t="e">
        <f>NA()</f>
        <v>#N/A</v>
      </c>
    </row>
    <row r="4622" spans="1:5" x14ac:dyDescent="0.2">
      <c r="A4622" s="1">
        <v>38652</v>
      </c>
      <c r="B4622">
        <f>16.02</f>
        <v>16.02</v>
      </c>
      <c r="C4622">
        <f>17.6939</f>
        <v>17.693899999999999</v>
      </c>
      <c r="D4622">
        <f>15.16</f>
        <v>15.16</v>
      </c>
      <c r="E4622" t="e">
        <f>NA()</f>
        <v>#N/A</v>
      </c>
    </row>
    <row r="4623" spans="1:5" x14ac:dyDescent="0.2">
      <c r="A4623" s="1">
        <v>38651</v>
      </c>
      <c r="B4623">
        <f>14.59</f>
        <v>14.59</v>
      </c>
      <c r="C4623">
        <f>16.471</f>
        <v>16.471</v>
      </c>
      <c r="D4623">
        <f>14.07</f>
        <v>14.07</v>
      </c>
      <c r="E4623" t="e">
        <f>NA()</f>
        <v>#N/A</v>
      </c>
    </row>
    <row r="4624" spans="1:5" x14ac:dyDescent="0.2">
      <c r="A4624" s="1">
        <v>38650</v>
      </c>
      <c r="B4624">
        <f>14.53</f>
        <v>14.53</v>
      </c>
      <c r="C4624">
        <f>17.2463</f>
        <v>17.246300000000002</v>
      </c>
      <c r="D4624">
        <f>14.8</f>
        <v>14.8</v>
      </c>
      <c r="E4624" t="e">
        <f>NA()</f>
        <v>#N/A</v>
      </c>
    </row>
    <row r="4625" spans="1:5" x14ac:dyDescent="0.2">
      <c r="A4625" s="1">
        <v>38649</v>
      </c>
      <c r="B4625">
        <f>14.74</f>
        <v>14.74</v>
      </c>
      <c r="C4625">
        <f>17.1387</f>
        <v>17.1387</v>
      </c>
      <c r="D4625">
        <f>14.63</f>
        <v>14.63</v>
      </c>
      <c r="E4625" t="e">
        <f>NA()</f>
        <v>#N/A</v>
      </c>
    </row>
    <row r="4626" spans="1:5" x14ac:dyDescent="0.2">
      <c r="A4626" s="1">
        <v>38646</v>
      </c>
      <c r="B4626">
        <f>16.13</f>
        <v>16.13</v>
      </c>
      <c r="C4626">
        <f>18.3237</f>
        <v>18.323699999999999</v>
      </c>
      <c r="D4626">
        <f>15.19</f>
        <v>15.19</v>
      </c>
      <c r="E4626" t="e">
        <f>NA()</f>
        <v>#N/A</v>
      </c>
    </row>
    <row r="4627" spans="1:5" x14ac:dyDescent="0.2">
      <c r="A4627" s="1">
        <v>38645</v>
      </c>
      <c r="B4627">
        <f>16.11</f>
        <v>16.11</v>
      </c>
      <c r="C4627">
        <f>18.545</f>
        <v>18.545000000000002</v>
      </c>
      <c r="D4627">
        <f>15.17</f>
        <v>15.17</v>
      </c>
      <c r="E4627" t="e">
        <f>NA()</f>
        <v>#N/A</v>
      </c>
    </row>
    <row r="4628" spans="1:5" x14ac:dyDescent="0.2">
      <c r="A4628" s="1">
        <v>38644</v>
      </c>
      <c r="B4628">
        <f>13.5</f>
        <v>13.5</v>
      </c>
      <c r="C4628">
        <f>18.7418</f>
        <v>18.741800000000001</v>
      </c>
      <c r="D4628">
        <f>15.44</f>
        <v>15.44</v>
      </c>
      <c r="E4628" t="e">
        <f>NA()</f>
        <v>#N/A</v>
      </c>
    </row>
    <row r="4629" spans="1:5" x14ac:dyDescent="0.2">
      <c r="A4629" s="1">
        <v>38643</v>
      </c>
      <c r="B4629">
        <f>15.33</f>
        <v>15.33</v>
      </c>
      <c r="C4629">
        <f>16.5209</f>
        <v>16.520900000000001</v>
      </c>
      <c r="D4629">
        <f>13.42</f>
        <v>13.42</v>
      </c>
      <c r="E4629" t="e">
        <f>NA()</f>
        <v>#N/A</v>
      </c>
    </row>
    <row r="4630" spans="1:5" x14ac:dyDescent="0.2">
      <c r="A4630" s="1">
        <v>38642</v>
      </c>
      <c r="B4630">
        <f>14.67</f>
        <v>14.67</v>
      </c>
      <c r="C4630">
        <f>16.5186</f>
        <v>16.518599999999999</v>
      </c>
      <c r="D4630">
        <f>13.09</f>
        <v>13.09</v>
      </c>
      <c r="E4630" t="e">
        <f>NA()</f>
        <v>#N/A</v>
      </c>
    </row>
    <row r="4631" spans="1:5" x14ac:dyDescent="0.2">
      <c r="A4631" s="1">
        <v>38639</v>
      </c>
      <c r="B4631">
        <f>14.87</f>
        <v>14.87</v>
      </c>
      <c r="C4631">
        <f>16.6343</f>
        <v>16.6343</v>
      </c>
      <c r="D4631">
        <f>13.39</f>
        <v>13.39</v>
      </c>
      <c r="E4631" t="e">
        <f>NA()</f>
        <v>#N/A</v>
      </c>
    </row>
    <row r="4632" spans="1:5" x14ac:dyDescent="0.2">
      <c r="A4632" s="1">
        <v>38638</v>
      </c>
      <c r="B4632">
        <f>16.47</f>
        <v>16.47</v>
      </c>
      <c r="C4632">
        <f>17.7423</f>
        <v>17.7423</v>
      </c>
      <c r="D4632">
        <f>13.8</f>
        <v>13.8</v>
      </c>
      <c r="E4632" t="e">
        <f>NA()</f>
        <v>#N/A</v>
      </c>
    </row>
    <row r="4633" spans="1:5" x14ac:dyDescent="0.2">
      <c r="A4633" s="1">
        <v>38637</v>
      </c>
      <c r="B4633">
        <f>16.22</f>
        <v>16.22</v>
      </c>
      <c r="C4633">
        <f>17.0988</f>
        <v>17.098800000000001</v>
      </c>
      <c r="D4633">
        <f>12.82</f>
        <v>12.82</v>
      </c>
      <c r="E4633" t="e">
        <f>NA()</f>
        <v>#N/A</v>
      </c>
    </row>
    <row r="4634" spans="1:5" x14ac:dyDescent="0.2">
      <c r="A4634" s="1">
        <v>38636</v>
      </c>
      <c r="B4634">
        <f>15.63</f>
        <v>15.63</v>
      </c>
      <c r="C4634">
        <f>16.4709</f>
        <v>16.4709</v>
      </c>
      <c r="D4634">
        <f>12.12</f>
        <v>12.12</v>
      </c>
      <c r="E4634" t="e">
        <f>NA()</f>
        <v>#N/A</v>
      </c>
    </row>
    <row r="4635" spans="1:5" x14ac:dyDescent="0.2">
      <c r="A4635" s="1">
        <v>38635</v>
      </c>
      <c r="B4635">
        <f>15.55</f>
        <v>15.55</v>
      </c>
      <c r="C4635">
        <f>16.6092</f>
        <v>16.609200000000001</v>
      </c>
      <c r="D4635">
        <f>12.22</f>
        <v>12.22</v>
      </c>
      <c r="E4635" t="e">
        <f>NA()</f>
        <v>#N/A</v>
      </c>
    </row>
    <row r="4636" spans="1:5" x14ac:dyDescent="0.2">
      <c r="A4636" s="1">
        <v>38632</v>
      </c>
      <c r="B4636">
        <f>14.59</f>
        <v>14.59</v>
      </c>
      <c r="C4636">
        <f>16.4641</f>
        <v>16.464099999999998</v>
      </c>
      <c r="D4636">
        <f>12.58</f>
        <v>12.58</v>
      </c>
      <c r="E4636" t="e">
        <f>NA()</f>
        <v>#N/A</v>
      </c>
    </row>
    <row r="4637" spans="1:5" x14ac:dyDescent="0.2">
      <c r="A4637" s="1">
        <v>38631</v>
      </c>
      <c r="B4637">
        <f>14.96</f>
        <v>14.96</v>
      </c>
      <c r="C4637">
        <f>16.4451</f>
        <v>16.4451</v>
      </c>
      <c r="D4637">
        <f>12.41</f>
        <v>12.41</v>
      </c>
      <c r="E4637" t="e">
        <f>NA()</f>
        <v>#N/A</v>
      </c>
    </row>
    <row r="4638" spans="1:5" x14ac:dyDescent="0.2">
      <c r="A4638" s="1">
        <v>38630</v>
      </c>
      <c r="B4638">
        <f>14.55</f>
        <v>14.55</v>
      </c>
      <c r="C4638">
        <f>15.8574</f>
        <v>15.8574</v>
      </c>
      <c r="D4638">
        <f>11.42</f>
        <v>11.42</v>
      </c>
      <c r="E4638" t="e">
        <f>NA()</f>
        <v>#N/A</v>
      </c>
    </row>
    <row r="4639" spans="1:5" x14ac:dyDescent="0.2">
      <c r="A4639" s="1">
        <v>38629</v>
      </c>
      <c r="B4639">
        <f>13.2</f>
        <v>13.2</v>
      </c>
      <c r="C4639">
        <f>14.9727</f>
        <v>14.9727</v>
      </c>
      <c r="D4639">
        <f>10.42</f>
        <v>10.42</v>
      </c>
      <c r="E4639" t="e">
        <f>NA()</f>
        <v>#N/A</v>
      </c>
    </row>
    <row r="4640" spans="1:5" x14ac:dyDescent="0.2">
      <c r="A4640" s="1">
        <v>38628</v>
      </c>
      <c r="B4640">
        <f>12.46</f>
        <v>12.46</v>
      </c>
      <c r="C4640">
        <f>14.5633</f>
        <v>14.5633</v>
      </c>
      <c r="D4640">
        <f>9.94</f>
        <v>9.94</v>
      </c>
      <c r="E4640" t="e">
        <f>NA()</f>
        <v>#N/A</v>
      </c>
    </row>
    <row r="4641" spans="1:5" x14ac:dyDescent="0.2">
      <c r="A4641" s="1">
        <v>38625</v>
      </c>
      <c r="B4641">
        <f>11.92</f>
        <v>11.92</v>
      </c>
      <c r="C4641">
        <f>14.5562</f>
        <v>14.5562</v>
      </c>
      <c r="D4641">
        <f>10.03</f>
        <v>10.029999999999999</v>
      </c>
      <c r="E4641" t="e">
        <f>NA()</f>
        <v>#N/A</v>
      </c>
    </row>
    <row r="4642" spans="1:5" x14ac:dyDescent="0.2">
      <c r="A4642" s="1">
        <v>38624</v>
      </c>
      <c r="B4642">
        <f>12.24</f>
        <v>12.24</v>
      </c>
      <c r="C4642">
        <f>15.2485</f>
        <v>15.2485</v>
      </c>
      <c r="D4642">
        <f>10.22</f>
        <v>10.220000000000001</v>
      </c>
      <c r="E4642" t="e">
        <f>NA()</f>
        <v>#N/A</v>
      </c>
    </row>
    <row r="4643" spans="1:5" x14ac:dyDescent="0.2">
      <c r="A4643" s="1">
        <v>38623</v>
      </c>
      <c r="B4643">
        <f>12.63</f>
        <v>12.63</v>
      </c>
      <c r="C4643">
        <f>14.6788</f>
        <v>14.678800000000001</v>
      </c>
      <c r="D4643">
        <f>9.75</f>
        <v>9.75</v>
      </c>
      <c r="E4643" t="e">
        <f>NA()</f>
        <v>#N/A</v>
      </c>
    </row>
    <row r="4644" spans="1:5" x14ac:dyDescent="0.2">
      <c r="A4644" s="1">
        <v>38622</v>
      </c>
      <c r="B4644">
        <f>12.76</f>
        <v>12.76</v>
      </c>
      <c r="C4644">
        <f>14.7934</f>
        <v>14.7934</v>
      </c>
      <c r="D4644">
        <f>10.04</f>
        <v>10.039999999999999</v>
      </c>
      <c r="E4644" t="e">
        <f>NA()</f>
        <v>#N/A</v>
      </c>
    </row>
    <row r="4645" spans="1:5" x14ac:dyDescent="0.2">
      <c r="A4645" s="1">
        <v>38621</v>
      </c>
      <c r="B4645">
        <f>13.04</f>
        <v>13.04</v>
      </c>
      <c r="C4645">
        <f>14.4536</f>
        <v>14.4536</v>
      </c>
      <c r="D4645">
        <f>10.15</f>
        <v>10.15</v>
      </c>
      <c r="E4645" t="e">
        <f>NA()</f>
        <v>#N/A</v>
      </c>
    </row>
    <row r="4646" spans="1:5" x14ac:dyDescent="0.2">
      <c r="A4646" s="1">
        <v>38618</v>
      </c>
      <c r="B4646">
        <f>12.96</f>
        <v>12.96</v>
      </c>
      <c r="C4646">
        <f>14.8485</f>
        <v>14.8485</v>
      </c>
      <c r="D4646">
        <f>10.62</f>
        <v>10.62</v>
      </c>
      <c r="E4646" t="e">
        <f>NA()</f>
        <v>#N/A</v>
      </c>
    </row>
    <row r="4647" spans="1:5" x14ac:dyDescent="0.2">
      <c r="A4647" s="1">
        <v>38617</v>
      </c>
      <c r="B4647">
        <f>13.33</f>
        <v>13.33</v>
      </c>
      <c r="C4647">
        <f>15.6048</f>
        <v>15.604799999999999</v>
      </c>
      <c r="D4647">
        <f>11.25</f>
        <v>11.25</v>
      </c>
      <c r="E4647" t="e">
        <f>NA()</f>
        <v>#N/A</v>
      </c>
    </row>
    <row r="4648" spans="1:5" x14ac:dyDescent="0.2">
      <c r="A4648" s="1">
        <v>38616</v>
      </c>
      <c r="B4648">
        <f>13.79</f>
        <v>13.79</v>
      </c>
      <c r="C4648">
        <f>15.6703</f>
        <v>15.670299999999999</v>
      </c>
      <c r="D4648">
        <f>11.19</f>
        <v>11.19</v>
      </c>
      <c r="E4648" t="e">
        <f>NA()</f>
        <v>#N/A</v>
      </c>
    </row>
    <row r="4649" spans="1:5" x14ac:dyDescent="0.2">
      <c r="A4649" s="1">
        <v>38615</v>
      </c>
      <c r="B4649">
        <f>12.64</f>
        <v>12.64</v>
      </c>
      <c r="C4649">
        <f>14.6666</f>
        <v>14.666600000000001</v>
      </c>
      <c r="D4649">
        <f>10.51</f>
        <v>10.51</v>
      </c>
      <c r="E4649" t="e">
        <f>NA()</f>
        <v>#N/A</v>
      </c>
    </row>
    <row r="4650" spans="1:5" x14ac:dyDescent="0.2">
      <c r="A4650" s="1">
        <v>38614</v>
      </c>
      <c r="B4650">
        <f>12.14</f>
        <v>12.14</v>
      </c>
      <c r="C4650">
        <f>14.7522</f>
        <v>14.7522</v>
      </c>
      <c r="D4650">
        <f>10.14</f>
        <v>10.14</v>
      </c>
      <c r="E4650" t="e">
        <f>NA()</f>
        <v>#N/A</v>
      </c>
    </row>
    <row r="4651" spans="1:5" x14ac:dyDescent="0.2">
      <c r="A4651" s="1">
        <v>38611</v>
      </c>
      <c r="B4651">
        <f>11.22</f>
        <v>11.22</v>
      </c>
      <c r="C4651">
        <f>15.4826</f>
        <v>15.4826</v>
      </c>
      <c r="D4651">
        <f>9.74</f>
        <v>9.74</v>
      </c>
      <c r="E4651" t="e">
        <f>NA()</f>
        <v>#N/A</v>
      </c>
    </row>
    <row r="4652" spans="1:5" x14ac:dyDescent="0.2">
      <c r="A4652" s="1">
        <v>38610</v>
      </c>
      <c r="B4652">
        <f>12.49</f>
        <v>12.49</v>
      </c>
      <c r="C4652">
        <f>15.3107</f>
        <v>15.310700000000001</v>
      </c>
      <c r="D4652">
        <f>10.43</f>
        <v>10.43</v>
      </c>
      <c r="E4652" t="e">
        <f>NA()</f>
        <v>#N/A</v>
      </c>
    </row>
    <row r="4653" spans="1:5" x14ac:dyDescent="0.2">
      <c r="A4653" s="1">
        <v>38609</v>
      </c>
      <c r="B4653">
        <f>12.91</f>
        <v>12.91</v>
      </c>
      <c r="C4653">
        <f>15.3469</f>
        <v>15.3469</v>
      </c>
      <c r="D4653">
        <f>10.72</f>
        <v>10.72</v>
      </c>
      <c r="E4653" t="e">
        <f>NA()</f>
        <v>#N/A</v>
      </c>
    </row>
    <row r="4654" spans="1:5" x14ac:dyDescent="0.2">
      <c r="A4654" s="1">
        <v>38608</v>
      </c>
      <c r="B4654">
        <f>12.39</f>
        <v>12.39</v>
      </c>
      <c r="C4654">
        <f>15.7792</f>
        <v>15.779199999999999</v>
      </c>
      <c r="D4654">
        <f>11.14</f>
        <v>11.14</v>
      </c>
      <c r="E4654" t="e">
        <f>NA()</f>
        <v>#N/A</v>
      </c>
    </row>
    <row r="4655" spans="1:5" x14ac:dyDescent="0.2">
      <c r="A4655" s="1">
        <v>38607</v>
      </c>
      <c r="B4655">
        <f>11.65</f>
        <v>11.65</v>
      </c>
      <c r="C4655">
        <f>14.7351</f>
        <v>14.735099999999999</v>
      </c>
      <c r="D4655">
        <f>9.95</f>
        <v>9.9499999999999993</v>
      </c>
      <c r="E4655" t="e">
        <f>NA()</f>
        <v>#N/A</v>
      </c>
    </row>
    <row r="4656" spans="1:5" x14ac:dyDescent="0.2">
      <c r="A4656" s="1">
        <v>38604</v>
      </c>
      <c r="B4656">
        <f>11.98</f>
        <v>11.98</v>
      </c>
      <c r="C4656">
        <f>14.0772</f>
        <v>14.077199999999999</v>
      </c>
      <c r="D4656">
        <f>9.7</f>
        <v>9.6999999999999993</v>
      </c>
      <c r="E4656" t="e">
        <f>NA()</f>
        <v>#N/A</v>
      </c>
    </row>
    <row r="4657" spans="1:5" x14ac:dyDescent="0.2">
      <c r="A4657" s="1">
        <v>38603</v>
      </c>
      <c r="B4657">
        <f>12.93</f>
        <v>12.93</v>
      </c>
      <c r="C4657">
        <f>14.1908</f>
        <v>14.190799999999999</v>
      </c>
      <c r="D4657">
        <f>10.01</f>
        <v>10.01</v>
      </c>
      <c r="E4657" t="e">
        <f>NA()</f>
        <v>#N/A</v>
      </c>
    </row>
    <row r="4658" spans="1:5" x14ac:dyDescent="0.2">
      <c r="A4658" s="1">
        <v>38602</v>
      </c>
      <c r="B4658">
        <f>12.52</f>
        <v>12.52</v>
      </c>
      <c r="C4658">
        <f>14.2198</f>
        <v>14.219799999999999</v>
      </c>
      <c r="D4658">
        <f>10.22</f>
        <v>10.220000000000001</v>
      </c>
      <c r="E4658" t="e">
        <f>NA()</f>
        <v>#N/A</v>
      </c>
    </row>
    <row r="4659" spans="1:5" x14ac:dyDescent="0.2">
      <c r="A4659" s="1">
        <v>38601</v>
      </c>
      <c r="B4659">
        <f>12.93</f>
        <v>12.93</v>
      </c>
      <c r="C4659">
        <f>14.289</f>
        <v>14.289</v>
      </c>
      <c r="D4659">
        <f>10.21</f>
        <v>10.210000000000001</v>
      </c>
      <c r="E4659" t="e">
        <f>NA()</f>
        <v>#N/A</v>
      </c>
    </row>
    <row r="4660" spans="1:5" x14ac:dyDescent="0.2">
      <c r="A4660" s="1">
        <v>38600</v>
      </c>
      <c r="B4660" t="e">
        <f>NA()</f>
        <v>#N/A</v>
      </c>
      <c r="C4660">
        <f>14.6156</f>
        <v>14.615600000000001</v>
      </c>
      <c r="D4660">
        <f>10.48</f>
        <v>10.48</v>
      </c>
      <c r="E4660" t="e">
        <f>NA()</f>
        <v>#N/A</v>
      </c>
    </row>
    <row r="4661" spans="1:5" x14ac:dyDescent="0.2">
      <c r="A4661" s="1">
        <v>38597</v>
      </c>
      <c r="B4661">
        <f>13.57</f>
        <v>13.57</v>
      </c>
      <c r="C4661">
        <f>15.023</f>
        <v>15.023</v>
      </c>
      <c r="D4661">
        <f>10.68</f>
        <v>10.68</v>
      </c>
      <c r="E4661" t="e">
        <f>NA()</f>
        <v>#N/A</v>
      </c>
    </row>
    <row r="4662" spans="1:5" x14ac:dyDescent="0.2">
      <c r="A4662" s="1">
        <v>38596</v>
      </c>
      <c r="B4662">
        <f>13.15</f>
        <v>13.15</v>
      </c>
      <c r="C4662">
        <f>14.7469</f>
        <v>14.7469</v>
      </c>
      <c r="D4662">
        <f>10.65</f>
        <v>10.65</v>
      </c>
      <c r="E4662" t="e">
        <f>NA()</f>
        <v>#N/A</v>
      </c>
    </row>
    <row r="4663" spans="1:5" x14ac:dyDescent="0.2">
      <c r="A4663" s="1">
        <v>38595</v>
      </c>
      <c r="B4663">
        <f>12.6</f>
        <v>12.6</v>
      </c>
      <c r="C4663">
        <f>15.1539</f>
        <v>15.1539</v>
      </c>
      <c r="D4663">
        <f>11.56</f>
        <v>11.56</v>
      </c>
      <c r="E4663" t="e">
        <f>NA()</f>
        <v>#N/A</v>
      </c>
    </row>
    <row r="4664" spans="1:5" x14ac:dyDescent="0.2">
      <c r="A4664" s="1">
        <v>38594</v>
      </c>
      <c r="B4664">
        <f>13.65</f>
        <v>13.65</v>
      </c>
      <c r="C4664">
        <f>15.9397</f>
        <v>15.9397</v>
      </c>
      <c r="D4664">
        <f>12.22</f>
        <v>12.22</v>
      </c>
      <c r="E4664" t="e">
        <f>NA()</f>
        <v>#N/A</v>
      </c>
    </row>
    <row r="4665" spans="1:5" x14ac:dyDescent="0.2">
      <c r="A4665" s="1">
        <v>38593</v>
      </c>
      <c r="B4665">
        <f>13.52</f>
        <v>13.52</v>
      </c>
      <c r="C4665">
        <f>16.6678</f>
        <v>16.6678</v>
      </c>
      <c r="D4665" t="e">
        <f>NA()</f>
        <v>#N/A</v>
      </c>
      <c r="E4665" t="e">
        <f>NA()</f>
        <v>#N/A</v>
      </c>
    </row>
    <row r="4666" spans="1:5" x14ac:dyDescent="0.2">
      <c r="A4666" s="1">
        <v>38590</v>
      </c>
      <c r="B4666">
        <f>13.72</f>
        <v>13.72</v>
      </c>
      <c r="C4666">
        <f>16.7371</f>
        <v>16.737100000000002</v>
      </c>
      <c r="D4666">
        <f>12.15</f>
        <v>12.15</v>
      </c>
      <c r="E4666" t="e">
        <f>NA()</f>
        <v>#N/A</v>
      </c>
    </row>
    <row r="4667" spans="1:5" x14ac:dyDescent="0.2">
      <c r="A4667" s="1">
        <v>38589</v>
      </c>
      <c r="B4667">
        <f>13.73</f>
        <v>13.73</v>
      </c>
      <c r="C4667">
        <f>15.8729</f>
        <v>15.8729</v>
      </c>
      <c r="D4667">
        <f>12.16</f>
        <v>12.16</v>
      </c>
      <c r="E4667" t="e">
        <f>NA()</f>
        <v>#N/A</v>
      </c>
    </row>
    <row r="4668" spans="1:5" x14ac:dyDescent="0.2">
      <c r="A4668" s="1">
        <v>38588</v>
      </c>
      <c r="B4668">
        <f>14.17</f>
        <v>14.17</v>
      </c>
      <c r="C4668">
        <f>15.3001</f>
        <v>15.3001</v>
      </c>
      <c r="D4668">
        <f>11.84</f>
        <v>11.84</v>
      </c>
      <c r="E4668" t="e">
        <f>NA()</f>
        <v>#N/A</v>
      </c>
    </row>
    <row r="4669" spans="1:5" x14ac:dyDescent="0.2">
      <c r="A4669" s="1">
        <v>38587</v>
      </c>
      <c r="B4669">
        <f>13.34</f>
        <v>13.34</v>
      </c>
      <c r="C4669">
        <f>15.3299</f>
        <v>15.3299</v>
      </c>
      <c r="D4669">
        <f>11.66</f>
        <v>11.66</v>
      </c>
      <c r="E4669" t="e">
        <f>NA()</f>
        <v>#N/A</v>
      </c>
    </row>
    <row r="4670" spans="1:5" x14ac:dyDescent="0.2">
      <c r="A4670" s="1">
        <v>38586</v>
      </c>
      <c r="B4670">
        <f>13.42</f>
        <v>13.42</v>
      </c>
      <c r="C4670">
        <f>14.7976</f>
        <v>14.797599999999999</v>
      </c>
      <c r="D4670">
        <f>11.26</f>
        <v>11.26</v>
      </c>
      <c r="E4670" t="e">
        <f>NA()</f>
        <v>#N/A</v>
      </c>
    </row>
    <row r="4671" spans="1:5" x14ac:dyDescent="0.2">
      <c r="A4671" s="1">
        <v>38583</v>
      </c>
      <c r="B4671">
        <f>13.42</f>
        <v>13.42</v>
      </c>
      <c r="C4671">
        <f>14.7124</f>
        <v>14.712400000000001</v>
      </c>
      <c r="D4671">
        <f>11.66</f>
        <v>11.66</v>
      </c>
      <c r="E4671" t="e">
        <f>NA()</f>
        <v>#N/A</v>
      </c>
    </row>
    <row r="4672" spans="1:5" x14ac:dyDescent="0.2">
      <c r="A4672" s="1">
        <v>38582</v>
      </c>
      <c r="B4672">
        <f>13.42</f>
        <v>13.42</v>
      </c>
      <c r="C4672">
        <f>15.7719</f>
        <v>15.7719</v>
      </c>
      <c r="D4672">
        <f>12.06</f>
        <v>12.06</v>
      </c>
      <c r="E4672" t="e">
        <f>NA()</f>
        <v>#N/A</v>
      </c>
    </row>
    <row r="4673" spans="1:5" x14ac:dyDescent="0.2">
      <c r="A4673" s="1">
        <v>38581</v>
      </c>
      <c r="B4673">
        <f>13.3</f>
        <v>13.3</v>
      </c>
      <c r="C4673">
        <f>15.9175</f>
        <v>15.9175</v>
      </c>
      <c r="D4673">
        <f>11.97</f>
        <v>11.97</v>
      </c>
      <c r="E4673" t="e">
        <f>NA()</f>
        <v>#N/A</v>
      </c>
    </row>
    <row r="4674" spans="1:5" x14ac:dyDescent="0.2">
      <c r="A4674" s="1">
        <v>38580</v>
      </c>
      <c r="B4674">
        <f>13.52</f>
        <v>13.52</v>
      </c>
      <c r="C4674">
        <f>15.6063</f>
        <v>15.606299999999999</v>
      </c>
      <c r="D4674">
        <f>11.47</f>
        <v>11.47</v>
      </c>
      <c r="E4674" t="e">
        <f>NA()</f>
        <v>#N/A</v>
      </c>
    </row>
    <row r="4675" spans="1:5" x14ac:dyDescent="0.2">
      <c r="A4675" s="1">
        <v>38579</v>
      </c>
      <c r="B4675">
        <f>12.26</f>
        <v>12.26</v>
      </c>
      <c r="C4675">
        <f>15.3025</f>
        <v>15.3025</v>
      </c>
      <c r="D4675">
        <f>11.12</f>
        <v>11.12</v>
      </c>
      <c r="E4675" t="e">
        <f>NA()</f>
        <v>#N/A</v>
      </c>
    </row>
    <row r="4676" spans="1:5" x14ac:dyDescent="0.2">
      <c r="A4676" s="1">
        <v>38576</v>
      </c>
      <c r="B4676">
        <f>12.74</f>
        <v>12.74</v>
      </c>
      <c r="C4676">
        <f>14.9645</f>
        <v>14.964499999999999</v>
      </c>
      <c r="D4676">
        <f>11.01</f>
        <v>11.01</v>
      </c>
      <c r="E4676" t="e">
        <f>NA()</f>
        <v>#N/A</v>
      </c>
    </row>
    <row r="4677" spans="1:5" x14ac:dyDescent="0.2">
      <c r="A4677" s="1">
        <v>38575</v>
      </c>
      <c r="B4677">
        <f>12.42</f>
        <v>12.42</v>
      </c>
      <c r="C4677">
        <f>14.7486</f>
        <v>14.7486</v>
      </c>
      <c r="D4677">
        <f>10.6</f>
        <v>10.6</v>
      </c>
      <c r="E4677" t="e">
        <f>NA()</f>
        <v>#N/A</v>
      </c>
    </row>
    <row r="4678" spans="1:5" x14ac:dyDescent="0.2">
      <c r="A4678" s="1">
        <v>38574</v>
      </c>
      <c r="B4678">
        <f>12.38</f>
        <v>12.38</v>
      </c>
      <c r="C4678">
        <f>13.9786</f>
        <v>13.9786</v>
      </c>
      <c r="D4678">
        <f>10.11</f>
        <v>10.11</v>
      </c>
      <c r="E4678" t="e">
        <f>NA()</f>
        <v>#N/A</v>
      </c>
    </row>
    <row r="4679" spans="1:5" x14ac:dyDescent="0.2">
      <c r="A4679" s="1">
        <v>38573</v>
      </c>
      <c r="B4679">
        <f>12.4</f>
        <v>12.4</v>
      </c>
      <c r="C4679">
        <f>14.4624</f>
        <v>14.462400000000001</v>
      </c>
      <c r="D4679">
        <f>10.64</f>
        <v>10.64</v>
      </c>
      <c r="E4679" t="e">
        <f>NA()</f>
        <v>#N/A</v>
      </c>
    </row>
    <row r="4680" spans="1:5" x14ac:dyDescent="0.2">
      <c r="A4680" s="1">
        <v>38572</v>
      </c>
      <c r="B4680">
        <f>13.21</f>
        <v>13.21</v>
      </c>
      <c r="C4680">
        <f>15.2119</f>
        <v>15.2119</v>
      </c>
      <c r="D4680">
        <f>11.17</f>
        <v>11.17</v>
      </c>
      <c r="E4680" t="e">
        <f>NA()</f>
        <v>#N/A</v>
      </c>
    </row>
    <row r="4681" spans="1:5" x14ac:dyDescent="0.2">
      <c r="A4681" s="1">
        <v>38569</v>
      </c>
      <c r="B4681">
        <f>12.48</f>
        <v>12.48</v>
      </c>
      <c r="C4681">
        <f>14.9563</f>
        <v>14.956300000000001</v>
      </c>
      <c r="D4681">
        <f>11.08</f>
        <v>11.08</v>
      </c>
      <c r="E4681" t="e">
        <f>NA()</f>
        <v>#N/A</v>
      </c>
    </row>
    <row r="4682" spans="1:5" x14ac:dyDescent="0.2">
      <c r="A4682" s="1">
        <v>38568</v>
      </c>
      <c r="B4682">
        <f>12.52</f>
        <v>12.52</v>
      </c>
      <c r="C4682">
        <f>14.1573</f>
        <v>14.157299999999999</v>
      </c>
      <c r="D4682">
        <f>10.34</f>
        <v>10.34</v>
      </c>
      <c r="E4682" t="e">
        <f>NA()</f>
        <v>#N/A</v>
      </c>
    </row>
    <row r="4683" spans="1:5" x14ac:dyDescent="0.2">
      <c r="A4683" s="1">
        <v>38567</v>
      </c>
      <c r="B4683">
        <f>11.83</f>
        <v>11.83</v>
      </c>
      <c r="C4683">
        <f>13.3723</f>
        <v>13.372299999999999</v>
      </c>
      <c r="D4683">
        <f>10.22</f>
        <v>10.220000000000001</v>
      </c>
      <c r="E4683" t="e">
        <f>NA()</f>
        <v>#N/A</v>
      </c>
    </row>
    <row r="4684" spans="1:5" x14ac:dyDescent="0.2">
      <c r="A4684" s="1">
        <v>38566</v>
      </c>
      <c r="B4684">
        <f>11.75</f>
        <v>11.75</v>
      </c>
      <c r="C4684">
        <f>12.809</f>
        <v>12.808999999999999</v>
      </c>
      <c r="D4684">
        <f>9.93</f>
        <v>9.93</v>
      </c>
      <c r="E4684" t="e">
        <f>NA()</f>
        <v>#N/A</v>
      </c>
    </row>
    <row r="4685" spans="1:5" x14ac:dyDescent="0.2">
      <c r="A4685" s="1">
        <v>38565</v>
      </c>
      <c r="B4685">
        <f>12.08</f>
        <v>12.08</v>
      </c>
      <c r="C4685">
        <f>13.5152</f>
        <v>13.5152</v>
      </c>
      <c r="D4685">
        <f>10.54</f>
        <v>10.54</v>
      </c>
      <c r="E4685" t="e">
        <f>NA()</f>
        <v>#N/A</v>
      </c>
    </row>
    <row r="4686" spans="1:5" x14ac:dyDescent="0.2">
      <c r="A4686" s="1">
        <v>38562</v>
      </c>
      <c r="B4686">
        <f>11.57</f>
        <v>11.57</v>
      </c>
      <c r="C4686">
        <f>13.2763</f>
        <v>13.276300000000001</v>
      </c>
      <c r="D4686">
        <f>10.46</f>
        <v>10.46</v>
      </c>
      <c r="E4686" t="e">
        <f>NA()</f>
        <v>#N/A</v>
      </c>
    </row>
    <row r="4687" spans="1:5" x14ac:dyDescent="0.2">
      <c r="A4687" s="1">
        <v>38561</v>
      </c>
      <c r="B4687">
        <f>10.52</f>
        <v>10.52</v>
      </c>
      <c r="C4687">
        <f>12.9713</f>
        <v>12.971299999999999</v>
      </c>
      <c r="D4687">
        <f>10.29</f>
        <v>10.29</v>
      </c>
      <c r="E4687" t="e">
        <f>NA()</f>
        <v>#N/A</v>
      </c>
    </row>
    <row r="4688" spans="1:5" x14ac:dyDescent="0.2">
      <c r="A4688" s="1">
        <v>38560</v>
      </c>
      <c r="B4688">
        <f>10.36</f>
        <v>10.36</v>
      </c>
      <c r="C4688">
        <f>12.8418</f>
        <v>12.841799999999999</v>
      </c>
      <c r="D4688">
        <f>10.19</f>
        <v>10.19</v>
      </c>
      <c r="E4688" t="e">
        <f>NA()</f>
        <v>#N/A</v>
      </c>
    </row>
    <row r="4689" spans="1:5" x14ac:dyDescent="0.2">
      <c r="A4689" s="1">
        <v>38559</v>
      </c>
      <c r="B4689">
        <f>10.99</f>
        <v>10.99</v>
      </c>
      <c r="C4689">
        <f>13.3918</f>
        <v>13.3918</v>
      </c>
      <c r="D4689">
        <f>10.52</f>
        <v>10.52</v>
      </c>
      <c r="E4689" t="e">
        <f>NA()</f>
        <v>#N/A</v>
      </c>
    </row>
    <row r="4690" spans="1:5" x14ac:dyDescent="0.2">
      <c r="A4690" s="1">
        <v>38558</v>
      </c>
      <c r="B4690">
        <f>11.1</f>
        <v>11.1</v>
      </c>
      <c r="C4690">
        <f>14.1148</f>
        <v>14.114800000000001</v>
      </c>
      <c r="D4690">
        <f>10.89</f>
        <v>10.89</v>
      </c>
      <c r="E4690" t="e">
        <f>NA()</f>
        <v>#N/A</v>
      </c>
    </row>
    <row r="4691" spans="1:5" x14ac:dyDescent="0.2">
      <c r="A4691" s="1">
        <v>38555</v>
      </c>
      <c r="B4691">
        <f>10.52</f>
        <v>10.52</v>
      </c>
      <c r="C4691">
        <f>13.65</f>
        <v>13.65</v>
      </c>
      <c r="D4691">
        <f>10.94</f>
        <v>10.94</v>
      </c>
      <c r="E4691" t="e">
        <f>NA()</f>
        <v>#N/A</v>
      </c>
    </row>
    <row r="4692" spans="1:5" x14ac:dyDescent="0.2">
      <c r="A4692" s="1">
        <v>38554</v>
      </c>
      <c r="B4692">
        <f>10.97</f>
        <v>10.97</v>
      </c>
      <c r="C4692">
        <f>13.7472</f>
        <v>13.747199999999999</v>
      </c>
      <c r="D4692">
        <f>11.26</f>
        <v>11.26</v>
      </c>
      <c r="E4692" t="e">
        <f>NA()</f>
        <v>#N/A</v>
      </c>
    </row>
    <row r="4693" spans="1:5" x14ac:dyDescent="0.2">
      <c r="A4693" s="1">
        <v>38553</v>
      </c>
      <c r="B4693">
        <f>10.23</f>
        <v>10.23</v>
      </c>
      <c r="C4693">
        <f>13.0295</f>
        <v>13.029500000000001</v>
      </c>
      <c r="D4693">
        <f>11.33</f>
        <v>11.33</v>
      </c>
      <c r="E4693" t="e">
        <f>NA()</f>
        <v>#N/A</v>
      </c>
    </row>
    <row r="4694" spans="1:5" x14ac:dyDescent="0.2">
      <c r="A4694" s="1">
        <v>38552</v>
      </c>
      <c r="B4694">
        <f>10.45</f>
        <v>10.45</v>
      </c>
      <c r="C4694">
        <f>12.498</f>
        <v>12.497999999999999</v>
      </c>
      <c r="D4694">
        <f>11.47</f>
        <v>11.47</v>
      </c>
      <c r="E4694" t="e">
        <f>NA()</f>
        <v>#N/A</v>
      </c>
    </row>
    <row r="4695" spans="1:5" x14ac:dyDescent="0.2">
      <c r="A4695" s="1">
        <v>38551</v>
      </c>
      <c r="B4695">
        <f>10.77</f>
        <v>10.77</v>
      </c>
      <c r="C4695">
        <f>12.6721</f>
        <v>12.6721</v>
      </c>
      <c r="D4695">
        <f>11.7</f>
        <v>11.7</v>
      </c>
      <c r="E4695" t="e">
        <f>NA()</f>
        <v>#N/A</v>
      </c>
    </row>
    <row r="4696" spans="1:5" x14ac:dyDescent="0.2">
      <c r="A4696" s="1">
        <v>38548</v>
      </c>
      <c r="B4696">
        <f>10.33</f>
        <v>10.33</v>
      </c>
      <c r="C4696">
        <f>12.7737</f>
        <v>12.7737</v>
      </c>
      <c r="D4696">
        <f>12.09</f>
        <v>12.09</v>
      </c>
      <c r="E4696" t="e">
        <f>NA()</f>
        <v>#N/A</v>
      </c>
    </row>
    <row r="4697" spans="1:5" x14ac:dyDescent="0.2">
      <c r="A4697" s="1">
        <v>38547</v>
      </c>
      <c r="B4697">
        <f>10.81</f>
        <v>10.81</v>
      </c>
      <c r="C4697">
        <f>12.9773</f>
        <v>12.9773</v>
      </c>
      <c r="D4697">
        <f>11.2</f>
        <v>11.2</v>
      </c>
      <c r="E4697" t="e">
        <f>NA()</f>
        <v>#N/A</v>
      </c>
    </row>
    <row r="4698" spans="1:5" x14ac:dyDescent="0.2">
      <c r="A4698" s="1">
        <v>38546</v>
      </c>
      <c r="B4698">
        <f>10.84</f>
        <v>10.84</v>
      </c>
      <c r="C4698">
        <f>13.1659</f>
        <v>13.165900000000001</v>
      </c>
      <c r="D4698">
        <f>11.27</f>
        <v>11.27</v>
      </c>
      <c r="E4698" t="e">
        <f>NA()</f>
        <v>#N/A</v>
      </c>
    </row>
    <row r="4699" spans="1:5" x14ac:dyDescent="0.2">
      <c r="A4699" s="1">
        <v>38545</v>
      </c>
      <c r="B4699">
        <f>10.95</f>
        <v>10.95</v>
      </c>
      <c r="C4699">
        <f>13.8737</f>
        <v>13.873699999999999</v>
      </c>
      <c r="D4699">
        <f>11.79</f>
        <v>11.79</v>
      </c>
      <c r="E4699" t="e">
        <f>NA()</f>
        <v>#N/A</v>
      </c>
    </row>
    <row r="4700" spans="1:5" x14ac:dyDescent="0.2">
      <c r="A4700" s="1">
        <v>38544</v>
      </c>
      <c r="B4700">
        <f>11.28</f>
        <v>11.28</v>
      </c>
      <c r="C4700">
        <f>13.1677</f>
        <v>13.1677</v>
      </c>
      <c r="D4700">
        <f>11.05</f>
        <v>11.05</v>
      </c>
      <c r="E4700" t="e">
        <f>NA()</f>
        <v>#N/A</v>
      </c>
    </row>
    <row r="4701" spans="1:5" x14ac:dyDescent="0.2">
      <c r="A4701" s="1">
        <v>38541</v>
      </c>
      <c r="B4701">
        <f>11.45</f>
        <v>11.45</v>
      </c>
      <c r="C4701">
        <f>12.9572</f>
        <v>12.9572</v>
      </c>
      <c r="D4701">
        <f>10.42</f>
        <v>10.42</v>
      </c>
      <c r="E4701" t="e">
        <f>NA()</f>
        <v>#N/A</v>
      </c>
    </row>
    <row r="4702" spans="1:5" x14ac:dyDescent="0.2">
      <c r="A4702" s="1">
        <v>38540</v>
      </c>
      <c r="B4702">
        <f>12.49</f>
        <v>12.49</v>
      </c>
      <c r="C4702">
        <f>15.7155</f>
        <v>15.7155</v>
      </c>
      <c r="D4702">
        <f>12.5</f>
        <v>12.5</v>
      </c>
      <c r="E4702" t="e">
        <f>NA()</f>
        <v>#N/A</v>
      </c>
    </row>
    <row r="4703" spans="1:5" x14ac:dyDescent="0.2">
      <c r="A4703" s="1">
        <v>38539</v>
      </c>
      <c r="B4703">
        <f>12.27</f>
        <v>12.27</v>
      </c>
      <c r="C4703">
        <f>12.2459</f>
        <v>12.245900000000001</v>
      </c>
      <c r="D4703">
        <f>10.12</f>
        <v>10.119999999999999</v>
      </c>
      <c r="E4703" t="e">
        <f>NA()</f>
        <v>#N/A</v>
      </c>
    </row>
    <row r="4704" spans="1:5" x14ac:dyDescent="0.2">
      <c r="A4704" s="1">
        <v>38538</v>
      </c>
      <c r="B4704">
        <f>11.68</f>
        <v>11.68</v>
      </c>
      <c r="C4704">
        <f>12.5991</f>
        <v>12.5991</v>
      </c>
      <c r="D4704">
        <f>10.18</f>
        <v>10.18</v>
      </c>
      <c r="E4704" t="e">
        <f>NA()</f>
        <v>#N/A</v>
      </c>
    </row>
    <row r="4705" spans="1:5" x14ac:dyDescent="0.2">
      <c r="A4705" s="1">
        <v>38537</v>
      </c>
      <c r="B4705" t="e">
        <f>NA()</f>
        <v>#N/A</v>
      </c>
      <c r="C4705">
        <f>12.0091</f>
        <v>12.0091</v>
      </c>
      <c r="D4705">
        <f>9.72</f>
        <v>9.7200000000000006</v>
      </c>
      <c r="E4705" t="e">
        <f>NA()</f>
        <v>#N/A</v>
      </c>
    </row>
    <row r="4706" spans="1:5" x14ac:dyDescent="0.2">
      <c r="A4706" s="1">
        <v>38534</v>
      </c>
      <c r="B4706">
        <f>11.4</f>
        <v>11.4</v>
      </c>
      <c r="C4706">
        <f>11.9381</f>
        <v>11.9381</v>
      </c>
      <c r="D4706">
        <f>9.73</f>
        <v>9.73</v>
      </c>
      <c r="E4706" t="e">
        <f>NA()</f>
        <v>#N/A</v>
      </c>
    </row>
    <row r="4707" spans="1:5" x14ac:dyDescent="0.2">
      <c r="A4707" s="1">
        <v>38533</v>
      </c>
      <c r="B4707">
        <f>12.04</f>
        <v>12.04</v>
      </c>
      <c r="C4707">
        <f>12.3777</f>
        <v>12.377700000000001</v>
      </c>
      <c r="D4707">
        <f>9.94</f>
        <v>9.94</v>
      </c>
      <c r="E4707" t="e">
        <f>NA()</f>
        <v>#N/A</v>
      </c>
    </row>
    <row r="4708" spans="1:5" x14ac:dyDescent="0.2">
      <c r="A4708" s="1">
        <v>38532</v>
      </c>
      <c r="B4708">
        <f>11.77</f>
        <v>11.77</v>
      </c>
      <c r="C4708">
        <f>12.2629</f>
        <v>12.2629</v>
      </c>
      <c r="D4708">
        <f>9.98</f>
        <v>9.98</v>
      </c>
      <c r="E4708" t="e">
        <f>NA()</f>
        <v>#N/A</v>
      </c>
    </row>
    <row r="4709" spans="1:5" x14ac:dyDescent="0.2">
      <c r="A4709" s="1">
        <v>38531</v>
      </c>
      <c r="B4709">
        <f>11.58</f>
        <v>11.58</v>
      </c>
      <c r="C4709">
        <f>12.6795</f>
        <v>12.679500000000001</v>
      </c>
      <c r="D4709">
        <f>10.11</f>
        <v>10.11</v>
      </c>
      <c r="E4709" t="e">
        <f>NA()</f>
        <v>#N/A</v>
      </c>
    </row>
    <row r="4710" spans="1:5" x14ac:dyDescent="0.2">
      <c r="A4710" s="1">
        <v>38530</v>
      </c>
      <c r="B4710">
        <f>12.52</f>
        <v>12.52</v>
      </c>
      <c r="C4710">
        <f>13.3037</f>
        <v>13.303699999999999</v>
      </c>
      <c r="D4710">
        <f>11.19</f>
        <v>11.19</v>
      </c>
      <c r="E4710" t="e">
        <f>NA()</f>
        <v>#N/A</v>
      </c>
    </row>
    <row r="4711" spans="1:5" x14ac:dyDescent="0.2">
      <c r="A4711" s="1">
        <v>38527</v>
      </c>
      <c r="B4711">
        <f>12.18</f>
        <v>12.18</v>
      </c>
      <c r="C4711">
        <f>12.5237</f>
        <v>12.5237</v>
      </c>
      <c r="D4711">
        <f>10.47</f>
        <v>10.47</v>
      </c>
      <c r="E4711" t="e">
        <f>NA()</f>
        <v>#N/A</v>
      </c>
    </row>
    <row r="4712" spans="1:5" x14ac:dyDescent="0.2">
      <c r="A4712" s="1">
        <v>38526</v>
      </c>
      <c r="B4712">
        <f>12.13</f>
        <v>12.13</v>
      </c>
      <c r="C4712">
        <f>11.9247</f>
        <v>11.9247</v>
      </c>
      <c r="D4712">
        <f>9.4</f>
        <v>9.4</v>
      </c>
      <c r="E4712" t="e">
        <f>NA()</f>
        <v>#N/A</v>
      </c>
    </row>
    <row r="4713" spans="1:5" x14ac:dyDescent="0.2">
      <c r="A4713" s="1">
        <v>38525</v>
      </c>
      <c r="B4713">
        <f>11.05</f>
        <v>11.05</v>
      </c>
      <c r="C4713">
        <f>12.3862</f>
        <v>12.386200000000001</v>
      </c>
      <c r="D4713">
        <f>9.85</f>
        <v>9.85</v>
      </c>
      <c r="E4713" t="e">
        <f>NA()</f>
        <v>#N/A</v>
      </c>
    </row>
    <row r="4714" spans="1:5" x14ac:dyDescent="0.2">
      <c r="A4714" s="1">
        <v>38524</v>
      </c>
      <c r="B4714">
        <f>11.08</f>
        <v>11.08</v>
      </c>
      <c r="C4714">
        <f>12.4507</f>
        <v>12.450699999999999</v>
      </c>
      <c r="D4714">
        <f>10.16</f>
        <v>10.16</v>
      </c>
      <c r="E4714" t="e">
        <f>NA()</f>
        <v>#N/A</v>
      </c>
    </row>
    <row r="4715" spans="1:5" x14ac:dyDescent="0.2">
      <c r="A4715" s="1">
        <v>38523</v>
      </c>
      <c r="B4715">
        <f>11.47</f>
        <v>11.47</v>
      </c>
      <c r="C4715">
        <f>12.9133</f>
        <v>12.9133</v>
      </c>
      <c r="D4715">
        <f>10.33</f>
        <v>10.33</v>
      </c>
      <c r="E4715" t="e">
        <f>NA()</f>
        <v>#N/A</v>
      </c>
    </row>
    <row r="4716" spans="1:5" x14ac:dyDescent="0.2">
      <c r="A4716" s="1">
        <v>38520</v>
      </c>
      <c r="B4716">
        <f>11.48</f>
        <v>11.48</v>
      </c>
      <c r="C4716">
        <f>12.5633</f>
        <v>12.5633</v>
      </c>
      <c r="D4716">
        <f>10.33</f>
        <v>10.33</v>
      </c>
      <c r="E4716" t="e">
        <f>NA()</f>
        <v>#N/A</v>
      </c>
    </row>
    <row r="4717" spans="1:5" x14ac:dyDescent="0.2">
      <c r="A4717" s="1">
        <v>38519</v>
      </c>
      <c r="B4717">
        <f>11.15</f>
        <v>11.15</v>
      </c>
      <c r="C4717">
        <f>13.0157</f>
        <v>13.015700000000001</v>
      </c>
      <c r="D4717">
        <f>10.52</f>
        <v>10.52</v>
      </c>
      <c r="E4717" t="e">
        <f>NA()</f>
        <v>#N/A</v>
      </c>
    </row>
    <row r="4718" spans="1:5" x14ac:dyDescent="0.2">
      <c r="A4718" s="1">
        <v>38518</v>
      </c>
      <c r="B4718">
        <f>11.46</f>
        <v>11.46</v>
      </c>
      <c r="C4718">
        <f>13.4793</f>
        <v>13.4793</v>
      </c>
      <c r="D4718">
        <f>10.43</f>
        <v>10.43</v>
      </c>
      <c r="E4718" t="e">
        <f>NA()</f>
        <v>#N/A</v>
      </c>
    </row>
    <row r="4719" spans="1:5" x14ac:dyDescent="0.2">
      <c r="A4719" s="1">
        <v>38517</v>
      </c>
      <c r="B4719">
        <f>11.79</f>
        <v>11.79</v>
      </c>
      <c r="C4719">
        <f>12.3775</f>
        <v>12.3775</v>
      </c>
      <c r="D4719">
        <f>9.7</f>
        <v>9.6999999999999993</v>
      </c>
      <c r="E4719" t="e">
        <f>NA()</f>
        <v>#N/A</v>
      </c>
    </row>
    <row r="4720" spans="1:5" x14ac:dyDescent="0.2">
      <c r="A4720" s="1">
        <v>38516</v>
      </c>
      <c r="B4720">
        <f>11.65</f>
        <v>11.65</v>
      </c>
      <c r="C4720">
        <f>12.7563</f>
        <v>12.7563</v>
      </c>
      <c r="D4720">
        <f>10.09</f>
        <v>10.09</v>
      </c>
      <c r="E4720" t="e">
        <f>NA()</f>
        <v>#N/A</v>
      </c>
    </row>
    <row r="4721" spans="1:5" x14ac:dyDescent="0.2">
      <c r="A4721" s="1">
        <v>38513</v>
      </c>
      <c r="B4721">
        <f>11.96</f>
        <v>11.96</v>
      </c>
      <c r="C4721">
        <f>12.7016</f>
        <v>12.701599999999999</v>
      </c>
      <c r="D4721">
        <f>9.95</f>
        <v>9.9499999999999993</v>
      </c>
      <c r="E4721" t="e">
        <f>NA()</f>
        <v>#N/A</v>
      </c>
    </row>
    <row r="4722" spans="1:5" x14ac:dyDescent="0.2">
      <c r="A4722" s="1">
        <v>38512</v>
      </c>
      <c r="B4722">
        <f>12.08</f>
        <v>12.08</v>
      </c>
      <c r="C4722">
        <f>13.22</f>
        <v>13.22</v>
      </c>
      <c r="D4722">
        <f>10.12</f>
        <v>10.119999999999999</v>
      </c>
      <c r="E4722" t="e">
        <f>NA()</f>
        <v>#N/A</v>
      </c>
    </row>
    <row r="4723" spans="1:5" x14ac:dyDescent="0.2">
      <c r="A4723" s="1">
        <v>38511</v>
      </c>
      <c r="B4723">
        <f>12.7</f>
        <v>12.7</v>
      </c>
      <c r="C4723">
        <f>12.9902</f>
        <v>12.9902</v>
      </c>
      <c r="D4723">
        <f>10.42</f>
        <v>10.42</v>
      </c>
      <c r="E4723" t="e">
        <f>NA()</f>
        <v>#N/A</v>
      </c>
    </row>
    <row r="4724" spans="1:5" x14ac:dyDescent="0.2">
      <c r="A4724" s="1">
        <v>38510</v>
      </c>
      <c r="B4724">
        <f>12.39</f>
        <v>12.39</v>
      </c>
      <c r="C4724">
        <f>12.6671</f>
        <v>12.6671</v>
      </c>
      <c r="D4724">
        <f>9.63</f>
        <v>9.6300000000000008</v>
      </c>
      <c r="E4724" t="e">
        <f>NA()</f>
        <v>#N/A</v>
      </c>
    </row>
    <row r="4725" spans="1:5" x14ac:dyDescent="0.2">
      <c r="A4725" s="1">
        <v>38509</v>
      </c>
      <c r="B4725">
        <f>12.28</f>
        <v>12.28</v>
      </c>
      <c r="C4725">
        <f>13.3629</f>
        <v>13.3629</v>
      </c>
      <c r="D4725">
        <f>10.13</f>
        <v>10.130000000000001</v>
      </c>
      <c r="E4725" t="e">
        <f>NA()</f>
        <v>#N/A</v>
      </c>
    </row>
    <row r="4726" spans="1:5" x14ac:dyDescent="0.2">
      <c r="A4726" s="1">
        <v>38506</v>
      </c>
      <c r="B4726">
        <f>12.15</f>
        <v>12.15</v>
      </c>
      <c r="C4726">
        <f>12.9397</f>
        <v>12.9397</v>
      </c>
      <c r="D4726">
        <f>9.85</f>
        <v>9.85</v>
      </c>
      <c r="E4726" t="e">
        <f>NA()</f>
        <v>#N/A</v>
      </c>
    </row>
    <row r="4727" spans="1:5" x14ac:dyDescent="0.2">
      <c r="A4727" s="1">
        <v>38505</v>
      </c>
      <c r="B4727">
        <f>11.84</f>
        <v>11.84</v>
      </c>
      <c r="C4727">
        <f>12.8725</f>
        <v>12.8725</v>
      </c>
      <c r="D4727">
        <f>10</f>
        <v>10</v>
      </c>
      <c r="E4727" t="e">
        <f>NA()</f>
        <v>#N/A</v>
      </c>
    </row>
    <row r="4728" spans="1:5" x14ac:dyDescent="0.2">
      <c r="A4728" s="1">
        <v>38504</v>
      </c>
      <c r="B4728">
        <f>12.36</f>
        <v>12.36</v>
      </c>
      <c r="C4728">
        <f>12.9959</f>
        <v>12.995900000000001</v>
      </c>
      <c r="D4728">
        <f>9.98</f>
        <v>9.98</v>
      </c>
      <c r="E4728" t="e">
        <f>NA()</f>
        <v>#N/A</v>
      </c>
    </row>
    <row r="4729" spans="1:5" x14ac:dyDescent="0.2">
      <c r="A4729" s="1">
        <v>38503</v>
      </c>
      <c r="B4729">
        <f>13.29</f>
        <v>13.29</v>
      </c>
      <c r="C4729">
        <f>13.5138</f>
        <v>13.5138</v>
      </c>
      <c r="D4729">
        <f>10.61</f>
        <v>10.61</v>
      </c>
      <c r="E4729" t="e">
        <f>NA()</f>
        <v>#N/A</v>
      </c>
    </row>
    <row r="4730" spans="1:5" x14ac:dyDescent="0.2">
      <c r="A4730" s="1">
        <v>38502</v>
      </c>
      <c r="B4730" t="e">
        <f>NA()</f>
        <v>#N/A</v>
      </c>
      <c r="C4730">
        <f>12.8239</f>
        <v>12.8239</v>
      </c>
      <c r="D4730" t="e">
        <f>NA()</f>
        <v>#N/A</v>
      </c>
      <c r="E4730" t="e">
        <f>NA()</f>
        <v>#N/A</v>
      </c>
    </row>
    <row r="4731" spans="1:5" x14ac:dyDescent="0.2">
      <c r="A4731" s="1">
        <v>38499</v>
      </c>
      <c r="B4731">
        <f>12.15</f>
        <v>12.15</v>
      </c>
      <c r="C4731">
        <f>12.9451</f>
        <v>12.9451</v>
      </c>
      <c r="D4731">
        <f>10.29</f>
        <v>10.29</v>
      </c>
      <c r="E4731" t="e">
        <f>NA()</f>
        <v>#N/A</v>
      </c>
    </row>
    <row r="4732" spans="1:5" x14ac:dyDescent="0.2">
      <c r="A4732" s="1">
        <v>38498</v>
      </c>
      <c r="B4732">
        <f>12.24</f>
        <v>12.24</v>
      </c>
      <c r="C4732">
        <f>12.7135</f>
        <v>12.7135</v>
      </c>
      <c r="D4732">
        <f>9.9</f>
        <v>9.9</v>
      </c>
      <c r="E4732" t="e">
        <f>NA()</f>
        <v>#N/A</v>
      </c>
    </row>
    <row r="4733" spans="1:5" x14ac:dyDescent="0.2">
      <c r="A4733" s="1">
        <v>38497</v>
      </c>
      <c r="B4733">
        <f>12.58</f>
        <v>12.58</v>
      </c>
      <c r="C4733">
        <f>13.4681</f>
        <v>13.4681</v>
      </c>
      <c r="D4733">
        <f>10.48</f>
        <v>10.48</v>
      </c>
      <c r="E4733" t="e">
        <f>NA()</f>
        <v>#N/A</v>
      </c>
    </row>
    <row r="4734" spans="1:5" x14ac:dyDescent="0.2">
      <c r="A4734" s="1">
        <v>38496</v>
      </c>
      <c r="B4734">
        <f>12.69</f>
        <v>12.69</v>
      </c>
      <c r="C4734">
        <f>13.386</f>
        <v>13.385999999999999</v>
      </c>
      <c r="D4734">
        <f>10.27</f>
        <v>10.27</v>
      </c>
      <c r="E4734" t="e">
        <f>NA()</f>
        <v>#N/A</v>
      </c>
    </row>
    <row r="4735" spans="1:5" x14ac:dyDescent="0.2">
      <c r="A4735" s="1">
        <v>38495</v>
      </c>
      <c r="B4735">
        <f>12.95</f>
        <v>12.95</v>
      </c>
      <c r="C4735">
        <f>13.2149</f>
        <v>13.2149</v>
      </c>
      <c r="D4735">
        <f>10.26</f>
        <v>10.26</v>
      </c>
      <c r="E4735" t="e">
        <f>NA()</f>
        <v>#N/A</v>
      </c>
    </row>
    <row r="4736" spans="1:5" x14ac:dyDescent="0.2">
      <c r="A4736" s="1">
        <v>38492</v>
      </c>
      <c r="B4736">
        <f>13.14</f>
        <v>13.14</v>
      </c>
      <c r="C4736">
        <f>13.5132</f>
        <v>13.513199999999999</v>
      </c>
      <c r="D4736">
        <f>10.32</f>
        <v>10.32</v>
      </c>
      <c r="E4736" t="e">
        <f>NA()</f>
        <v>#N/A</v>
      </c>
    </row>
    <row r="4737" spans="1:5" x14ac:dyDescent="0.2">
      <c r="A4737" s="1">
        <v>38491</v>
      </c>
      <c r="B4737">
        <f>13.32</f>
        <v>13.32</v>
      </c>
      <c r="C4737">
        <f>13.7944</f>
        <v>13.7944</v>
      </c>
      <c r="D4737">
        <f>10.49</f>
        <v>10.49</v>
      </c>
      <c r="E4737" t="e">
        <f>NA()</f>
        <v>#N/A</v>
      </c>
    </row>
    <row r="4738" spans="1:5" x14ac:dyDescent="0.2">
      <c r="A4738" s="1">
        <v>38490</v>
      </c>
      <c r="B4738">
        <f>13.63</f>
        <v>13.63</v>
      </c>
      <c r="C4738">
        <f>14.0947</f>
        <v>14.0947</v>
      </c>
      <c r="D4738">
        <f>11.16</f>
        <v>11.16</v>
      </c>
      <c r="E4738" t="e">
        <f>NA()</f>
        <v>#N/A</v>
      </c>
    </row>
    <row r="4739" spans="1:5" x14ac:dyDescent="0.2">
      <c r="A4739" s="1">
        <v>38489</v>
      </c>
      <c r="B4739">
        <f>14.57</f>
        <v>14.57</v>
      </c>
      <c r="C4739">
        <f>15.6896</f>
        <v>15.6896</v>
      </c>
      <c r="D4739">
        <f>11.94</f>
        <v>11.94</v>
      </c>
      <c r="E4739" t="e">
        <f>NA()</f>
        <v>#N/A</v>
      </c>
    </row>
    <row r="4740" spans="1:5" x14ac:dyDescent="0.2">
      <c r="A4740" s="1">
        <v>38488</v>
      </c>
      <c r="B4740">
        <f>15.68</f>
        <v>15.68</v>
      </c>
      <c r="C4740">
        <f>15.5249</f>
        <v>15.524900000000001</v>
      </c>
      <c r="D4740">
        <f>11.62</f>
        <v>11.62</v>
      </c>
      <c r="E4740" t="e">
        <f>NA()</f>
        <v>#N/A</v>
      </c>
    </row>
    <row r="4741" spans="1:5" x14ac:dyDescent="0.2">
      <c r="A4741" s="1">
        <v>38485</v>
      </c>
      <c r="B4741">
        <f>16.32</f>
        <v>16.32</v>
      </c>
      <c r="C4741">
        <f>15.0693</f>
        <v>15.0693</v>
      </c>
      <c r="D4741">
        <f>10.9</f>
        <v>10.9</v>
      </c>
      <c r="E4741" t="e">
        <f>NA()</f>
        <v>#N/A</v>
      </c>
    </row>
    <row r="4742" spans="1:5" x14ac:dyDescent="0.2">
      <c r="A4742" s="1">
        <v>38484</v>
      </c>
      <c r="B4742">
        <f>16.12</f>
        <v>16.12</v>
      </c>
      <c r="C4742">
        <f>14.8536</f>
        <v>14.8536</v>
      </c>
      <c r="D4742">
        <f>11.16</f>
        <v>11.16</v>
      </c>
      <c r="E4742" t="e">
        <f>NA()</f>
        <v>#N/A</v>
      </c>
    </row>
    <row r="4743" spans="1:5" x14ac:dyDescent="0.2">
      <c r="A4743" s="1">
        <v>38483</v>
      </c>
      <c r="B4743">
        <f>14.45</f>
        <v>14.45</v>
      </c>
      <c r="C4743">
        <f>15.6572</f>
        <v>15.6572</v>
      </c>
      <c r="D4743">
        <f>11.76</f>
        <v>11.76</v>
      </c>
      <c r="E4743" t="e">
        <f>NA()</f>
        <v>#N/A</v>
      </c>
    </row>
    <row r="4744" spans="1:5" x14ac:dyDescent="0.2">
      <c r="A4744" s="1">
        <v>38482</v>
      </c>
      <c r="B4744">
        <f>14.91</f>
        <v>14.91</v>
      </c>
      <c r="C4744">
        <f>15.2831</f>
        <v>15.283099999999999</v>
      </c>
      <c r="D4744">
        <f>11.6</f>
        <v>11.6</v>
      </c>
      <c r="E4744" t="e">
        <f>NA()</f>
        <v>#N/A</v>
      </c>
    </row>
    <row r="4745" spans="1:5" x14ac:dyDescent="0.2">
      <c r="A4745" s="1">
        <v>38481</v>
      </c>
      <c r="B4745">
        <f>13.75</f>
        <v>13.75</v>
      </c>
      <c r="C4745">
        <f>14.2322</f>
        <v>14.232200000000001</v>
      </c>
      <c r="D4745">
        <f>10.7</f>
        <v>10.7</v>
      </c>
      <c r="E4745" t="e">
        <f>NA()</f>
        <v>#N/A</v>
      </c>
    </row>
    <row r="4746" spans="1:5" x14ac:dyDescent="0.2">
      <c r="A4746" s="1">
        <v>38478</v>
      </c>
      <c r="B4746">
        <f>14.05</f>
        <v>14.05</v>
      </c>
      <c r="C4746">
        <f>13.3008</f>
        <v>13.300800000000001</v>
      </c>
      <c r="D4746">
        <f>10.63</f>
        <v>10.63</v>
      </c>
      <c r="E4746" t="e">
        <f>NA()</f>
        <v>#N/A</v>
      </c>
    </row>
    <row r="4747" spans="1:5" x14ac:dyDescent="0.2">
      <c r="A4747" s="1">
        <v>38477</v>
      </c>
      <c r="B4747">
        <f>13.98</f>
        <v>13.98</v>
      </c>
      <c r="C4747">
        <f>13.5342</f>
        <v>13.5342</v>
      </c>
      <c r="D4747">
        <f>10.83</f>
        <v>10.83</v>
      </c>
      <c r="E4747" t="e">
        <f>NA()</f>
        <v>#N/A</v>
      </c>
    </row>
    <row r="4748" spans="1:5" x14ac:dyDescent="0.2">
      <c r="A4748" s="1">
        <v>38476</v>
      </c>
      <c r="B4748">
        <f>13.85</f>
        <v>13.85</v>
      </c>
      <c r="C4748">
        <f>14.3329</f>
        <v>14.3329</v>
      </c>
      <c r="D4748">
        <f>11.61</f>
        <v>11.61</v>
      </c>
      <c r="E4748" t="e">
        <f>NA()</f>
        <v>#N/A</v>
      </c>
    </row>
    <row r="4749" spans="1:5" x14ac:dyDescent="0.2">
      <c r="A4749" s="1">
        <v>38475</v>
      </c>
      <c r="B4749">
        <f>14.53</f>
        <v>14.53</v>
      </c>
      <c r="C4749">
        <f>15.148</f>
        <v>15.148</v>
      </c>
      <c r="D4749">
        <f>11.93</f>
        <v>11.93</v>
      </c>
      <c r="E4749" t="e">
        <f>NA()</f>
        <v>#N/A</v>
      </c>
    </row>
    <row r="4750" spans="1:5" x14ac:dyDescent="0.2">
      <c r="A4750" s="1">
        <v>38474</v>
      </c>
      <c r="B4750">
        <f>15.12</f>
        <v>15.12</v>
      </c>
      <c r="C4750">
        <f>15.9563</f>
        <v>15.956300000000001</v>
      </c>
      <c r="D4750" t="e">
        <f>NA()</f>
        <v>#N/A</v>
      </c>
      <c r="E4750" t="e">
        <f>NA()</f>
        <v>#N/A</v>
      </c>
    </row>
    <row r="4751" spans="1:5" x14ac:dyDescent="0.2">
      <c r="A4751" s="1">
        <v>38471</v>
      </c>
      <c r="B4751">
        <f>15.31</f>
        <v>15.31</v>
      </c>
      <c r="C4751">
        <f>16.792</f>
        <v>16.792000000000002</v>
      </c>
      <c r="D4751">
        <f>12.84</f>
        <v>12.84</v>
      </c>
      <c r="E4751" t="e">
        <f>NA()</f>
        <v>#N/A</v>
      </c>
    </row>
    <row r="4752" spans="1:5" x14ac:dyDescent="0.2">
      <c r="A4752" s="1">
        <v>38470</v>
      </c>
      <c r="B4752">
        <f>16.86</f>
        <v>16.86</v>
      </c>
      <c r="C4752">
        <f>16.5344</f>
        <v>16.534400000000002</v>
      </c>
      <c r="D4752">
        <f>12.6</f>
        <v>12.6</v>
      </c>
      <c r="E4752" t="e">
        <f>NA()</f>
        <v>#N/A</v>
      </c>
    </row>
    <row r="4753" spans="1:5" x14ac:dyDescent="0.2">
      <c r="A4753" s="1">
        <v>38469</v>
      </c>
      <c r="B4753">
        <f>14.87</f>
        <v>14.87</v>
      </c>
      <c r="C4753">
        <f>16.5913</f>
        <v>16.5913</v>
      </c>
      <c r="D4753">
        <f>12.99</f>
        <v>12.99</v>
      </c>
      <c r="E4753" t="e">
        <f>NA()</f>
        <v>#N/A</v>
      </c>
    </row>
    <row r="4754" spans="1:5" x14ac:dyDescent="0.2">
      <c r="A4754" s="1">
        <v>38468</v>
      </c>
      <c r="B4754">
        <f>14.91</f>
        <v>14.91</v>
      </c>
      <c r="C4754">
        <f>15.0498</f>
        <v>15.049799999999999</v>
      </c>
      <c r="D4754">
        <f>12.24</f>
        <v>12.24</v>
      </c>
      <c r="E4754" t="e">
        <f>NA()</f>
        <v>#N/A</v>
      </c>
    </row>
    <row r="4755" spans="1:5" x14ac:dyDescent="0.2">
      <c r="A4755" s="1">
        <v>38467</v>
      </c>
      <c r="B4755">
        <f>14.62</f>
        <v>14.62</v>
      </c>
      <c r="C4755">
        <f>15.1246</f>
        <v>15.124599999999999</v>
      </c>
      <c r="D4755">
        <f>12.22</f>
        <v>12.22</v>
      </c>
      <c r="E4755" t="e">
        <f>NA()</f>
        <v>#N/A</v>
      </c>
    </row>
    <row r="4756" spans="1:5" x14ac:dyDescent="0.2">
      <c r="A4756" s="1">
        <v>38464</v>
      </c>
      <c r="B4756">
        <f>15.38</f>
        <v>15.38</v>
      </c>
      <c r="C4756">
        <f>15.2649</f>
        <v>15.264900000000001</v>
      </c>
      <c r="D4756">
        <f>12.6</f>
        <v>12.6</v>
      </c>
      <c r="E4756" t="e">
        <f>NA()</f>
        <v>#N/A</v>
      </c>
    </row>
    <row r="4757" spans="1:5" x14ac:dyDescent="0.2">
      <c r="A4757" s="1">
        <v>38463</v>
      </c>
      <c r="B4757">
        <f>14.41</f>
        <v>14.41</v>
      </c>
      <c r="C4757">
        <f>16.7983</f>
        <v>16.798300000000001</v>
      </c>
      <c r="D4757">
        <f>13.92</f>
        <v>13.92</v>
      </c>
      <c r="E4757" t="e">
        <f>NA()</f>
        <v>#N/A</v>
      </c>
    </row>
    <row r="4758" spans="1:5" x14ac:dyDescent="0.2">
      <c r="A4758" s="1">
        <v>38462</v>
      </c>
      <c r="B4758">
        <f>16.92</f>
        <v>16.920000000000002</v>
      </c>
      <c r="C4758">
        <f>17.3837</f>
        <v>17.383700000000001</v>
      </c>
      <c r="D4758">
        <f>14.47</f>
        <v>14.47</v>
      </c>
      <c r="E4758" t="e">
        <f>NA()</f>
        <v>#N/A</v>
      </c>
    </row>
    <row r="4759" spans="1:5" x14ac:dyDescent="0.2">
      <c r="A4759" s="1">
        <v>38461</v>
      </c>
      <c r="B4759">
        <f>14.96</f>
        <v>14.96</v>
      </c>
      <c r="C4759">
        <f>17.18</f>
        <v>17.18</v>
      </c>
      <c r="D4759">
        <f>14.19</f>
        <v>14.19</v>
      </c>
      <c r="E4759" t="e">
        <f>NA()</f>
        <v>#N/A</v>
      </c>
    </row>
    <row r="4760" spans="1:5" x14ac:dyDescent="0.2">
      <c r="A4760" s="1">
        <v>38460</v>
      </c>
      <c r="B4760">
        <f>16.56</f>
        <v>16.559999999999999</v>
      </c>
      <c r="C4760">
        <f>18.31</f>
        <v>18.309999999999999</v>
      </c>
      <c r="D4760">
        <f>15.23</f>
        <v>15.23</v>
      </c>
      <c r="E4760" t="e">
        <f>NA()</f>
        <v>#N/A</v>
      </c>
    </row>
    <row r="4761" spans="1:5" x14ac:dyDescent="0.2">
      <c r="A4761" s="1">
        <v>38457</v>
      </c>
      <c r="B4761">
        <f>17.74</f>
        <v>17.739999999999998</v>
      </c>
      <c r="C4761">
        <f>15.39</f>
        <v>15.39</v>
      </c>
      <c r="D4761">
        <f>12.68</f>
        <v>12.68</v>
      </c>
      <c r="E4761" t="e">
        <f>NA()</f>
        <v>#N/A</v>
      </c>
    </row>
    <row r="4762" spans="1:5" x14ac:dyDescent="0.2">
      <c r="A4762" s="1">
        <v>38456</v>
      </c>
      <c r="B4762">
        <f>14.53</f>
        <v>14.53</v>
      </c>
      <c r="C4762">
        <f>12.24</f>
        <v>12.24</v>
      </c>
      <c r="D4762">
        <f>9.66</f>
        <v>9.66</v>
      </c>
      <c r="E4762" t="e">
        <f>NA()</f>
        <v>#N/A</v>
      </c>
    </row>
    <row r="4763" spans="1:5" x14ac:dyDescent="0.2">
      <c r="A4763" s="1">
        <v>38455</v>
      </c>
      <c r="B4763">
        <f>13.31</f>
        <v>13.31</v>
      </c>
      <c r="C4763">
        <f>12.21</f>
        <v>12.21</v>
      </c>
      <c r="D4763">
        <f>9.69</f>
        <v>9.69</v>
      </c>
      <c r="E4763" t="e">
        <f>NA()</f>
        <v>#N/A</v>
      </c>
    </row>
    <row r="4764" spans="1:5" x14ac:dyDescent="0.2">
      <c r="A4764" s="1">
        <v>38454</v>
      </c>
      <c r="B4764">
        <f>11.3</f>
        <v>11.3</v>
      </c>
      <c r="C4764">
        <f>12.47</f>
        <v>12.47</v>
      </c>
      <c r="D4764">
        <f>9.62</f>
        <v>9.6199999999999992</v>
      </c>
      <c r="E4764" t="e">
        <f>NA()</f>
        <v>#N/A</v>
      </c>
    </row>
    <row r="4765" spans="1:5" x14ac:dyDescent="0.2">
      <c r="A4765" s="1">
        <v>38453</v>
      </c>
      <c r="B4765">
        <f>11.98</f>
        <v>11.98</v>
      </c>
      <c r="C4765">
        <f>12.02</f>
        <v>12.02</v>
      </c>
      <c r="D4765">
        <f>9.47</f>
        <v>9.4700000000000006</v>
      </c>
      <c r="E4765" t="e">
        <f>NA()</f>
        <v>#N/A</v>
      </c>
    </row>
    <row r="4766" spans="1:5" x14ac:dyDescent="0.2">
      <c r="A4766" s="1">
        <v>38450</v>
      </c>
      <c r="B4766">
        <f>12.62</f>
        <v>12.62</v>
      </c>
      <c r="C4766">
        <f>11.79</f>
        <v>11.79</v>
      </c>
      <c r="D4766">
        <f>9.01</f>
        <v>9.01</v>
      </c>
      <c r="E4766" t="e">
        <f>NA()</f>
        <v>#N/A</v>
      </c>
    </row>
    <row r="4767" spans="1:5" x14ac:dyDescent="0.2">
      <c r="A4767" s="1">
        <v>38449</v>
      </c>
      <c r="B4767">
        <f>12.33</f>
        <v>12.33</v>
      </c>
      <c r="C4767">
        <f>11.72</f>
        <v>11.72</v>
      </c>
      <c r="D4767">
        <f>9.22</f>
        <v>9.2200000000000006</v>
      </c>
      <c r="E4767" t="e">
        <f>NA()</f>
        <v>#N/A</v>
      </c>
    </row>
    <row r="4768" spans="1:5" x14ac:dyDescent="0.2">
      <c r="A4768" s="1">
        <v>38448</v>
      </c>
      <c r="B4768">
        <f>13.15</f>
        <v>13.15</v>
      </c>
      <c r="C4768">
        <f>12.29</f>
        <v>12.29</v>
      </c>
      <c r="D4768">
        <f>10.12</f>
        <v>10.119999999999999</v>
      </c>
      <c r="E4768" t="e">
        <f>NA()</f>
        <v>#N/A</v>
      </c>
    </row>
    <row r="4769" spans="1:5" x14ac:dyDescent="0.2">
      <c r="A4769" s="1">
        <v>38447</v>
      </c>
      <c r="B4769">
        <f>13.68</f>
        <v>13.68</v>
      </c>
      <c r="C4769">
        <f>12.72</f>
        <v>12.72</v>
      </c>
      <c r="D4769">
        <f>10.02</f>
        <v>10.02</v>
      </c>
      <c r="E4769" t="e">
        <f>NA()</f>
        <v>#N/A</v>
      </c>
    </row>
    <row r="4770" spans="1:5" x14ac:dyDescent="0.2">
      <c r="A4770" s="1">
        <v>38446</v>
      </c>
      <c r="B4770">
        <f>14.11</f>
        <v>14.11</v>
      </c>
      <c r="C4770">
        <f>13.67</f>
        <v>13.67</v>
      </c>
      <c r="D4770">
        <f>10.72</f>
        <v>10.72</v>
      </c>
      <c r="E4770" t="e">
        <f>NA()</f>
        <v>#N/A</v>
      </c>
    </row>
    <row r="4771" spans="1:5" x14ac:dyDescent="0.2">
      <c r="A4771" s="1">
        <v>38443</v>
      </c>
      <c r="B4771">
        <f>14.09</f>
        <v>14.09</v>
      </c>
      <c r="C4771">
        <f>12.61</f>
        <v>12.61</v>
      </c>
      <c r="D4771">
        <f>10.15</f>
        <v>10.15</v>
      </c>
      <c r="E4771" t="e">
        <f>NA()</f>
        <v>#N/A</v>
      </c>
    </row>
    <row r="4772" spans="1:5" x14ac:dyDescent="0.2">
      <c r="A4772" s="1">
        <v>38442</v>
      </c>
      <c r="B4772">
        <f>14.02</f>
        <v>14.02</v>
      </c>
      <c r="C4772">
        <f>13.24</f>
        <v>13.24</v>
      </c>
      <c r="D4772">
        <f>10.67</f>
        <v>10.67</v>
      </c>
      <c r="E4772" t="e">
        <f>NA()</f>
        <v>#N/A</v>
      </c>
    </row>
    <row r="4773" spans="1:5" x14ac:dyDescent="0.2">
      <c r="A4773" s="1">
        <v>38441</v>
      </c>
      <c r="B4773">
        <f>13.64</f>
        <v>13.64</v>
      </c>
      <c r="C4773">
        <f>13.27</f>
        <v>13.27</v>
      </c>
      <c r="D4773">
        <f>10.62</f>
        <v>10.62</v>
      </c>
      <c r="E4773" t="e">
        <f>NA()</f>
        <v>#N/A</v>
      </c>
    </row>
    <row r="4774" spans="1:5" x14ac:dyDescent="0.2">
      <c r="A4774" s="1">
        <v>38440</v>
      </c>
      <c r="B4774">
        <f>14.49</f>
        <v>14.49</v>
      </c>
      <c r="C4774">
        <f>13.06</f>
        <v>13.06</v>
      </c>
      <c r="D4774">
        <f>10.38</f>
        <v>10.38</v>
      </c>
      <c r="E4774" t="e">
        <f>NA()</f>
        <v>#N/A</v>
      </c>
    </row>
    <row r="4775" spans="1:5" x14ac:dyDescent="0.2">
      <c r="A4775" s="1">
        <v>38439</v>
      </c>
      <c r="B4775">
        <f>13.75</f>
        <v>13.75</v>
      </c>
      <c r="C4775" t="e">
        <f>NA()</f>
        <v>#N/A</v>
      </c>
      <c r="D4775" t="e">
        <f>NA()</f>
        <v>#N/A</v>
      </c>
      <c r="E4775" t="e">
        <f>NA()</f>
        <v>#N/A</v>
      </c>
    </row>
    <row r="4776" spans="1:5" x14ac:dyDescent="0.2">
      <c r="A4776" s="1">
        <v>38436</v>
      </c>
      <c r="B4776" t="e">
        <f>NA()</f>
        <v>#N/A</v>
      </c>
      <c r="C4776">
        <f>12.48</f>
        <v>12.48</v>
      </c>
      <c r="D4776" t="e">
        <f>NA()</f>
        <v>#N/A</v>
      </c>
      <c r="E4776" t="e">
        <f>NA()</f>
        <v>#N/A</v>
      </c>
    </row>
    <row r="4777" spans="1:5" x14ac:dyDescent="0.2">
      <c r="A4777" s="1">
        <v>38435</v>
      </c>
      <c r="B4777">
        <f>13.42</f>
        <v>13.42</v>
      </c>
      <c r="C4777">
        <f>12.48</f>
        <v>12.48</v>
      </c>
      <c r="D4777">
        <f>9.68</f>
        <v>9.68</v>
      </c>
      <c r="E4777" t="e">
        <f>NA()</f>
        <v>#N/A</v>
      </c>
    </row>
    <row r="4778" spans="1:5" x14ac:dyDescent="0.2">
      <c r="A4778" s="1">
        <v>38434</v>
      </c>
      <c r="B4778">
        <f>14.06</f>
        <v>14.06</v>
      </c>
      <c r="C4778">
        <f>13.47</f>
        <v>13.47</v>
      </c>
      <c r="D4778">
        <f>10.74</f>
        <v>10.74</v>
      </c>
      <c r="E4778" t="e">
        <f>NA()</f>
        <v>#N/A</v>
      </c>
    </row>
    <row r="4779" spans="1:5" x14ac:dyDescent="0.2">
      <c r="A4779" s="1">
        <v>38433</v>
      </c>
      <c r="B4779">
        <f>14.27</f>
        <v>14.27</v>
      </c>
      <c r="C4779">
        <f>13.36</f>
        <v>13.36</v>
      </c>
      <c r="D4779">
        <f>10.42</f>
        <v>10.42</v>
      </c>
      <c r="E4779" t="e">
        <f>NA()</f>
        <v>#N/A</v>
      </c>
    </row>
    <row r="4780" spans="1:5" x14ac:dyDescent="0.2">
      <c r="A4780" s="1">
        <v>38432</v>
      </c>
      <c r="B4780">
        <f>13.61</f>
        <v>13.61</v>
      </c>
      <c r="C4780">
        <f>13.39</f>
        <v>13.39</v>
      </c>
      <c r="D4780" t="e">
        <f>NA()</f>
        <v>#N/A</v>
      </c>
      <c r="E4780" t="e">
        <f>NA()</f>
        <v>#N/A</v>
      </c>
    </row>
    <row r="4781" spans="1:5" x14ac:dyDescent="0.2">
      <c r="A4781" s="1">
        <v>38429</v>
      </c>
      <c r="B4781">
        <f>13.14</f>
        <v>13.14</v>
      </c>
      <c r="C4781">
        <f>12.83</f>
        <v>12.83</v>
      </c>
      <c r="D4781">
        <f>10.57</f>
        <v>10.57</v>
      </c>
      <c r="E4781" t="e">
        <f>NA()</f>
        <v>#N/A</v>
      </c>
    </row>
    <row r="4782" spans="1:5" x14ac:dyDescent="0.2">
      <c r="A4782" s="1">
        <v>38428</v>
      </c>
      <c r="B4782">
        <f>13.29</f>
        <v>13.29</v>
      </c>
      <c r="C4782">
        <f>13.46</f>
        <v>13.46</v>
      </c>
      <c r="D4782">
        <f>10.25</f>
        <v>10.25</v>
      </c>
      <c r="E4782" t="e">
        <f>NA()</f>
        <v>#N/A</v>
      </c>
    </row>
    <row r="4783" spans="1:5" x14ac:dyDescent="0.2">
      <c r="A4783" s="1">
        <v>38427</v>
      </c>
      <c r="B4783">
        <f>13.49</f>
        <v>13.49</v>
      </c>
      <c r="C4783">
        <f>14.57</f>
        <v>14.57</v>
      </c>
      <c r="D4783">
        <f>11.33</f>
        <v>11.33</v>
      </c>
      <c r="E4783" t="e">
        <f>NA()</f>
        <v>#N/A</v>
      </c>
    </row>
    <row r="4784" spans="1:5" x14ac:dyDescent="0.2">
      <c r="A4784" s="1">
        <v>38426</v>
      </c>
      <c r="B4784">
        <f>13.15</f>
        <v>13.15</v>
      </c>
      <c r="C4784">
        <f>12.49</f>
        <v>12.49</v>
      </c>
      <c r="D4784">
        <f>10.42</f>
        <v>10.42</v>
      </c>
      <c r="E4784" t="e">
        <f>NA()</f>
        <v>#N/A</v>
      </c>
    </row>
    <row r="4785" spans="1:5" x14ac:dyDescent="0.2">
      <c r="A4785" s="1">
        <v>38425</v>
      </c>
      <c r="B4785">
        <f>12.39</f>
        <v>12.39</v>
      </c>
      <c r="C4785">
        <f>13.35</f>
        <v>13.35</v>
      </c>
      <c r="D4785">
        <f>11.21</f>
        <v>11.21</v>
      </c>
      <c r="E4785" t="e">
        <f>NA()</f>
        <v>#N/A</v>
      </c>
    </row>
    <row r="4786" spans="1:5" x14ac:dyDescent="0.2">
      <c r="A4786" s="1">
        <v>38422</v>
      </c>
      <c r="B4786">
        <f>12.8</f>
        <v>12.8</v>
      </c>
      <c r="C4786">
        <f>12.96</f>
        <v>12.96</v>
      </c>
      <c r="D4786">
        <f>10.55</f>
        <v>10.55</v>
      </c>
      <c r="E4786" t="e">
        <f>NA()</f>
        <v>#N/A</v>
      </c>
    </row>
    <row r="4787" spans="1:5" x14ac:dyDescent="0.2">
      <c r="A4787" s="1">
        <v>38421</v>
      </c>
      <c r="B4787">
        <f>12.49</f>
        <v>12.49</v>
      </c>
      <c r="C4787">
        <f>13.47</f>
        <v>13.47</v>
      </c>
      <c r="D4787">
        <f>11.13</f>
        <v>11.13</v>
      </c>
      <c r="E4787" t="e">
        <f>NA()</f>
        <v>#N/A</v>
      </c>
    </row>
    <row r="4788" spans="1:5" x14ac:dyDescent="0.2">
      <c r="A4788" s="1">
        <v>38420</v>
      </c>
      <c r="B4788">
        <f>12.7</f>
        <v>12.7</v>
      </c>
      <c r="C4788">
        <f>12.53</f>
        <v>12.53</v>
      </c>
      <c r="D4788">
        <f>10.34</f>
        <v>10.34</v>
      </c>
      <c r="E4788" t="e">
        <f>NA()</f>
        <v>#N/A</v>
      </c>
    </row>
    <row r="4789" spans="1:5" x14ac:dyDescent="0.2">
      <c r="A4789" s="1">
        <v>38419</v>
      </c>
      <c r="B4789">
        <f>12.4</f>
        <v>12.4</v>
      </c>
      <c r="C4789">
        <f>12</f>
        <v>12</v>
      </c>
      <c r="D4789">
        <f>10.06</f>
        <v>10.06</v>
      </c>
      <c r="E4789" t="e">
        <f>NA()</f>
        <v>#N/A</v>
      </c>
    </row>
    <row r="4790" spans="1:5" x14ac:dyDescent="0.2">
      <c r="A4790" s="1">
        <v>38418</v>
      </c>
      <c r="B4790">
        <f>12.26</f>
        <v>12.26</v>
      </c>
      <c r="C4790">
        <f>11.72</f>
        <v>11.72</v>
      </c>
      <c r="D4790">
        <f>10.33</f>
        <v>10.33</v>
      </c>
      <c r="E4790" t="e">
        <f>NA()</f>
        <v>#N/A</v>
      </c>
    </row>
    <row r="4791" spans="1:5" x14ac:dyDescent="0.2">
      <c r="A4791" s="1">
        <v>38415</v>
      </c>
      <c r="B4791">
        <f>11.94</f>
        <v>11.94</v>
      </c>
      <c r="C4791">
        <f>11.93</f>
        <v>11.93</v>
      </c>
      <c r="D4791">
        <f>10.28</f>
        <v>10.28</v>
      </c>
      <c r="E4791" t="e">
        <f>NA()</f>
        <v>#N/A</v>
      </c>
    </row>
    <row r="4792" spans="1:5" x14ac:dyDescent="0.2">
      <c r="A4792" s="1">
        <v>38414</v>
      </c>
      <c r="B4792">
        <f>12.93</f>
        <v>12.93</v>
      </c>
      <c r="C4792">
        <f>12.57</f>
        <v>12.57</v>
      </c>
      <c r="D4792">
        <f>10.55</f>
        <v>10.55</v>
      </c>
      <c r="E4792" t="e">
        <f>NA()</f>
        <v>#N/A</v>
      </c>
    </row>
    <row r="4793" spans="1:5" x14ac:dyDescent="0.2">
      <c r="A4793" s="1">
        <v>38413</v>
      </c>
      <c r="B4793">
        <f>12.5</f>
        <v>12.5</v>
      </c>
      <c r="C4793">
        <f>12.86</f>
        <v>12.86</v>
      </c>
      <c r="D4793">
        <f>10.48</f>
        <v>10.48</v>
      </c>
      <c r="E4793" t="e">
        <f>NA()</f>
        <v>#N/A</v>
      </c>
    </row>
    <row r="4794" spans="1:5" x14ac:dyDescent="0.2">
      <c r="A4794" s="1">
        <v>38412</v>
      </c>
      <c r="B4794">
        <f>12.04</f>
        <v>12.04</v>
      </c>
      <c r="C4794">
        <f>12.35</f>
        <v>12.35</v>
      </c>
      <c r="D4794">
        <f>9.9</f>
        <v>9.9</v>
      </c>
      <c r="E4794" t="e">
        <f>NA()</f>
        <v>#N/A</v>
      </c>
    </row>
    <row r="4795" spans="1:5" x14ac:dyDescent="0.2">
      <c r="A4795" s="1">
        <v>38411</v>
      </c>
      <c r="B4795">
        <f>12.08</f>
        <v>12.08</v>
      </c>
      <c r="C4795">
        <f>12.89</f>
        <v>12.89</v>
      </c>
      <c r="D4795">
        <f>10.86</f>
        <v>10.86</v>
      </c>
      <c r="E4795" t="e">
        <f>NA()</f>
        <v>#N/A</v>
      </c>
    </row>
    <row r="4796" spans="1:5" x14ac:dyDescent="0.2">
      <c r="A4796" s="1">
        <v>38408</v>
      </c>
      <c r="B4796">
        <f>11.49</f>
        <v>11.49</v>
      </c>
      <c r="C4796">
        <f>12.21</f>
        <v>12.21</v>
      </c>
      <c r="D4796">
        <f>10.25</f>
        <v>10.25</v>
      </c>
      <c r="E4796" t="e">
        <f>NA()</f>
        <v>#N/A</v>
      </c>
    </row>
    <row r="4797" spans="1:5" x14ac:dyDescent="0.2">
      <c r="A4797" s="1">
        <v>38407</v>
      </c>
      <c r="B4797">
        <f>11.57</f>
        <v>11.57</v>
      </c>
      <c r="C4797">
        <f>13.19</f>
        <v>13.19</v>
      </c>
      <c r="D4797">
        <f>11.21</f>
        <v>11.21</v>
      </c>
      <c r="E4797" t="e">
        <f>NA()</f>
        <v>#N/A</v>
      </c>
    </row>
    <row r="4798" spans="1:5" x14ac:dyDescent="0.2">
      <c r="A4798" s="1">
        <v>38406</v>
      </c>
      <c r="B4798">
        <f>12.39</f>
        <v>12.39</v>
      </c>
      <c r="C4798">
        <f>13.99</f>
        <v>13.99</v>
      </c>
      <c r="D4798">
        <f>11.8</f>
        <v>11.8</v>
      </c>
      <c r="E4798" t="e">
        <f>NA()</f>
        <v>#N/A</v>
      </c>
    </row>
    <row r="4799" spans="1:5" x14ac:dyDescent="0.2">
      <c r="A4799" s="1">
        <v>38405</v>
      </c>
      <c r="B4799">
        <f>13.14</f>
        <v>13.14</v>
      </c>
      <c r="C4799">
        <f>13.49</f>
        <v>13.49</v>
      </c>
      <c r="D4799">
        <f>11.41</f>
        <v>11.41</v>
      </c>
      <c r="E4799" t="e">
        <f>NA()</f>
        <v>#N/A</v>
      </c>
    </row>
    <row r="4800" spans="1:5" x14ac:dyDescent="0.2">
      <c r="A4800" s="1">
        <v>38404</v>
      </c>
      <c r="B4800" t="e">
        <f>NA()</f>
        <v>#N/A</v>
      </c>
      <c r="C4800">
        <f>13.24</f>
        <v>13.24</v>
      </c>
      <c r="D4800">
        <f>11.58</f>
        <v>11.58</v>
      </c>
      <c r="E4800" t="e">
        <f>NA()</f>
        <v>#N/A</v>
      </c>
    </row>
    <row r="4801" spans="1:5" x14ac:dyDescent="0.2">
      <c r="A4801" s="1">
        <v>38401</v>
      </c>
      <c r="B4801">
        <f>11.18</f>
        <v>11.18</v>
      </c>
      <c r="C4801">
        <f>13.01</f>
        <v>13.01</v>
      </c>
      <c r="D4801">
        <f>11.77</f>
        <v>11.77</v>
      </c>
      <c r="E4801" t="e">
        <f>NA()</f>
        <v>#N/A</v>
      </c>
    </row>
    <row r="4802" spans="1:5" x14ac:dyDescent="0.2">
      <c r="A4802" s="1">
        <v>38400</v>
      </c>
      <c r="B4802">
        <f>11.77</f>
        <v>11.77</v>
      </c>
      <c r="C4802">
        <f>13.57</f>
        <v>13.57</v>
      </c>
      <c r="D4802">
        <f>11.78</f>
        <v>11.78</v>
      </c>
      <c r="E4802" t="e">
        <f>NA()</f>
        <v>#N/A</v>
      </c>
    </row>
    <row r="4803" spans="1:5" x14ac:dyDescent="0.2">
      <c r="A4803" s="1">
        <v>38399</v>
      </c>
      <c r="B4803">
        <f>11.1</f>
        <v>11.1</v>
      </c>
      <c r="C4803">
        <f>13.66</f>
        <v>13.66</v>
      </c>
      <c r="D4803">
        <f>11</f>
        <v>11</v>
      </c>
      <c r="E4803" t="e">
        <f>NA()</f>
        <v>#N/A</v>
      </c>
    </row>
    <row r="4804" spans="1:5" x14ac:dyDescent="0.2">
      <c r="A4804" s="1">
        <v>38398</v>
      </c>
      <c r="B4804">
        <f>11.27</f>
        <v>11.27</v>
      </c>
      <c r="C4804">
        <f>12.35</f>
        <v>12.35</v>
      </c>
      <c r="D4804">
        <f>10.09</f>
        <v>10.09</v>
      </c>
      <c r="E4804" t="e">
        <f>NA()</f>
        <v>#N/A</v>
      </c>
    </row>
    <row r="4805" spans="1:5" x14ac:dyDescent="0.2">
      <c r="A4805" s="1">
        <v>38397</v>
      </c>
      <c r="B4805">
        <f>11.52</f>
        <v>11.52</v>
      </c>
      <c r="C4805">
        <f>12.52</f>
        <v>12.52</v>
      </c>
      <c r="D4805">
        <f>10.01</f>
        <v>10.01</v>
      </c>
      <c r="E4805" t="e">
        <f>NA()</f>
        <v>#N/A</v>
      </c>
    </row>
    <row r="4806" spans="1:5" x14ac:dyDescent="0.2">
      <c r="A4806" s="1">
        <v>38394</v>
      </c>
      <c r="B4806">
        <f>11.43</f>
        <v>11.43</v>
      </c>
      <c r="C4806">
        <f>11.99</f>
        <v>11.99</v>
      </c>
      <c r="D4806">
        <f>10.25</f>
        <v>10.25</v>
      </c>
      <c r="E4806" t="e">
        <f>NA()</f>
        <v>#N/A</v>
      </c>
    </row>
    <row r="4807" spans="1:5" x14ac:dyDescent="0.2">
      <c r="A4807" s="1">
        <v>38393</v>
      </c>
      <c r="B4807">
        <f>11.51</f>
        <v>11.51</v>
      </c>
      <c r="C4807">
        <f>12.04</f>
        <v>12.04</v>
      </c>
      <c r="D4807">
        <f>9.78</f>
        <v>9.7799999999999994</v>
      </c>
      <c r="E4807" t="e">
        <f>NA()</f>
        <v>#N/A</v>
      </c>
    </row>
    <row r="4808" spans="1:5" x14ac:dyDescent="0.2">
      <c r="A4808" s="1">
        <v>38392</v>
      </c>
      <c r="B4808">
        <f>12</f>
        <v>12</v>
      </c>
      <c r="C4808">
        <f>12.19</f>
        <v>12.19</v>
      </c>
      <c r="D4808">
        <f>9.17</f>
        <v>9.17</v>
      </c>
      <c r="E4808" t="e">
        <f>NA()</f>
        <v>#N/A</v>
      </c>
    </row>
    <row r="4809" spans="1:5" x14ac:dyDescent="0.2">
      <c r="A4809" s="1">
        <v>38391</v>
      </c>
      <c r="B4809">
        <f>11.6</f>
        <v>11.6</v>
      </c>
      <c r="C4809">
        <f>11.92</f>
        <v>11.92</v>
      </c>
      <c r="D4809">
        <f>9.5</f>
        <v>9.5</v>
      </c>
      <c r="E4809" t="e">
        <f>NA()</f>
        <v>#N/A</v>
      </c>
    </row>
    <row r="4810" spans="1:5" x14ac:dyDescent="0.2">
      <c r="A4810" s="1">
        <v>38390</v>
      </c>
      <c r="B4810">
        <f>11.73</f>
        <v>11.73</v>
      </c>
      <c r="C4810">
        <f>11.99</f>
        <v>11.99</v>
      </c>
      <c r="D4810">
        <f>9.39</f>
        <v>9.39</v>
      </c>
      <c r="E4810" t="e">
        <f>NA()</f>
        <v>#N/A</v>
      </c>
    </row>
    <row r="4811" spans="1:5" x14ac:dyDescent="0.2">
      <c r="A4811" s="1">
        <v>38387</v>
      </c>
      <c r="B4811">
        <f>11.21</f>
        <v>11.21</v>
      </c>
      <c r="C4811">
        <f>11.6</f>
        <v>11.6</v>
      </c>
      <c r="D4811">
        <f>9.97</f>
        <v>9.9700000000000006</v>
      </c>
      <c r="E4811" t="e">
        <f>NA()</f>
        <v>#N/A</v>
      </c>
    </row>
    <row r="4812" spans="1:5" x14ac:dyDescent="0.2">
      <c r="A4812" s="1">
        <v>38386</v>
      </c>
      <c r="B4812">
        <f>11.79</f>
        <v>11.79</v>
      </c>
      <c r="C4812">
        <f>12.38</f>
        <v>12.38</v>
      </c>
      <c r="D4812">
        <f>10.4</f>
        <v>10.4</v>
      </c>
      <c r="E4812" t="e">
        <f>NA()</f>
        <v>#N/A</v>
      </c>
    </row>
    <row r="4813" spans="1:5" x14ac:dyDescent="0.2">
      <c r="A4813" s="1">
        <v>38385</v>
      </c>
      <c r="B4813">
        <f>11.66</f>
        <v>11.66</v>
      </c>
      <c r="C4813">
        <f>12.25</f>
        <v>12.25</v>
      </c>
      <c r="D4813">
        <f>9.91</f>
        <v>9.91</v>
      </c>
      <c r="E4813" t="e">
        <f>NA()</f>
        <v>#N/A</v>
      </c>
    </row>
    <row r="4814" spans="1:5" x14ac:dyDescent="0.2">
      <c r="A4814" s="1">
        <v>38384</v>
      </c>
      <c r="B4814">
        <f>12.03</f>
        <v>12.03</v>
      </c>
      <c r="C4814">
        <f>12.36</f>
        <v>12.36</v>
      </c>
      <c r="D4814">
        <f>10.35</f>
        <v>10.35</v>
      </c>
      <c r="E4814" t="e">
        <f>NA()</f>
        <v>#N/A</v>
      </c>
    </row>
    <row r="4815" spans="1:5" x14ac:dyDescent="0.2">
      <c r="A4815" s="1">
        <v>38383</v>
      </c>
      <c r="B4815">
        <f>12.82</f>
        <v>12.82</v>
      </c>
      <c r="C4815">
        <f>12.72</f>
        <v>12.72</v>
      </c>
      <c r="D4815">
        <f>10.61</f>
        <v>10.61</v>
      </c>
      <c r="E4815" t="e">
        <f>NA()</f>
        <v>#N/A</v>
      </c>
    </row>
    <row r="4816" spans="1:5" x14ac:dyDescent="0.2">
      <c r="A4816" s="1">
        <v>38380</v>
      </c>
      <c r="B4816">
        <f>13.24</f>
        <v>13.24</v>
      </c>
      <c r="C4816">
        <f>12.81</f>
        <v>12.81</v>
      </c>
      <c r="D4816">
        <f>10.36</f>
        <v>10.36</v>
      </c>
      <c r="E4816" t="e">
        <f>NA()</f>
        <v>#N/A</v>
      </c>
    </row>
    <row r="4817" spans="1:5" x14ac:dyDescent="0.2">
      <c r="A4817" s="1">
        <v>38379</v>
      </c>
      <c r="B4817">
        <f>13.24</f>
        <v>13.24</v>
      </c>
      <c r="C4817">
        <f>12.46</f>
        <v>12.46</v>
      </c>
      <c r="D4817">
        <f>10.27</f>
        <v>10.27</v>
      </c>
      <c r="E4817" t="e">
        <f>NA()</f>
        <v>#N/A</v>
      </c>
    </row>
    <row r="4818" spans="1:5" x14ac:dyDescent="0.2">
      <c r="A4818" s="1">
        <v>38378</v>
      </c>
      <c r="B4818">
        <f>13.44</f>
        <v>13.44</v>
      </c>
      <c r="C4818">
        <f>13.32</f>
        <v>13.32</v>
      </c>
      <c r="D4818">
        <f>10.58</f>
        <v>10.58</v>
      </c>
      <c r="E4818" t="e">
        <f>NA()</f>
        <v>#N/A</v>
      </c>
    </row>
    <row r="4819" spans="1:5" x14ac:dyDescent="0.2">
      <c r="A4819" s="1">
        <v>38377</v>
      </c>
      <c r="B4819">
        <f>14.06</f>
        <v>14.06</v>
      </c>
      <c r="C4819">
        <f>13.63</f>
        <v>13.63</v>
      </c>
      <c r="D4819">
        <f>10.65</f>
        <v>10.65</v>
      </c>
      <c r="E4819" t="e">
        <f>NA()</f>
        <v>#N/A</v>
      </c>
    </row>
    <row r="4820" spans="1:5" x14ac:dyDescent="0.2">
      <c r="A4820" s="1">
        <v>38376</v>
      </c>
      <c r="B4820">
        <f>14.65</f>
        <v>14.65</v>
      </c>
      <c r="C4820">
        <f>14.11</f>
        <v>14.11</v>
      </c>
      <c r="D4820">
        <f>11.3</f>
        <v>11.3</v>
      </c>
      <c r="E4820" t="e">
        <f>NA()</f>
        <v>#N/A</v>
      </c>
    </row>
    <row r="4821" spans="1:5" x14ac:dyDescent="0.2">
      <c r="A4821" s="1">
        <v>38373</v>
      </c>
      <c r="B4821">
        <f>14.36</f>
        <v>14.36</v>
      </c>
      <c r="C4821">
        <f>13.96</f>
        <v>13.96</v>
      </c>
      <c r="D4821">
        <f>10.94</f>
        <v>10.94</v>
      </c>
      <c r="E4821" t="e">
        <f>NA()</f>
        <v>#N/A</v>
      </c>
    </row>
    <row r="4822" spans="1:5" x14ac:dyDescent="0.2">
      <c r="A4822" s="1">
        <v>38372</v>
      </c>
      <c r="B4822">
        <f>13.83</f>
        <v>13.83</v>
      </c>
      <c r="C4822">
        <f>14.17</f>
        <v>14.17</v>
      </c>
      <c r="D4822">
        <f>11.31</f>
        <v>11.31</v>
      </c>
      <c r="E4822" t="e">
        <f>NA()</f>
        <v>#N/A</v>
      </c>
    </row>
    <row r="4823" spans="1:5" x14ac:dyDescent="0.2">
      <c r="A4823" s="1">
        <v>38371</v>
      </c>
      <c r="B4823">
        <f>13.18</f>
        <v>13.18</v>
      </c>
      <c r="C4823">
        <f>13.63</f>
        <v>13.63</v>
      </c>
      <c r="D4823">
        <f>11.15</f>
        <v>11.15</v>
      </c>
      <c r="E4823" t="e">
        <f>NA()</f>
        <v>#N/A</v>
      </c>
    </row>
    <row r="4824" spans="1:5" x14ac:dyDescent="0.2">
      <c r="A4824" s="1">
        <v>38370</v>
      </c>
      <c r="B4824">
        <f>12.47</f>
        <v>12.47</v>
      </c>
      <c r="C4824">
        <f>13.17</f>
        <v>13.17</v>
      </c>
      <c r="D4824">
        <f>10.85</f>
        <v>10.85</v>
      </c>
      <c r="E4824" t="e">
        <f>NA()</f>
        <v>#N/A</v>
      </c>
    </row>
    <row r="4825" spans="1:5" x14ac:dyDescent="0.2">
      <c r="A4825" s="1">
        <v>38369</v>
      </c>
      <c r="B4825" t="e">
        <f>NA()</f>
        <v>#N/A</v>
      </c>
      <c r="C4825">
        <f>13.2</f>
        <v>13.2</v>
      </c>
      <c r="D4825">
        <f>10.85</f>
        <v>10.85</v>
      </c>
      <c r="E4825" t="e">
        <f>NA()</f>
        <v>#N/A</v>
      </c>
    </row>
    <row r="4826" spans="1:5" x14ac:dyDescent="0.2">
      <c r="A4826" s="1">
        <v>38366</v>
      </c>
      <c r="B4826">
        <f>12.43</f>
        <v>12.43</v>
      </c>
      <c r="C4826">
        <f>13.57</f>
        <v>13.57</v>
      </c>
      <c r="D4826">
        <f>10.88</f>
        <v>10.88</v>
      </c>
      <c r="E4826" t="e">
        <f>NA()</f>
        <v>#N/A</v>
      </c>
    </row>
    <row r="4827" spans="1:5" x14ac:dyDescent="0.2">
      <c r="A4827" s="1">
        <v>38365</v>
      </c>
      <c r="B4827">
        <f>12.84</f>
        <v>12.84</v>
      </c>
      <c r="C4827">
        <f>13.64</f>
        <v>13.64</v>
      </c>
      <c r="D4827">
        <f>11.38</f>
        <v>11.38</v>
      </c>
      <c r="E4827" t="e">
        <f>NA()</f>
        <v>#N/A</v>
      </c>
    </row>
    <row r="4828" spans="1:5" x14ac:dyDescent="0.2">
      <c r="A4828" s="1">
        <v>38364</v>
      </c>
      <c r="B4828">
        <f>12.56</f>
        <v>12.56</v>
      </c>
      <c r="C4828">
        <f>14.05</f>
        <v>14.05</v>
      </c>
      <c r="D4828">
        <f>11.94</f>
        <v>11.94</v>
      </c>
      <c r="E4828" t="e">
        <f>NA()</f>
        <v>#N/A</v>
      </c>
    </row>
    <row r="4829" spans="1:5" x14ac:dyDescent="0.2">
      <c r="A4829" s="1">
        <v>38363</v>
      </c>
      <c r="B4829">
        <f>13.19</f>
        <v>13.19</v>
      </c>
      <c r="C4829">
        <f>13.68</f>
        <v>13.68</v>
      </c>
      <c r="D4829">
        <f>11.35</f>
        <v>11.35</v>
      </c>
      <c r="E4829" t="e">
        <f>NA()</f>
        <v>#N/A</v>
      </c>
    </row>
    <row r="4830" spans="1:5" x14ac:dyDescent="0.2">
      <c r="A4830" s="1">
        <v>38362</v>
      </c>
      <c r="B4830">
        <f>13.23</f>
        <v>13.23</v>
      </c>
      <c r="C4830">
        <f>12.92</f>
        <v>12.92</v>
      </c>
      <c r="D4830">
        <f>11.01</f>
        <v>11.01</v>
      </c>
      <c r="E4830" t="e">
        <f>NA()</f>
        <v>#N/A</v>
      </c>
    </row>
    <row r="4831" spans="1:5" x14ac:dyDescent="0.2">
      <c r="A4831" s="1">
        <v>38359</v>
      </c>
      <c r="B4831">
        <f>13.49</f>
        <v>13.49</v>
      </c>
      <c r="C4831">
        <f>13.57</f>
        <v>13.57</v>
      </c>
      <c r="D4831">
        <f>10.71</f>
        <v>10.71</v>
      </c>
      <c r="E4831" t="e">
        <f>NA()</f>
        <v>#N/A</v>
      </c>
    </row>
    <row r="4832" spans="1:5" x14ac:dyDescent="0.2">
      <c r="A4832" s="1">
        <v>38358</v>
      </c>
      <c r="B4832">
        <f>13.58</f>
        <v>13.58</v>
      </c>
      <c r="C4832">
        <f>13.8</f>
        <v>13.8</v>
      </c>
      <c r="D4832">
        <f>10.76</f>
        <v>10.76</v>
      </c>
      <c r="E4832" t="e">
        <f>NA()</f>
        <v>#N/A</v>
      </c>
    </row>
    <row r="4833" spans="1:5" x14ac:dyDescent="0.2">
      <c r="A4833" s="1">
        <v>38357</v>
      </c>
      <c r="B4833">
        <f>14.09</f>
        <v>14.09</v>
      </c>
      <c r="C4833">
        <f>14.42</f>
        <v>14.42</v>
      </c>
      <c r="D4833">
        <f>10.72</f>
        <v>10.72</v>
      </c>
      <c r="E4833" t="e">
        <f>NA()</f>
        <v>#N/A</v>
      </c>
    </row>
    <row r="4834" spans="1:5" x14ac:dyDescent="0.2">
      <c r="A4834" s="1">
        <v>38356</v>
      </c>
      <c r="B4834">
        <f>13.98</f>
        <v>13.98</v>
      </c>
      <c r="C4834">
        <f>14.51</f>
        <v>14.51</v>
      </c>
      <c r="D4834">
        <f>10.56</f>
        <v>10.56</v>
      </c>
      <c r="E4834" t="e">
        <f>NA()</f>
        <v>#N/A</v>
      </c>
    </row>
    <row r="4835" spans="1:5" x14ac:dyDescent="0.2">
      <c r="A4835" s="1">
        <v>38355</v>
      </c>
      <c r="B4835">
        <f>14.08</f>
        <v>14.08</v>
      </c>
      <c r="C4835">
        <f>14.47</f>
        <v>14.47</v>
      </c>
      <c r="D4835" t="e">
        <f>NA()</f>
        <v>#N/A</v>
      </c>
      <c r="E4835" t="e">
        <f>NA()</f>
        <v>#N/A</v>
      </c>
    </row>
    <row r="4836" spans="1:5" x14ac:dyDescent="0.2">
      <c r="A4836" s="1">
        <v>38352</v>
      </c>
      <c r="B4836">
        <f>13.29</f>
        <v>13.29</v>
      </c>
      <c r="C4836" t="e">
        <f>NA()</f>
        <v>#N/A</v>
      </c>
      <c r="D4836">
        <f>10.79</f>
        <v>10.79</v>
      </c>
      <c r="E4836" t="e">
        <f>NA()</f>
        <v>#N/A</v>
      </c>
    </row>
    <row r="4837" spans="1:5" x14ac:dyDescent="0.2">
      <c r="A4837" s="1">
        <v>38351</v>
      </c>
      <c r="B4837">
        <f>12.56</f>
        <v>12.56</v>
      </c>
      <c r="C4837">
        <f>14.07</f>
        <v>14.07</v>
      </c>
      <c r="D4837">
        <f>10.61</f>
        <v>10.61</v>
      </c>
      <c r="E4837" t="e">
        <f>NA()</f>
        <v>#N/A</v>
      </c>
    </row>
    <row r="4838" spans="1:5" x14ac:dyDescent="0.2">
      <c r="A4838" s="1">
        <v>38350</v>
      </c>
      <c r="B4838">
        <f>11.62</f>
        <v>11.62</v>
      </c>
      <c r="C4838">
        <f>13.74</f>
        <v>13.74</v>
      </c>
      <c r="D4838">
        <f>10.56</f>
        <v>10.56</v>
      </c>
      <c r="E4838" t="e">
        <f>NA()</f>
        <v>#N/A</v>
      </c>
    </row>
    <row r="4839" spans="1:5" x14ac:dyDescent="0.2">
      <c r="A4839" s="1">
        <v>38349</v>
      </c>
      <c r="B4839">
        <f>12</f>
        <v>12</v>
      </c>
      <c r="C4839">
        <f>13.1</f>
        <v>13.1</v>
      </c>
      <c r="D4839" t="e">
        <f>NA()</f>
        <v>#N/A</v>
      </c>
      <c r="E4839" t="e">
        <f>NA()</f>
        <v>#N/A</v>
      </c>
    </row>
    <row r="4840" spans="1:5" x14ac:dyDescent="0.2">
      <c r="A4840" s="1">
        <v>38348</v>
      </c>
      <c r="B4840">
        <f>12.14</f>
        <v>12.14</v>
      </c>
      <c r="C4840">
        <f>12.96</f>
        <v>12.96</v>
      </c>
      <c r="D4840" t="e">
        <f>NA()</f>
        <v>#N/A</v>
      </c>
      <c r="E4840" t="e">
        <f>NA()</f>
        <v>#N/A</v>
      </c>
    </row>
    <row r="4841" spans="1:5" x14ac:dyDescent="0.2">
      <c r="A4841" s="1">
        <v>38345</v>
      </c>
      <c r="B4841" t="e">
        <f>NA()</f>
        <v>#N/A</v>
      </c>
      <c r="C4841" t="e">
        <f>NA()</f>
        <v>#N/A</v>
      </c>
      <c r="D4841">
        <f>10.08</f>
        <v>10.08</v>
      </c>
      <c r="E4841" t="e">
        <f>NA()</f>
        <v>#N/A</v>
      </c>
    </row>
    <row r="4842" spans="1:5" x14ac:dyDescent="0.2">
      <c r="A4842" s="1">
        <v>38344</v>
      </c>
      <c r="B4842">
        <f>11.23</f>
        <v>11.23</v>
      </c>
      <c r="C4842">
        <f>12.94</f>
        <v>12.94</v>
      </c>
      <c r="D4842">
        <f>9.96</f>
        <v>9.9600000000000009</v>
      </c>
      <c r="E4842" t="e">
        <f>NA()</f>
        <v>#N/A</v>
      </c>
    </row>
    <row r="4843" spans="1:5" x14ac:dyDescent="0.2">
      <c r="A4843" s="1">
        <v>38343</v>
      </c>
      <c r="B4843">
        <f>11.45</f>
        <v>11.45</v>
      </c>
      <c r="C4843">
        <f>12.99</f>
        <v>12.99</v>
      </c>
      <c r="D4843">
        <f>9.8</f>
        <v>9.8000000000000007</v>
      </c>
      <c r="E4843" t="e">
        <f>NA()</f>
        <v>#N/A</v>
      </c>
    </row>
    <row r="4844" spans="1:5" x14ac:dyDescent="0.2">
      <c r="A4844" s="1">
        <v>38342</v>
      </c>
      <c r="B4844">
        <f>11.55</f>
        <v>11.55</v>
      </c>
      <c r="C4844">
        <f>12.64</f>
        <v>12.64</v>
      </c>
      <c r="D4844">
        <f>9.54</f>
        <v>9.5399999999999991</v>
      </c>
      <c r="E4844" t="e">
        <f>NA()</f>
        <v>#N/A</v>
      </c>
    </row>
    <row r="4845" spans="1:5" x14ac:dyDescent="0.2">
      <c r="A4845" s="1">
        <v>38341</v>
      </c>
      <c r="B4845">
        <f>11.83</f>
        <v>11.83</v>
      </c>
      <c r="C4845">
        <f>13.36</f>
        <v>13.36</v>
      </c>
      <c r="D4845">
        <f>10.12</f>
        <v>10.119999999999999</v>
      </c>
      <c r="E4845" t="e">
        <f>NA()</f>
        <v>#N/A</v>
      </c>
    </row>
    <row r="4846" spans="1:5" x14ac:dyDescent="0.2">
      <c r="A4846" s="1">
        <v>38338</v>
      </c>
      <c r="B4846">
        <f>11.95</f>
        <v>11.95</v>
      </c>
      <c r="C4846">
        <f>14.15</f>
        <v>14.15</v>
      </c>
      <c r="D4846">
        <f>10.35</f>
        <v>10.35</v>
      </c>
      <c r="E4846" t="e">
        <f>NA()</f>
        <v>#N/A</v>
      </c>
    </row>
    <row r="4847" spans="1:5" x14ac:dyDescent="0.2">
      <c r="A4847" s="1">
        <v>38337</v>
      </c>
      <c r="B4847">
        <f>12.27</f>
        <v>12.27</v>
      </c>
      <c r="C4847">
        <f>13.44</f>
        <v>13.44</v>
      </c>
      <c r="D4847">
        <f>9.9</f>
        <v>9.9</v>
      </c>
      <c r="E4847" t="e">
        <f>NA()</f>
        <v>#N/A</v>
      </c>
    </row>
    <row r="4848" spans="1:5" x14ac:dyDescent="0.2">
      <c r="A4848" s="1">
        <v>38336</v>
      </c>
      <c r="B4848">
        <f>12.35</f>
        <v>12.35</v>
      </c>
      <c r="C4848">
        <f>14.72</f>
        <v>14.72</v>
      </c>
      <c r="D4848">
        <f>10.41</f>
        <v>10.41</v>
      </c>
      <c r="E4848" t="e">
        <f>NA()</f>
        <v>#N/A</v>
      </c>
    </row>
    <row r="4849" spans="1:5" x14ac:dyDescent="0.2">
      <c r="A4849" s="1">
        <v>38335</v>
      </c>
      <c r="B4849">
        <f>12.73</f>
        <v>12.73</v>
      </c>
      <c r="C4849">
        <f>15.14</f>
        <v>15.14</v>
      </c>
      <c r="D4849">
        <f>11</f>
        <v>11</v>
      </c>
      <c r="E4849" t="e">
        <f>NA()</f>
        <v>#N/A</v>
      </c>
    </row>
    <row r="4850" spans="1:5" x14ac:dyDescent="0.2">
      <c r="A4850" s="1">
        <v>38334</v>
      </c>
      <c r="B4850">
        <f>12.54</f>
        <v>12.54</v>
      </c>
      <c r="C4850">
        <f>15.11</f>
        <v>15.11</v>
      </c>
      <c r="D4850">
        <f>10.8</f>
        <v>10.8</v>
      </c>
      <c r="E4850" t="e">
        <f>NA()</f>
        <v>#N/A</v>
      </c>
    </row>
    <row r="4851" spans="1:5" x14ac:dyDescent="0.2">
      <c r="A4851" s="1">
        <v>38331</v>
      </c>
      <c r="B4851">
        <f>12.76</f>
        <v>12.76</v>
      </c>
      <c r="C4851">
        <f>15.67</f>
        <v>15.67</v>
      </c>
      <c r="D4851">
        <f>11.71</f>
        <v>11.71</v>
      </c>
      <c r="E4851" t="e">
        <f>NA()</f>
        <v>#N/A</v>
      </c>
    </row>
    <row r="4852" spans="1:5" x14ac:dyDescent="0.2">
      <c r="A4852" s="1">
        <v>38330</v>
      </c>
      <c r="B4852">
        <f>12.88</f>
        <v>12.88</v>
      </c>
      <c r="C4852">
        <f>15.82</f>
        <v>15.82</v>
      </c>
      <c r="D4852">
        <f>11.81</f>
        <v>11.81</v>
      </c>
      <c r="E4852" t="e">
        <f>NA()</f>
        <v>#N/A</v>
      </c>
    </row>
    <row r="4853" spans="1:5" x14ac:dyDescent="0.2">
      <c r="A4853" s="1">
        <v>38329</v>
      </c>
      <c r="B4853">
        <f>13.19</f>
        <v>13.19</v>
      </c>
      <c r="C4853">
        <f>15.61</f>
        <v>15.61</v>
      </c>
      <c r="D4853">
        <f>12.2</f>
        <v>12.2</v>
      </c>
      <c r="E4853" t="e">
        <f>NA()</f>
        <v>#N/A</v>
      </c>
    </row>
    <row r="4854" spans="1:5" x14ac:dyDescent="0.2">
      <c r="A4854" s="1">
        <v>38328</v>
      </c>
      <c r="B4854">
        <f>13.67</f>
        <v>13.67</v>
      </c>
      <c r="C4854">
        <f>15.74</f>
        <v>15.74</v>
      </c>
      <c r="D4854">
        <f>11.99</f>
        <v>11.99</v>
      </c>
      <c r="E4854" t="e">
        <f>NA()</f>
        <v>#N/A</v>
      </c>
    </row>
    <row r="4855" spans="1:5" x14ac:dyDescent="0.2">
      <c r="A4855" s="1">
        <v>38327</v>
      </c>
      <c r="B4855">
        <f>13.19</f>
        <v>13.19</v>
      </c>
      <c r="C4855">
        <f>15.73</f>
        <v>15.73</v>
      </c>
      <c r="D4855">
        <f>12.18</f>
        <v>12.18</v>
      </c>
      <c r="E4855" t="e">
        <f>NA()</f>
        <v>#N/A</v>
      </c>
    </row>
    <row r="4856" spans="1:5" x14ac:dyDescent="0.2">
      <c r="A4856" s="1">
        <v>38324</v>
      </c>
      <c r="B4856">
        <f>12.96</f>
        <v>12.96</v>
      </c>
      <c r="C4856">
        <f>15.71</f>
        <v>15.71</v>
      </c>
      <c r="D4856">
        <f>11.83</f>
        <v>11.83</v>
      </c>
      <c r="E4856" t="e">
        <f>NA()</f>
        <v>#N/A</v>
      </c>
    </row>
    <row r="4857" spans="1:5" x14ac:dyDescent="0.2">
      <c r="A4857" s="1">
        <v>38323</v>
      </c>
      <c r="B4857">
        <f>12.98</f>
        <v>12.98</v>
      </c>
      <c r="C4857">
        <f>15.67</f>
        <v>15.67</v>
      </c>
      <c r="D4857">
        <f>12.14</f>
        <v>12.14</v>
      </c>
      <c r="E4857" t="e">
        <f>NA()</f>
        <v>#N/A</v>
      </c>
    </row>
    <row r="4858" spans="1:5" x14ac:dyDescent="0.2">
      <c r="A4858" s="1">
        <v>38322</v>
      </c>
      <c r="B4858">
        <f>12.97</f>
        <v>12.97</v>
      </c>
      <c r="C4858">
        <f>15.64</f>
        <v>15.64</v>
      </c>
      <c r="D4858">
        <f>12.24</f>
        <v>12.24</v>
      </c>
      <c r="E4858" t="e">
        <f>NA()</f>
        <v>#N/A</v>
      </c>
    </row>
    <row r="4859" spans="1:5" x14ac:dyDescent="0.2">
      <c r="A4859" s="1">
        <v>38321</v>
      </c>
      <c r="B4859">
        <f>13.24</f>
        <v>13.24</v>
      </c>
      <c r="C4859">
        <f>16.56</f>
        <v>16.559999999999999</v>
      </c>
      <c r="D4859">
        <f>12.6</f>
        <v>12.6</v>
      </c>
      <c r="E4859" t="e">
        <f>NA()</f>
        <v>#N/A</v>
      </c>
    </row>
    <row r="4860" spans="1:5" x14ac:dyDescent="0.2">
      <c r="A4860" s="1">
        <v>38320</v>
      </c>
      <c r="B4860">
        <f>13.3</f>
        <v>13.3</v>
      </c>
      <c r="C4860">
        <f>15.59</f>
        <v>15.59</v>
      </c>
      <c r="D4860">
        <f>11.99</f>
        <v>11.99</v>
      </c>
      <c r="E4860" t="e">
        <f>NA()</f>
        <v>#N/A</v>
      </c>
    </row>
    <row r="4861" spans="1:5" x14ac:dyDescent="0.2">
      <c r="A4861" s="1">
        <v>38317</v>
      </c>
      <c r="B4861">
        <f>12.78</f>
        <v>12.78</v>
      </c>
      <c r="C4861">
        <f>15.62</f>
        <v>15.62</v>
      </c>
      <c r="D4861">
        <f>11.5</f>
        <v>11.5</v>
      </c>
      <c r="E4861" t="e">
        <f>NA()</f>
        <v>#N/A</v>
      </c>
    </row>
    <row r="4862" spans="1:5" x14ac:dyDescent="0.2">
      <c r="A4862" s="1">
        <v>38316</v>
      </c>
      <c r="B4862" t="e">
        <f>NA()</f>
        <v>#N/A</v>
      </c>
      <c r="C4862">
        <f>15.22</f>
        <v>15.22</v>
      </c>
      <c r="D4862">
        <f>11.44</f>
        <v>11.44</v>
      </c>
      <c r="E4862" t="e">
        <f>NA()</f>
        <v>#N/A</v>
      </c>
    </row>
    <row r="4863" spans="1:5" x14ac:dyDescent="0.2">
      <c r="A4863" s="1">
        <v>38315</v>
      </c>
      <c r="B4863">
        <f>12.72</f>
        <v>12.72</v>
      </c>
      <c r="C4863">
        <f>15.81</f>
        <v>15.81</v>
      </c>
      <c r="D4863">
        <f>11.93</f>
        <v>11.93</v>
      </c>
      <c r="E4863" t="e">
        <f>NA()</f>
        <v>#N/A</v>
      </c>
    </row>
    <row r="4864" spans="1:5" x14ac:dyDescent="0.2">
      <c r="A4864" s="1">
        <v>38314</v>
      </c>
      <c r="B4864">
        <f>12.67</f>
        <v>12.67</v>
      </c>
      <c r="C4864">
        <f>15.92</f>
        <v>15.92</v>
      </c>
      <c r="D4864">
        <f>11.93</f>
        <v>11.93</v>
      </c>
      <c r="E4864" t="e">
        <f>NA()</f>
        <v>#N/A</v>
      </c>
    </row>
    <row r="4865" spans="1:5" x14ac:dyDescent="0.2">
      <c r="A4865" s="1">
        <v>38313</v>
      </c>
      <c r="B4865">
        <f>12.97</f>
        <v>12.97</v>
      </c>
      <c r="C4865">
        <f>15.69</f>
        <v>15.69</v>
      </c>
      <c r="D4865">
        <f>12.33</f>
        <v>12.33</v>
      </c>
      <c r="E4865" t="e">
        <f>NA()</f>
        <v>#N/A</v>
      </c>
    </row>
    <row r="4866" spans="1:5" x14ac:dyDescent="0.2">
      <c r="A4866" s="1">
        <v>38310</v>
      </c>
      <c r="B4866">
        <f>13.5</f>
        <v>13.5</v>
      </c>
      <c r="C4866">
        <f>15.43</f>
        <v>15.43</v>
      </c>
      <c r="D4866">
        <f>12.04</f>
        <v>12.04</v>
      </c>
      <c r="E4866" t="e">
        <f>NA()</f>
        <v>#N/A</v>
      </c>
    </row>
    <row r="4867" spans="1:5" x14ac:dyDescent="0.2">
      <c r="A4867" s="1">
        <v>38309</v>
      </c>
      <c r="B4867">
        <f>12.98</f>
        <v>12.98</v>
      </c>
      <c r="C4867">
        <f>14.81</f>
        <v>14.81</v>
      </c>
      <c r="D4867">
        <f>11.55</f>
        <v>11.55</v>
      </c>
      <c r="E4867" t="e">
        <f>NA()</f>
        <v>#N/A</v>
      </c>
    </row>
    <row r="4868" spans="1:5" x14ac:dyDescent="0.2">
      <c r="A4868" s="1">
        <v>38308</v>
      </c>
      <c r="B4868">
        <f>13.21</f>
        <v>13.21</v>
      </c>
      <c r="C4868">
        <f>14.69</f>
        <v>14.69</v>
      </c>
      <c r="D4868">
        <f>11.74</f>
        <v>11.74</v>
      </c>
      <c r="E4868" t="e">
        <f>NA()</f>
        <v>#N/A</v>
      </c>
    </row>
    <row r="4869" spans="1:5" x14ac:dyDescent="0.2">
      <c r="A4869" s="1">
        <v>38307</v>
      </c>
      <c r="B4869">
        <f>13.21</f>
        <v>13.21</v>
      </c>
      <c r="C4869">
        <f>15.12</f>
        <v>15.12</v>
      </c>
      <c r="D4869">
        <f>11.5</f>
        <v>11.5</v>
      </c>
      <c r="E4869" t="e">
        <f>NA()</f>
        <v>#N/A</v>
      </c>
    </row>
    <row r="4870" spans="1:5" x14ac:dyDescent="0.2">
      <c r="A4870" s="1">
        <v>38306</v>
      </c>
      <c r="B4870">
        <f>13.38</f>
        <v>13.38</v>
      </c>
      <c r="C4870">
        <f>14.98</f>
        <v>14.98</v>
      </c>
      <c r="D4870">
        <f>11.36</f>
        <v>11.36</v>
      </c>
      <c r="E4870" t="e">
        <f>NA()</f>
        <v>#N/A</v>
      </c>
    </row>
    <row r="4871" spans="1:5" x14ac:dyDescent="0.2">
      <c r="A4871" s="1">
        <v>38303</v>
      </c>
      <c r="B4871">
        <f>13.33</f>
        <v>13.33</v>
      </c>
      <c r="C4871">
        <f>14.37</f>
        <v>14.37</v>
      </c>
      <c r="D4871">
        <f>10.97</f>
        <v>10.97</v>
      </c>
      <c r="E4871" t="e">
        <f>NA()</f>
        <v>#N/A</v>
      </c>
    </row>
    <row r="4872" spans="1:5" x14ac:dyDescent="0.2">
      <c r="A4872" s="1">
        <v>38302</v>
      </c>
      <c r="B4872">
        <f>13.04</f>
        <v>13.04</v>
      </c>
      <c r="C4872">
        <f>14.36</f>
        <v>14.36</v>
      </c>
      <c r="D4872">
        <f>11.43</f>
        <v>11.43</v>
      </c>
      <c r="E4872" t="e">
        <f>NA()</f>
        <v>#N/A</v>
      </c>
    </row>
    <row r="4873" spans="1:5" x14ac:dyDescent="0.2">
      <c r="A4873" s="1">
        <v>38301</v>
      </c>
      <c r="B4873">
        <f>13.08</f>
        <v>13.08</v>
      </c>
      <c r="C4873">
        <f>14.62</f>
        <v>14.62</v>
      </c>
      <c r="D4873">
        <f>11.17</f>
        <v>11.17</v>
      </c>
      <c r="E4873" t="e">
        <f>NA()</f>
        <v>#N/A</v>
      </c>
    </row>
    <row r="4874" spans="1:5" x14ac:dyDescent="0.2">
      <c r="A4874" s="1">
        <v>38300</v>
      </c>
      <c r="B4874">
        <f>13.61</f>
        <v>13.61</v>
      </c>
      <c r="C4874">
        <f>15.08</f>
        <v>15.08</v>
      </c>
      <c r="D4874">
        <f>11.19</f>
        <v>11.19</v>
      </c>
      <c r="E4874" t="e">
        <f>NA()</f>
        <v>#N/A</v>
      </c>
    </row>
    <row r="4875" spans="1:5" x14ac:dyDescent="0.2">
      <c r="A4875" s="1">
        <v>38299</v>
      </c>
      <c r="B4875">
        <f>13.8</f>
        <v>13.8</v>
      </c>
      <c r="C4875">
        <f>15.54</f>
        <v>15.54</v>
      </c>
      <c r="D4875">
        <f>12.14</f>
        <v>12.14</v>
      </c>
      <c r="E4875" t="e">
        <f>NA()</f>
        <v>#N/A</v>
      </c>
    </row>
    <row r="4876" spans="1:5" x14ac:dyDescent="0.2">
      <c r="A4876" s="1">
        <v>38296</v>
      </c>
      <c r="B4876">
        <f>13.84</f>
        <v>13.84</v>
      </c>
      <c r="C4876">
        <f>15.6</f>
        <v>15.6</v>
      </c>
      <c r="D4876">
        <f>11.94</f>
        <v>11.94</v>
      </c>
      <c r="E4876" t="e">
        <f>NA()</f>
        <v>#N/A</v>
      </c>
    </row>
    <row r="4877" spans="1:5" x14ac:dyDescent="0.2">
      <c r="A4877" s="1">
        <v>38295</v>
      </c>
      <c r="B4877">
        <f>13.97</f>
        <v>13.97</v>
      </c>
      <c r="C4877">
        <f>15.38</f>
        <v>15.38</v>
      </c>
      <c r="D4877">
        <f>12.1</f>
        <v>12.1</v>
      </c>
      <c r="E4877" t="e">
        <f>NA()</f>
        <v>#N/A</v>
      </c>
    </row>
    <row r="4878" spans="1:5" x14ac:dyDescent="0.2">
      <c r="A4878" s="1">
        <v>38294</v>
      </c>
      <c r="B4878">
        <f>14.04</f>
        <v>14.04</v>
      </c>
      <c r="C4878">
        <f>16.35</f>
        <v>16.350000000000001</v>
      </c>
      <c r="D4878">
        <f>12.6</f>
        <v>12.6</v>
      </c>
      <c r="E4878" t="e">
        <f>NA()</f>
        <v>#N/A</v>
      </c>
    </row>
    <row r="4879" spans="1:5" x14ac:dyDescent="0.2">
      <c r="A4879" s="1">
        <v>38293</v>
      </c>
      <c r="B4879">
        <f>16.18</f>
        <v>16.18</v>
      </c>
      <c r="C4879">
        <f>16.9</f>
        <v>16.899999999999999</v>
      </c>
      <c r="D4879">
        <f>13.55</f>
        <v>13.55</v>
      </c>
      <c r="E4879" t="e">
        <f>NA()</f>
        <v>#N/A</v>
      </c>
    </row>
    <row r="4880" spans="1:5" x14ac:dyDescent="0.2">
      <c r="A4880" s="1">
        <v>38292</v>
      </c>
      <c r="B4880">
        <f>16.27</f>
        <v>16.27</v>
      </c>
      <c r="C4880">
        <f>18.13</f>
        <v>18.13</v>
      </c>
      <c r="D4880">
        <f>14.11</f>
        <v>14.11</v>
      </c>
      <c r="E4880" t="e">
        <f>NA()</f>
        <v>#N/A</v>
      </c>
    </row>
    <row r="4881" spans="1:5" x14ac:dyDescent="0.2">
      <c r="A4881" s="1">
        <v>38289</v>
      </c>
      <c r="B4881">
        <f>16.27</f>
        <v>16.27</v>
      </c>
      <c r="C4881">
        <f>17.37</f>
        <v>17.37</v>
      </c>
      <c r="D4881">
        <f>13.87</f>
        <v>13.87</v>
      </c>
      <c r="E4881" t="e">
        <f>NA()</f>
        <v>#N/A</v>
      </c>
    </row>
    <row r="4882" spans="1:5" x14ac:dyDescent="0.2">
      <c r="A4882" s="1">
        <v>38288</v>
      </c>
      <c r="B4882">
        <f>15.39</f>
        <v>15.39</v>
      </c>
      <c r="C4882">
        <f>17.57</f>
        <v>17.57</v>
      </c>
      <c r="D4882">
        <f>14.1</f>
        <v>14.1</v>
      </c>
      <c r="E4882" t="e">
        <f>NA()</f>
        <v>#N/A</v>
      </c>
    </row>
    <row r="4883" spans="1:5" x14ac:dyDescent="0.2">
      <c r="A4883" s="1">
        <v>38287</v>
      </c>
      <c r="B4883">
        <f>15.72</f>
        <v>15.72</v>
      </c>
      <c r="C4883">
        <f>18.1</f>
        <v>18.100000000000001</v>
      </c>
      <c r="D4883">
        <f>14.89</f>
        <v>14.89</v>
      </c>
      <c r="E4883" t="e">
        <f>NA()</f>
        <v>#N/A</v>
      </c>
    </row>
    <row r="4884" spans="1:5" x14ac:dyDescent="0.2">
      <c r="A4884" s="1">
        <v>38286</v>
      </c>
      <c r="B4884">
        <f>16.39</f>
        <v>16.39</v>
      </c>
      <c r="C4884">
        <f>18.71</f>
        <v>18.71</v>
      </c>
      <c r="D4884">
        <f>14.45</f>
        <v>14.45</v>
      </c>
      <c r="E4884" t="e">
        <f>NA()</f>
        <v>#N/A</v>
      </c>
    </row>
    <row r="4885" spans="1:5" x14ac:dyDescent="0.2">
      <c r="A4885" s="1">
        <v>38285</v>
      </c>
      <c r="B4885">
        <f>16.58</f>
        <v>16.579999999999998</v>
      </c>
      <c r="C4885">
        <f>19.24</f>
        <v>19.239999999999998</v>
      </c>
      <c r="D4885">
        <f>14.79</f>
        <v>14.79</v>
      </c>
      <c r="E4885" t="e">
        <f>NA()</f>
        <v>#N/A</v>
      </c>
    </row>
    <row r="4886" spans="1:5" x14ac:dyDescent="0.2">
      <c r="A4886" s="1">
        <v>38282</v>
      </c>
      <c r="B4886">
        <f>15.28</f>
        <v>15.28</v>
      </c>
      <c r="C4886">
        <f>17.01</f>
        <v>17.010000000000002</v>
      </c>
      <c r="D4886">
        <f>13.31</f>
        <v>13.31</v>
      </c>
      <c r="E4886" t="e">
        <f>NA()</f>
        <v>#N/A</v>
      </c>
    </row>
    <row r="4887" spans="1:5" x14ac:dyDescent="0.2">
      <c r="A4887" s="1">
        <v>38281</v>
      </c>
      <c r="B4887">
        <f>14.54</f>
        <v>14.54</v>
      </c>
      <c r="C4887">
        <f>17.45</f>
        <v>17.45</v>
      </c>
      <c r="D4887">
        <f>13.94</f>
        <v>13.94</v>
      </c>
      <c r="E4887" t="e">
        <f>NA()</f>
        <v>#N/A</v>
      </c>
    </row>
    <row r="4888" spans="1:5" x14ac:dyDescent="0.2">
      <c r="A4888" s="1">
        <v>38280</v>
      </c>
      <c r="B4888">
        <f>14.85</f>
        <v>14.85</v>
      </c>
      <c r="C4888">
        <f>17.75</f>
        <v>17.75</v>
      </c>
      <c r="D4888">
        <f>14.12</f>
        <v>14.12</v>
      </c>
      <c r="E4888" t="e">
        <f>NA()</f>
        <v>#N/A</v>
      </c>
    </row>
    <row r="4889" spans="1:5" x14ac:dyDescent="0.2">
      <c r="A4889" s="1">
        <v>38279</v>
      </c>
      <c r="B4889">
        <f>15.13</f>
        <v>15.13</v>
      </c>
      <c r="C4889">
        <f>16.97</f>
        <v>16.97</v>
      </c>
      <c r="D4889">
        <f>13.21</f>
        <v>13.21</v>
      </c>
      <c r="E4889" t="e">
        <f>NA()</f>
        <v>#N/A</v>
      </c>
    </row>
    <row r="4890" spans="1:5" x14ac:dyDescent="0.2">
      <c r="A4890" s="1">
        <v>38278</v>
      </c>
      <c r="B4890">
        <f>14.71</f>
        <v>14.71</v>
      </c>
      <c r="C4890">
        <f>17.55</f>
        <v>17.55</v>
      </c>
      <c r="D4890">
        <f>13.55</f>
        <v>13.55</v>
      </c>
      <c r="E4890" t="e">
        <f>NA()</f>
        <v>#N/A</v>
      </c>
    </row>
    <row r="4891" spans="1:5" x14ac:dyDescent="0.2">
      <c r="A4891" s="1">
        <v>38275</v>
      </c>
      <c r="B4891">
        <f>15.04</f>
        <v>15.04</v>
      </c>
      <c r="C4891">
        <f>16.82</f>
        <v>16.82</v>
      </c>
      <c r="D4891">
        <f>14.22</f>
        <v>14.22</v>
      </c>
      <c r="E4891" t="e">
        <f>NA()</f>
        <v>#N/A</v>
      </c>
    </row>
    <row r="4892" spans="1:5" x14ac:dyDescent="0.2">
      <c r="A4892" s="1">
        <v>38274</v>
      </c>
      <c r="B4892">
        <f>16.43</f>
        <v>16.43</v>
      </c>
      <c r="C4892">
        <f>17.82</f>
        <v>17.82</v>
      </c>
      <c r="D4892">
        <f>13.65</f>
        <v>13.65</v>
      </c>
      <c r="E4892" t="e">
        <f>NA()</f>
        <v>#N/A</v>
      </c>
    </row>
    <row r="4893" spans="1:5" x14ac:dyDescent="0.2">
      <c r="A4893" s="1">
        <v>38273</v>
      </c>
      <c r="B4893">
        <f>15.42</f>
        <v>15.42</v>
      </c>
      <c r="C4893">
        <f>17.64</f>
        <v>17.64</v>
      </c>
      <c r="D4893">
        <f>13.17</f>
        <v>13.17</v>
      </c>
      <c r="E4893" t="e">
        <f>NA()</f>
        <v>#N/A</v>
      </c>
    </row>
    <row r="4894" spans="1:5" x14ac:dyDescent="0.2">
      <c r="A4894" s="1">
        <v>38272</v>
      </c>
      <c r="B4894">
        <f>15.05</f>
        <v>15.05</v>
      </c>
      <c r="C4894">
        <f>17.48</f>
        <v>17.48</v>
      </c>
      <c r="D4894">
        <f>12.88</f>
        <v>12.88</v>
      </c>
      <c r="E4894" t="e">
        <f>NA()</f>
        <v>#N/A</v>
      </c>
    </row>
    <row r="4895" spans="1:5" x14ac:dyDescent="0.2">
      <c r="A4895" s="1">
        <v>38271</v>
      </c>
      <c r="B4895">
        <f>14.71</f>
        <v>14.71</v>
      </c>
      <c r="C4895">
        <f>16.69</f>
        <v>16.690000000000001</v>
      </c>
      <c r="D4895">
        <f>12.5</f>
        <v>12.5</v>
      </c>
      <c r="E4895" t="e">
        <f>NA()</f>
        <v>#N/A</v>
      </c>
    </row>
    <row r="4896" spans="1:5" x14ac:dyDescent="0.2">
      <c r="A4896" s="1">
        <v>38268</v>
      </c>
      <c r="B4896">
        <f>15.05</f>
        <v>15.05</v>
      </c>
      <c r="C4896">
        <f>17.12</f>
        <v>17.12</v>
      </c>
      <c r="D4896">
        <f>12.16</f>
        <v>12.16</v>
      </c>
      <c r="E4896" t="e">
        <f>NA()</f>
        <v>#N/A</v>
      </c>
    </row>
    <row r="4897" spans="1:5" x14ac:dyDescent="0.2">
      <c r="A4897" s="1">
        <v>38267</v>
      </c>
      <c r="B4897">
        <f>14.5</f>
        <v>14.5</v>
      </c>
      <c r="C4897">
        <f>16.75</f>
        <v>16.75</v>
      </c>
      <c r="D4897">
        <f>11.97</f>
        <v>11.97</v>
      </c>
      <c r="E4897" t="e">
        <f>NA()</f>
        <v>#N/A</v>
      </c>
    </row>
    <row r="4898" spans="1:5" x14ac:dyDescent="0.2">
      <c r="A4898" s="1">
        <v>38266</v>
      </c>
      <c r="B4898">
        <f>13.28</f>
        <v>13.28</v>
      </c>
      <c r="C4898">
        <f>16.29</f>
        <v>16.29</v>
      </c>
      <c r="D4898">
        <f>12.16</f>
        <v>12.16</v>
      </c>
      <c r="E4898" t="e">
        <f>NA()</f>
        <v>#N/A</v>
      </c>
    </row>
    <row r="4899" spans="1:5" x14ac:dyDescent="0.2">
      <c r="A4899" s="1">
        <v>38265</v>
      </c>
      <c r="B4899">
        <f>13.95</f>
        <v>13.95</v>
      </c>
      <c r="C4899">
        <f>16.35</f>
        <v>16.350000000000001</v>
      </c>
      <c r="D4899">
        <f>12.28</f>
        <v>12.28</v>
      </c>
      <c r="E4899" t="e">
        <f>NA()</f>
        <v>#N/A</v>
      </c>
    </row>
    <row r="4900" spans="1:5" x14ac:dyDescent="0.2">
      <c r="A4900" s="1">
        <v>38264</v>
      </c>
      <c r="B4900">
        <f>13.41</f>
        <v>13.41</v>
      </c>
      <c r="C4900">
        <f>16.16</f>
        <v>16.16</v>
      </c>
      <c r="D4900">
        <f>11.72</f>
        <v>11.72</v>
      </c>
      <c r="E4900" t="e">
        <f>NA()</f>
        <v>#N/A</v>
      </c>
    </row>
    <row r="4901" spans="1:5" x14ac:dyDescent="0.2">
      <c r="A4901" s="1">
        <v>38261</v>
      </c>
      <c r="B4901">
        <f>12.75</f>
        <v>12.75</v>
      </c>
      <c r="C4901">
        <f>15.57</f>
        <v>15.57</v>
      </c>
      <c r="D4901">
        <f>11.39</f>
        <v>11.39</v>
      </c>
      <c r="E4901" t="e">
        <f>NA()</f>
        <v>#N/A</v>
      </c>
    </row>
    <row r="4902" spans="1:5" x14ac:dyDescent="0.2">
      <c r="A4902" s="1">
        <v>38260</v>
      </c>
      <c r="B4902">
        <f>13.34</f>
        <v>13.34</v>
      </c>
      <c r="C4902">
        <f>16.51</f>
        <v>16.510000000000002</v>
      </c>
      <c r="D4902">
        <f>12.19</f>
        <v>12.19</v>
      </c>
      <c r="E4902" t="e">
        <f>NA()</f>
        <v>#N/A</v>
      </c>
    </row>
    <row r="4903" spans="1:5" x14ac:dyDescent="0.2">
      <c r="A4903" s="1">
        <v>38259</v>
      </c>
      <c r="B4903">
        <f>13.21</f>
        <v>13.21</v>
      </c>
      <c r="C4903">
        <f>16.54</f>
        <v>16.54</v>
      </c>
      <c r="D4903">
        <f>12.21</f>
        <v>12.21</v>
      </c>
      <c r="E4903" t="e">
        <f>NA()</f>
        <v>#N/A</v>
      </c>
    </row>
    <row r="4904" spans="1:5" x14ac:dyDescent="0.2">
      <c r="A4904" s="1">
        <v>38258</v>
      </c>
      <c r="B4904">
        <f>13.83</f>
        <v>13.83</v>
      </c>
      <c r="C4904">
        <f>17</f>
        <v>17</v>
      </c>
      <c r="D4904">
        <f>12.8</f>
        <v>12.8</v>
      </c>
      <c r="E4904" t="e">
        <f>NA()</f>
        <v>#N/A</v>
      </c>
    </row>
    <row r="4905" spans="1:5" x14ac:dyDescent="0.2">
      <c r="A4905" s="1">
        <v>38257</v>
      </c>
      <c r="B4905">
        <f>14.62</f>
        <v>14.62</v>
      </c>
      <c r="C4905">
        <f>17.32</f>
        <v>17.32</v>
      </c>
      <c r="D4905">
        <f>13.21</f>
        <v>13.21</v>
      </c>
      <c r="E4905" t="e">
        <f>NA()</f>
        <v>#N/A</v>
      </c>
    </row>
    <row r="4906" spans="1:5" x14ac:dyDescent="0.2">
      <c r="A4906" s="1">
        <v>38254</v>
      </c>
      <c r="B4906">
        <f>14.28</f>
        <v>14.28</v>
      </c>
      <c r="C4906">
        <f>16.51</f>
        <v>16.510000000000002</v>
      </c>
      <c r="D4906">
        <f>12.63</f>
        <v>12.63</v>
      </c>
      <c r="E4906" t="e">
        <f>NA()</f>
        <v>#N/A</v>
      </c>
    </row>
    <row r="4907" spans="1:5" x14ac:dyDescent="0.2">
      <c r="A4907" s="1">
        <v>38253</v>
      </c>
      <c r="B4907">
        <f>14.8</f>
        <v>14.8</v>
      </c>
      <c r="C4907">
        <f>17.48</f>
        <v>17.48</v>
      </c>
      <c r="D4907">
        <f>13.63</f>
        <v>13.63</v>
      </c>
      <c r="E4907" t="e">
        <f>NA()</f>
        <v>#N/A</v>
      </c>
    </row>
    <row r="4908" spans="1:5" x14ac:dyDescent="0.2">
      <c r="A4908" s="1">
        <v>38252</v>
      </c>
      <c r="B4908">
        <f>14.74</f>
        <v>14.74</v>
      </c>
      <c r="C4908">
        <f>17</f>
        <v>17</v>
      </c>
      <c r="D4908">
        <f>13</f>
        <v>13</v>
      </c>
      <c r="E4908" t="e">
        <f>NA()</f>
        <v>#N/A</v>
      </c>
    </row>
    <row r="4909" spans="1:5" x14ac:dyDescent="0.2">
      <c r="A4909" s="1">
        <v>38251</v>
      </c>
      <c r="B4909">
        <f>13.66</f>
        <v>13.66</v>
      </c>
      <c r="C4909">
        <f>16.09</f>
        <v>16.09</v>
      </c>
      <c r="D4909">
        <f>12.3</f>
        <v>12.3</v>
      </c>
      <c r="E4909" t="e">
        <f>NA()</f>
        <v>#N/A</v>
      </c>
    </row>
    <row r="4910" spans="1:5" x14ac:dyDescent="0.2">
      <c r="A4910" s="1">
        <v>38250</v>
      </c>
      <c r="B4910">
        <f>14.43</f>
        <v>14.43</v>
      </c>
      <c r="C4910">
        <f>16.76</f>
        <v>16.760000000000002</v>
      </c>
      <c r="D4910">
        <f>12.66</f>
        <v>12.66</v>
      </c>
      <c r="E4910" t="e">
        <f>NA()</f>
        <v>#N/A</v>
      </c>
    </row>
    <row r="4911" spans="1:5" x14ac:dyDescent="0.2">
      <c r="A4911" s="1">
        <v>38247</v>
      </c>
      <c r="B4911">
        <f>14.03</f>
        <v>14.03</v>
      </c>
      <c r="C4911">
        <f>16.2</f>
        <v>16.2</v>
      </c>
      <c r="D4911">
        <f>11.68</f>
        <v>11.68</v>
      </c>
      <c r="E4911" t="e">
        <f>NA()</f>
        <v>#N/A</v>
      </c>
    </row>
    <row r="4912" spans="1:5" x14ac:dyDescent="0.2">
      <c r="A4912" s="1">
        <v>38246</v>
      </c>
      <c r="B4912">
        <f>14.39</f>
        <v>14.39</v>
      </c>
      <c r="C4912">
        <f>16.79</f>
        <v>16.79</v>
      </c>
      <c r="D4912">
        <f>12.57</f>
        <v>12.57</v>
      </c>
      <c r="E4912" t="e">
        <f>NA()</f>
        <v>#N/A</v>
      </c>
    </row>
    <row r="4913" spans="1:5" x14ac:dyDescent="0.2">
      <c r="A4913" s="1">
        <v>38245</v>
      </c>
      <c r="B4913">
        <f>14.64</f>
        <v>14.64</v>
      </c>
      <c r="C4913">
        <f>16.65</f>
        <v>16.649999999999999</v>
      </c>
      <c r="D4913">
        <f>12.88</f>
        <v>12.88</v>
      </c>
      <c r="E4913" t="e">
        <f>NA()</f>
        <v>#N/A</v>
      </c>
    </row>
    <row r="4914" spans="1:5" x14ac:dyDescent="0.2">
      <c r="A4914" s="1">
        <v>38244</v>
      </c>
      <c r="B4914">
        <f>13.56</f>
        <v>13.56</v>
      </c>
      <c r="C4914">
        <f>16.11</f>
        <v>16.11</v>
      </c>
      <c r="D4914">
        <f>12.64</f>
        <v>12.64</v>
      </c>
      <c r="E4914" t="e">
        <f>NA()</f>
        <v>#N/A</v>
      </c>
    </row>
    <row r="4915" spans="1:5" x14ac:dyDescent="0.2">
      <c r="A4915" s="1">
        <v>38243</v>
      </c>
      <c r="B4915">
        <f>13.17</f>
        <v>13.17</v>
      </c>
      <c r="C4915">
        <f>16.32</f>
        <v>16.32</v>
      </c>
      <c r="D4915">
        <f>12.52</f>
        <v>12.52</v>
      </c>
      <c r="E4915" t="e">
        <f>NA()</f>
        <v>#N/A</v>
      </c>
    </row>
    <row r="4916" spans="1:5" x14ac:dyDescent="0.2">
      <c r="A4916" s="1">
        <v>38240</v>
      </c>
      <c r="B4916">
        <f>13.76</f>
        <v>13.76</v>
      </c>
      <c r="C4916">
        <f>16.34</f>
        <v>16.34</v>
      </c>
      <c r="D4916">
        <f>12.14</f>
        <v>12.14</v>
      </c>
      <c r="E4916" t="e">
        <f>NA()</f>
        <v>#N/A</v>
      </c>
    </row>
    <row r="4917" spans="1:5" x14ac:dyDescent="0.2">
      <c r="A4917" s="1">
        <v>38239</v>
      </c>
      <c r="B4917">
        <f>14.01</f>
        <v>14.01</v>
      </c>
      <c r="C4917">
        <f>16.61</f>
        <v>16.61</v>
      </c>
      <c r="D4917">
        <f>12.55</f>
        <v>12.55</v>
      </c>
      <c r="E4917" t="e">
        <f>NA()</f>
        <v>#N/A</v>
      </c>
    </row>
    <row r="4918" spans="1:5" x14ac:dyDescent="0.2">
      <c r="A4918" s="1">
        <v>38238</v>
      </c>
      <c r="B4918">
        <f>14.06</f>
        <v>14.06</v>
      </c>
      <c r="C4918">
        <f>16.24</f>
        <v>16.239999999999998</v>
      </c>
      <c r="D4918">
        <f>12.75</f>
        <v>12.75</v>
      </c>
      <c r="E4918" t="e">
        <f>NA()</f>
        <v>#N/A</v>
      </c>
    </row>
    <row r="4919" spans="1:5" x14ac:dyDescent="0.2">
      <c r="A4919" s="1">
        <v>38237</v>
      </c>
      <c r="B4919">
        <f>14.07</f>
        <v>14.07</v>
      </c>
      <c r="C4919">
        <f>16.23</f>
        <v>16.23</v>
      </c>
      <c r="D4919">
        <f>12.41</f>
        <v>12.41</v>
      </c>
      <c r="E4919" t="e">
        <f>NA()</f>
        <v>#N/A</v>
      </c>
    </row>
    <row r="4920" spans="1:5" x14ac:dyDescent="0.2">
      <c r="A4920" s="1">
        <v>38236</v>
      </c>
      <c r="B4920" t="e">
        <f>NA()</f>
        <v>#N/A</v>
      </c>
      <c r="C4920">
        <f>16.29</f>
        <v>16.29</v>
      </c>
      <c r="D4920">
        <f>12.31</f>
        <v>12.31</v>
      </c>
      <c r="E4920" t="e">
        <f>NA()</f>
        <v>#N/A</v>
      </c>
    </row>
    <row r="4921" spans="1:5" x14ac:dyDescent="0.2">
      <c r="A4921" s="1">
        <v>38233</v>
      </c>
      <c r="B4921">
        <f>13.91</f>
        <v>13.91</v>
      </c>
      <c r="C4921">
        <f>16.55</f>
        <v>16.55</v>
      </c>
      <c r="D4921">
        <f>11.85</f>
        <v>11.85</v>
      </c>
      <c r="E4921" t="e">
        <f>NA()</f>
        <v>#N/A</v>
      </c>
    </row>
    <row r="4922" spans="1:5" x14ac:dyDescent="0.2">
      <c r="A4922" s="1">
        <v>38232</v>
      </c>
      <c r="B4922">
        <f>14.28</f>
        <v>14.28</v>
      </c>
      <c r="C4922">
        <f>17.61</f>
        <v>17.61</v>
      </c>
      <c r="D4922">
        <f>12.6</f>
        <v>12.6</v>
      </c>
      <c r="E4922" t="e">
        <f>NA()</f>
        <v>#N/A</v>
      </c>
    </row>
    <row r="4923" spans="1:5" x14ac:dyDescent="0.2">
      <c r="A4923" s="1">
        <v>38231</v>
      </c>
      <c r="B4923">
        <f>14.91</f>
        <v>14.91</v>
      </c>
      <c r="C4923">
        <f>17.96</f>
        <v>17.96</v>
      </c>
      <c r="D4923" t="e">
        <f>NA()</f>
        <v>#N/A</v>
      </c>
      <c r="E4923" t="e">
        <f>NA()</f>
        <v>#N/A</v>
      </c>
    </row>
    <row r="4924" spans="1:5" x14ac:dyDescent="0.2">
      <c r="A4924" s="1">
        <v>38230</v>
      </c>
      <c r="B4924">
        <f>15.29</f>
        <v>15.29</v>
      </c>
      <c r="C4924">
        <f>18.75</f>
        <v>18.75</v>
      </c>
      <c r="D4924">
        <f>13.17</f>
        <v>13.17</v>
      </c>
      <c r="E4924" t="e">
        <f>NA()</f>
        <v>#N/A</v>
      </c>
    </row>
    <row r="4925" spans="1:5" x14ac:dyDescent="0.2">
      <c r="A4925" s="1">
        <v>38229</v>
      </c>
      <c r="B4925">
        <f>15.44</f>
        <v>15.44</v>
      </c>
      <c r="C4925">
        <f>17.57</f>
        <v>17.57</v>
      </c>
      <c r="D4925" t="e">
        <f>NA()</f>
        <v>#N/A</v>
      </c>
      <c r="E4925" t="e">
        <f>NA()</f>
        <v>#N/A</v>
      </c>
    </row>
    <row r="4926" spans="1:5" x14ac:dyDescent="0.2">
      <c r="A4926" s="1">
        <v>38226</v>
      </c>
      <c r="B4926">
        <f>14.71</f>
        <v>14.71</v>
      </c>
      <c r="C4926">
        <f>16.55</f>
        <v>16.55</v>
      </c>
      <c r="D4926">
        <f>12.38</f>
        <v>12.38</v>
      </c>
      <c r="E4926" t="e">
        <f>NA()</f>
        <v>#N/A</v>
      </c>
    </row>
    <row r="4927" spans="1:5" x14ac:dyDescent="0.2">
      <c r="A4927" s="1">
        <v>38225</v>
      </c>
      <c r="B4927">
        <f>14.91</f>
        <v>14.91</v>
      </c>
      <c r="C4927">
        <f>17.16</f>
        <v>17.16</v>
      </c>
      <c r="D4927">
        <f>12.94</f>
        <v>12.94</v>
      </c>
      <c r="E4927" t="e">
        <f>NA()</f>
        <v>#N/A</v>
      </c>
    </row>
    <row r="4928" spans="1:5" x14ac:dyDescent="0.2">
      <c r="A4928" s="1">
        <v>38224</v>
      </c>
      <c r="B4928">
        <f>14.98</f>
        <v>14.98</v>
      </c>
      <c r="C4928">
        <f>17.66</f>
        <v>17.66</v>
      </c>
      <c r="D4928">
        <f>13.83</f>
        <v>13.83</v>
      </c>
      <c r="E4928" t="e">
        <f>NA()</f>
        <v>#N/A</v>
      </c>
    </row>
    <row r="4929" spans="1:5" x14ac:dyDescent="0.2">
      <c r="A4929" s="1">
        <v>38223</v>
      </c>
      <c r="B4929">
        <f>15.33</f>
        <v>15.33</v>
      </c>
      <c r="C4929">
        <f>17.56</f>
        <v>17.559999999999999</v>
      </c>
      <c r="D4929">
        <f>13.93</f>
        <v>13.93</v>
      </c>
      <c r="E4929" t="e">
        <f>NA()</f>
        <v>#N/A</v>
      </c>
    </row>
    <row r="4930" spans="1:5" x14ac:dyDescent="0.2">
      <c r="A4930" s="1">
        <v>38222</v>
      </c>
      <c r="B4930">
        <f>15.88</f>
        <v>15.88</v>
      </c>
      <c r="C4930">
        <f>18.44</f>
        <v>18.440000000000001</v>
      </c>
      <c r="D4930">
        <f>14.16</f>
        <v>14.16</v>
      </c>
      <c r="E4930" t="e">
        <f>NA()</f>
        <v>#N/A</v>
      </c>
    </row>
    <row r="4931" spans="1:5" x14ac:dyDescent="0.2">
      <c r="A4931" s="1">
        <v>38219</v>
      </c>
      <c r="B4931">
        <f>16</f>
        <v>16</v>
      </c>
      <c r="C4931">
        <f>18.7</f>
        <v>18.7</v>
      </c>
      <c r="D4931">
        <f>14.82</f>
        <v>14.82</v>
      </c>
      <c r="E4931" t="e">
        <f>NA()</f>
        <v>#N/A</v>
      </c>
    </row>
    <row r="4932" spans="1:5" x14ac:dyDescent="0.2">
      <c r="A4932" s="1">
        <v>38218</v>
      </c>
      <c r="B4932">
        <f>16.96</f>
        <v>16.96</v>
      </c>
      <c r="C4932">
        <f>20.59</f>
        <v>20.59</v>
      </c>
      <c r="D4932">
        <f>15.18</f>
        <v>15.18</v>
      </c>
      <c r="E4932" t="e">
        <f>NA()</f>
        <v>#N/A</v>
      </c>
    </row>
    <row r="4933" spans="1:5" x14ac:dyDescent="0.2">
      <c r="A4933" s="1">
        <v>38217</v>
      </c>
      <c r="B4933">
        <f>16.23</f>
        <v>16.23</v>
      </c>
      <c r="C4933">
        <f>20.69</f>
        <v>20.69</v>
      </c>
      <c r="D4933">
        <f>15.13</f>
        <v>15.13</v>
      </c>
      <c r="E4933" t="e">
        <f>NA()</f>
        <v>#N/A</v>
      </c>
    </row>
    <row r="4934" spans="1:5" x14ac:dyDescent="0.2">
      <c r="A4934" s="1">
        <v>38216</v>
      </c>
      <c r="B4934">
        <f>17.02</f>
        <v>17.02</v>
      </c>
      <c r="C4934">
        <f>21.42</f>
        <v>21.42</v>
      </c>
      <c r="D4934">
        <f>15.29</f>
        <v>15.29</v>
      </c>
      <c r="E4934" t="e">
        <f>NA()</f>
        <v>#N/A</v>
      </c>
    </row>
    <row r="4935" spans="1:5" x14ac:dyDescent="0.2">
      <c r="A4935" s="1">
        <v>38215</v>
      </c>
      <c r="B4935">
        <f>17.57</f>
        <v>17.57</v>
      </c>
      <c r="C4935">
        <f>21.26</f>
        <v>21.26</v>
      </c>
      <c r="D4935">
        <f>15.63</f>
        <v>15.63</v>
      </c>
      <c r="E4935" t="e">
        <f>NA()</f>
        <v>#N/A</v>
      </c>
    </row>
    <row r="4936" spans="1:5" x14ac:dyDescent="0.2">
      <c r="A4936" s="1">
        <v>38212</v>
      </c>
      <c r="B4936">
        <f>17.98</f>
        <v>17.98</v>
      </c>
      <c r="C4936">
        <f>23.44</f>
        <v>23.44</v>
      </c>
      <c r="D4936">
        <f>15.66</f>
        <v>15.66</v>
      </c>
      <c r="E4936" t="e">
        <f>NA()</f>
        <v>#N/A</v>
      </c>
    </row>
    <row r="4937" spans="1:5" x14ac:dyDescent="0.2">
      <c r="A4937" s="1">
        <v>38211</v>
      </c>
      <c r="B4937">
        <f>19.08</f>
        <v>19.079999999999998</v>
      </c>
      <c r="C4937">
        <f>23.17</f>
        <v>23.17</v>
      </c>
      <c r="D4937">
        <f>15.13</f>
        <v>15.13</v>
      </c>
      <c r="E4937" t="e">
        <f>NA()</f>
        <v>#N/A</v>
      </c>
    </row>
    <row r="4938" spans="1:5" x14ac:dyDescent="0.2">
      <c r="A4938" s="1">
        <v>38210</v>
      </c>
      <c r="B4938">
        <f>18.04</f>
        <v>18.04</v>
      </c>
      <c r="C4938">
        <f>22.47</f>
        <v>22.47</v>
      </c>
      <c r="D4938">
        <f>15.52</f>
        <v>15.52</v>
      </c>
      <c r="E4938" t="e">
        <f>NA()</f>
        <v>#N/A</v>
      </c>
    </row>
    <row r="4939" spans="1:5" x14ac:dyDescent="0.2">
      <c r="A4939" s="1">
        <v>38209</v>
      </c>
      <c r="B4939">
        <f>17.47</f>
        <v>17.47</v>
      </c>
      <c r="C4939">
        <f>21.29</f>
        <v>21.29</v>
      </c>
      <c r="D4939">
        <f>15.1</f>
        <v>15.1</v>
      </c>
      <c r="E4939" t="e">
        <f>NA()</f>
        <v>#N/A</v>
      </c>
    </row>
    <row r="4940" spans="1:5" x14ac:dyDescent="0.2">
      <c r="A4940" s="1">
        <v>38208</v>
      </c>
      <c r="B4940">
        <f>18.89</f>
        <v>18.89</v>
      </c>
      <c r="C4940">
        <f>22.9</f>
        <v>22.9</v>
      </c>
      <c r="D4940">
        <f>15.81</f>
        <v>15.81</v>
      </c>
      <c r="E4940" t="e">
        <f>NA()</f>
        <v>#N/A</v>
      </c>
    </row>
    <row r="4941" spans="1:5" x14ac:dyDescent="0.2">
      <c r="A4941" s="1">
        <v>38205</v>
      </c>
      <c r="B4941">
        <f>19.34</f>
        <v>19.34</v>
      </c>
      <c r="C4941">
        <f>22.3</f>
        <v>22.3</v>
      </c>
      <c r="D4941">
        <f>15.1</f>
        <v>15.1</v>
      </c>
      <c r="E4941" t="e">
        <f>NA()</f>
        <v>#N/A</v>
      </c>
    </row>
    <row r="4942" spans="1:5" x14ac:dyDescent="0.2">
      <c r="A4942" s="1">
        <v>38204</v>
      </c>
      <c r="B4942">
        <f>18.32</f>
        <v>18.32</v>
      </c>
      <c r="C4942">
        <f>18.97</f>
        <v>18.97</v>
      </c>
      <c r="D4942">
        <f>13.77</f>
        <v>13.77</v>
      </c>
      <c r="E4942" t="e">
        <f>NA()</f>
        <v>#N/A</v>
      </c>
    </row>
    <row r="4943" spans="1:5" x14ac:dyDescent="0.2">
      <c r="A4943" s="1">
        <v>38203</v>
      </c>
      <c r="B4943">
        <f>16.21</f>
        <v>16.21</v>
      </c>
      <c r="C4943">
        <f>19.1</f>
        <v>19.100000000000001</v>
      </c>
      <c r="D4943">
        <f>14.21</f>
        <v>14.21</v>
      </c>
      <c r="E4943" t="e">
        <f>NA()</f>
        <v>#N/A</v>
      </c>
    </row>
    <row r="4944" spans="1:5" x14ac:dyDescent="0.2">
      <c r="A4944" s="1">
        <v>38202</v>
      </c>
      <c r="B4944">
        <f>16.03</f>
        <v>16.03</v>
      </c>
      <c r="C4944">
        <f>18.68</f>
        <v>18.68</v>
      </c>
      <c r="D4944">
        <f>13.77</f>
        <v>13.77</v>
      </c>
      <c r="E4944" t="e">
        <f>NA()</f>
        <v>#N/A</v>
      </c>
    </row>
    <row r="4945" spans="1:5" x14ac:dyDescent="0.2">
      <c r="A4945" s="1">
        <v>38201</v>
      </c>
      <c r="B4945">
        <f>15.37</f>
        <v>15.37</v>
      </c>
      <c r="C4945">
        <f>19.32</f>
        <v>19.32</v>
      </c>
      <c r="D4945">
        <f>13.92</f>
        <v>13.92</v>
      </c>
      <c r="E4945" t="e">
        <f>NA()</f>
        <v>#N/A</v>
      </c>
    </row>
    <row r="4946" spans="1:5" x14ac:dyDescent="0.2">
      <c r="A4946" s="1">
        <v>38198</v>
      </c>
      <c r="B4946">
        <f>15.32</f>
        <v>15.32</v>
      </c>
      <c r="C4946">
        <f>18.24</f>
        <v>18.239999999999998</v>
      </c>
      <c r="D4946">
        <f>13.75</f>
        <v>13.75</v>
      </c>
      <c r="E4946" t="e">
        <f>NA()</f>
        <v>#N/A</v>
      </c>
    </row>
    <row r="4947" spans="1:5" x14ac:dyDescent="0.2">
      <c r="A4947" s="1">
        <v>38197</v>
      </c>
      <c r="B4947">
        <f>15.68</f>
        <v>15.68</v>
      </c>
      <c r="C4947">
        <f>18.49</f>
        <v>18.489999999999998</v>
      </c>
      <c r="D4947">
        <f>14</f>
        <v>14</v>
      </c>
      <c r="E4947" t="e">
        <f>NA()</f>
        <v>#N/A</v>
      </c>
    </row>
    <row r="4948" spans="1:5" x14ac:dyDescent="0.2">
      <c r="A4948" s="1">
        <v>38196</v>
      </c>
      <c r="B4948">
        <f>16.15</f>
        <v>16.149999999999999</v>
      </c>
      <c r="C4948">
        <f>19.84</f>
        <v>19.84</v>
      </c>
      <c r="D4948">
        <f>14.88</f>
        <v>14.88</v>
      </c>
      <c r="E4948" t="e">
        <f>NA()</f>
        <v>#N/A</v>
      </c>
    </row>
    <row r="4949" spans="1:5" x14ac:dyDescent="0.2">
      <c r="A4949" s="1">
        <v>38195</v>
      </c>
      <c r="B4949">
        <f>16.55</f>
        <v>16.55</v>
      </c>
      <c r="C4949">
        <f>19.43</f>
        <v>19.43</v>
      </c>
      <c r="D4949">
        <f>15.26</f>
        <v>15.26</v>
      </c>
      <c r="E4949" t="e">
        <f>NA()</f>
        <v>#N/A</v>
      </c>
    </row>
    <row r="4950" spans="1:5" x14ac:dyDescent="0.2">
      <c r="A4950" s="1">
        <v>38194</v>
      </c>
      <c r="B4950">
        <f>17.3</f>
        <v>17.3</v>
      </c>
      <c r="C4950">
        <f>20.58</f>
        <v>20.58</v>
      </c>
      <c r="D4950">
        <f>15.97</f>
        <v>15.97</v>
      </c>
      <c r="E4950" t="e">
        <f>NA()</f>
        <v>#N/A</v>
      </c>
    </row>
    <row r="4951" spans="1:5" x14ac:dyDescent="0.2">
      <c r="A4951" s="1">
        <v>38191</v>
      </c>
      <c r="B4951">
        <f>16.5</f>
        <v>16.5</v>
      </c>
      <c r="C4951">
        <f>19.66</f>
        <v>19.66</v>
      </c>
      <c r="D4951">
        <f>15.3</f>
        <v>15.3</v>
      </c>
      <c r="E4951" t="e">
        <f>NA()</f>
        <v>#N/A</v>
      </c>
    </row>
    <row r="4952" spans="1:5" x14ac:dyDescent="0.2">
      <c r="A4952" s="1">
        <v>38190</v>
      </c>
      <c r="B4952">
        <f>15.75</f>
        <v>15.75</v>
      </c>
      <c r="C4952">
        <f>19.17</f>
        <v>19.170000000000002</v>
      </c>
      <c r="D4952">
        <f>15.4</f>
        <v>15.4</v>
      </c>
      <c r="E4952" t="e">
        <f>NA()</f>
        <v>#N/A</v>
      </c>
    </row>
    <row r="4953" spans="1:5" x14ac:dyDescent="0.2">
      <c r="A4953" s="1">
        <v>38189</v>
      </c>
      <c r="B4953">
        <f>16.41</f>
        <v>16.41</v>
      </c>
      <c r="C4953">
        <f>17.56</f>
        <v>17.559999999999999</v>
      </c>
      <c r="D4953">
        <f>13.56</f>
        <v>13.56</v>
      </c>
      <c r="E4953" t="e">
        <f>NA()</f>
        <v>#N/A</v>
      </c>
    </row>
    <row r="4954" spans="1:5" x14ac:dyDescent="0.2">
      <c r="A4954" s="1">
        <v>38188</v>
      </c>
      <c r="B4954">
        <f>14.17</f>
        <v>14.17</v>
      </c>
      <c r="C4954">
        <f>18.18</f>
        <v>18.18</v>
      </c>
      <c r="D4954">
        <f>13.72</f>
        <v>13.72</v>
      </c>
      <c r="E4954" t="e">
        <f>NA()</f>
        <v>#N/A</v>
      </c>
    </row>
    <row r="4955" spans="1:5" x14ac:dyDescent="0.2">
      <c r="A4955" s="1">
        <v>38187</v>
      </c>
      <c r="B4955">
        <f>15.17</f>
        <v>15.17</v>
      </c>
      <c r="C4955">
        <f>18.31</f>
        <v>18.309999999999999</v>
      </c>
      <c r="D4955">
        <f>13.97</f>
        <v>13.97</v>
      </c>
      <c r="E4955" t="e">
        <f>NA()</f>
        <v>#N/A</v>
      </c>
    </row>
    <row r="4956" spans="1:5" x14ac:dyDescent="0.2">
      <c r="A4956" s="1">
        <v>38184</v>
      </c>
      <c r="B4956">
        <f>14.34</f>
        <v>14.34</v>
      </c>
      <c r="C4956">
        <f>17.26</f>
        <v>17.260000000000002</v>
      </c>
      <c r="D4956">
        <f>12.98</f>
        <v>12.98</v>
      </c>
      <c r="E4956" t="e">
        <f>NA()</f>
        <v>#N/A</v>
      </c>
    </row>
    <row r="4957" spans="1:5" x14ac:dyDescent="0.2">
      <c r="A4957" s="1">
        <v>38183</v>
      </c>
      <c r="B4957">
        <f>14.71</f>
        <v>14.71</v>
      </c>
      <c r="C4957">
        <f>18.17</f>
        <v>18.170000000000002</v>
      </c>
      <c r="D4957">
        <f>13.46</f>
        <v>13.46</v>
      </c>
      <c r="E4957" t="e">
        <f>NA()</f>
        <v>#N/A</v>
      </c>
    </row>
    <row r="4958" spans="1:5" x14ac:dyDescent="0.2">
      <c r="A4958" s="1">
        <v>38182</v>
      </c>
      <c r="B4958">
        <f>13.76</f>
        <v>13.76</v>
      </c>
      <c r="C4958">
        <f>18.67</f>
        <v>18.670000000000002</v>
      </c>
      <c r="D4958">
        <f>13.08</f>
        <v>13.08</v>
      </c>
      <c r="E4958" t="e">
        <f>NA()</f>
        <v>#N/A</v>
      </c>
    </row>
    <row r="4959" spans="1:5" x14ac:dyDescent="0.2">
      <c r="A4959" s="1">
        <v>38181</v>
      </c>
      <c r="B4959">
        <f>14.46</f>
        <v>14.46</v>
      </c>
      <c r="C4959">
        <f>18.74</f>
        <v>18.739999999999998</v>
      </c>
      <c r="D4959">
        <f>13.43</f>
        <v>13.43</v>
      </c>
      <c r="E4959" t="e">
        <f>NA()</f>
        <v>#N/A</v>
      </c>
    </row>
    <row r="4960" spans="1:5" x14ac:dyDescent="0.2">
      <c r="A4960" s="1">
        <v>38180</v>
      </c>
      <c r="B4960">
        <f>14.96</f>
        <v>14.96</v>
      </c>
      <c r="C4960">
        <f>19.26</f>
        <v>19.260000000000002</v>
      </c>
      <c r="D4960">
        <f>13.17</f>
        <v>13.17</v>
      </c>
      <c r="E4960" t="e">
        <f>NA()</f>
        <v>#N/A</v>
      </c>
    </row>
    <row r="4961" spans="1:5" x14ac:dyDescent="0.2">
      <c r="A4961" s="1">
        <v>38177</v>
      </c>
      <c r="B4961">
        <f>15.78</f>
        <v>15.78</v>
      </c>
      <c r="C4961">
        <f>18.43</f>
        <v>18.43</v>
      </c>
      <c r="D4961">
        <f>11.68</f>
        <v>11.68</v>
      </c>
      <c r="E4961" t="e">
        <f>NA()</f>
        <v>#N/A</v>
      </c>
    </row>
    <row r="4962" spans="1:5" x14ac:dyDescent="0.2">
      <c r="A4962" s="1">
        <v>38176</v>
      </c>
      <c r="B4962">
        <f>16.2</f>
        <v>16.2</v>
      </c>
      <c r="C4962">
        <f>19.08</f>
        <v>19.079999999999998</v>
      </c>
      <c r="D4962">
        <f>12.62</f>
        <v>12.62</v>
      </c>
      <c r="E4962" t="e">
        <f>NA()</f>
        <v>#N/A</v>
      </c>
    </row>
    <row r="4963" spans="1:5" x14ac:dyDescent="0.2">
      <c r="A4963" s="1">
        <v>38175</v>
      </c>
      <c r="B4963">
        <f>15.81</f>
        <v>15.81</v>
      </c>
      <c r="C4963">
        <f>19.32</f>
        <v>19.32</v>
      </c>
      <c r="D4963">
        <f>15.37</f>
        <v>15.37</v>
      </c>
      <c r="E4963" t="e">
        <f>NA()</f>
        <v>#N/A</v>
      </c>
    </row>
    <row r="4964" spans="1:5" x14ac:dyDescent="0.2">
      <c r="A4964" s="1">
        <v>38174</v>
      </c>
      <c r="B4964">
        <f>16.25</f>
        <v>16.25</v>
      </c>
      <c r="C4964">
        <f>19.89</f>
        <v>19.89</v>
      </c>
      <c r="D4964">
        <f>15.79</f>
        <v>15.79</v>
      </c>
      <c r="E4964" t="e">
        <f>NA()</f>
        <v>#N/A</v>
      </c>
    </row>
    <row r="4965" spans="1:5" x14ac:dyDescent="0.2">
      <c r="A4965" s="1">
        <v>38173</v>
      </c>
      <c r="B4965" t="e">
        <f>NA()</f>
        <v>#N/A</v>
      </c>
      <c r="C4965">
        <f>18.41</f>
        <v>18.41</v>
      </c>
      <c r="D4965">
        <f>14.4</f>
        <v>14.4</v>
      </c>
      <c r="E4965" t="e">
        <f>NA()</f>
        <v>#N/A</v>
      </c>
    </row>
    <row r="4966" spans="1:5" x14ac:dyDescent="0.2">
      <c r="A4966" s="1">
        <v>38170</v>
      </c>
      <c r="B4966">
        <f>15.08</f>
        <v>15.08</v>
      </c>
      <c r="C4966">
        <f>18.7</f>
        <v>18.7</v>
      </c>
      <c r="D4966">
        <f>14.11</f>
        <v>14.11</v>
      </c>
      <c r="E4966" t="e">
        <f>NA()</f>
        <v>#N/A</v>
      </c>
    </row>
    <row r="4967" spans="1:5" x14ac:dyDescent="0.2">
      <c r="A4967" s="1">
        <v>38169</v>
      </c>
      <c r="B4967">
        <f>15.2</f>
        <v>15.2</v>
      </c>
      <c r="C4967">
        <f>19.04</f>
        <v>19.04</v>
      </c>
      <c r="D4967">
        <f>14.2</f>
        <v>14.2</v>
      </c>
      <c r="E4967" t="e">
        <f>NA()</f>
        <v>#N/A</v>
      </c>
    </row>
    <row r="4968" spans="1:5" x14ac:dyDescent="0.2">
      <c r="A4968" s="1">
        <v>38168</v>
      </c>
      <c r="B4968">
        <f>14.34</f>
        <v>14.34</v>
      </c>
      <c r="C4968">
        <f>18.5</f>
        <v>18.5</v>
      </c>
      <c r="D4968">
        <f>14</f>
        <v>14</v>
      </c>
      <c r="E4968" t="e">
        <f>NA()</f>
        <v>#N/A</v>
      </c>
    </row>
    <row r="4969" spans="1:5" x14ac:dyDescent="0.2">
      <c r="A4969" s="1">
        <v>38167</v>
      </c>
      <c r="B4969">
        <f>15.47</f>
        <v>15.47</v>
      </c>
      <c r="C4969">
        <f>18.28</f>
        <v>18.28</v>
      </c>
      <c r="D4969">
        <f>13.45</f>
        <v>13.45</v>
      </c>
      <c r="E4969" t="e">
        <f>NA()</f>
        <v>#N/A</v>
      </c>
    </row>
    <row r="4970" spans="1:5" x14ac:dyDescent="0.2">
      <c r="A4970" s="1">
        <v>38166</v>
      </c>
      <c r="B4970">
        <f>16.07</f>
        <v>16.07</v>
      </c>
      <c r="C4970">
        <f>18.29</f>
        <v>18.29</v>
      </c>
      <c r="D4970">
        <f>13.4</f>
        <v>13.4</v>
      </c>
      <c r="E4970" t="e">
        <f>NA()</f>
        <v>#N/A</v>
      </c>
    </row>
    <row r="4971" spans="1:5" x14ac:dyDescent="0.2">
      <c r="A4971" s="1">
        <v>38163</v>
      </c>
      <c r="B4971">
        <f>15.19</f>
        <v>15.19</v>
      </c>
      <c r="C4971">
        <f>18.11</f>
        <v>18.11</v>
      </c>
      <c r="D4971">
        <f>13.46</f>
        <v>13.46</v>
      </c>
      <c r="E4971" t="e">
        <f>NA()</f>
        <v>#N/A</v>
      </c>
    </row>
    <row r="4972" spans="1:5" x14ac:dyDescent="0.2">
      <c r="A4972" s="1">
        <v>38162</v>
      </c>
      <c r="B4972">
        <f>14.81</f>
        <v>14.81</v>
      </c>
      <c r="C4972">
        <f>17.83</f>
        <v>17.829999999999998</v>
      </c>
      <c r="D4972">
        <f>13.41</f>
        <v>13.41</v>
      </c>
      <c r="E4972" t="e">
        <f>NA()</f>
        <v>#N/A</v>
      </c>
    </row>
    <row r="4973" spans="1:5" x14ac:dyDescent="0.2">
      <c r="A4973" s="1">
        <v>38161</v>
      </c>
      <c r="B4973">
        <f>13.98</f>
        <v>13.98</v>
      </c>
      <c r="C4973">
        <f>17.92</f>
        <v>17.920000000000002</v>
      </c>
      <c r="D4973">
        <f>13.65</f>
        <v>13.65</v>
      </c>
      <c r="E4973" t="e">
        <f>NA()</f>
        <v>#N/A</v>
      </c>
    </row>
    <row r="4974" spans="1:5" x14ac:dyDescent="0.2">
      <c r="A4974" s="1">
        <v>38160</v>
      </c>
      <c r="B4974">
        <f>14.31</f>
        <v>14.31</v>
      </c>
      <c r="C4974">
        <f>18.8</f>
        <v>18.8</v>
      </c>
      <c r="D4974">
        <f>13.6</f>
        <v>13.6</v>
      </c>
      <c r="E4974" t="e">
        <f>NA()</f>
        <v>#N/A</v>
      </c>
    </row>
    <row r="4975" spans="1:5" x14ac:dyDescent="0.2">
      <c r="A4975" s="1">
        <v>38159</v>
      </c>
      <c r="B4975">
        <f>15.26</f>
        <v>15.26</v>
      </c>
      <c r="C4975">
        <f>17.72</f>
        <v>17.72</v>
      </c>
      <c r="D4975">
        <f>13.12</f>
        <v>13.12</v>
      </c>
      <c r="E4975" t="e">
        <f>NA()</f>
        <v>#N/A</v>
      </c>
    </row>
    <row r="4976" spans="1:5" x14ac:dyDescent="0.2">
      <c r="A4976" s="1">
        <v>38156</v>
      </c>
      <c r="B4976">
        <f>14.99</f>
        <v>14.99</v>
      </c>
      <c r="C4976">
        <f>18.18</f>
        <v>18.18</v>
      </c>
      <c r="D4976">
        <f>13.25</f>
        <v>13.25</v>
      </c>
      <c r="E4976" t="e">
        <f>NA()</f>
        <v>#N/A</v>
      </c>
    </row>
    <row r="4977" spans="1:5" x14ac:dyDescent="0.2">
      <c r="A4977" s="1">
        <v>38155</v>
      </c>
      <c r="B4977">
        <f>15.15</f>
        <v>15.15</v>
      </c>
      <c r="C4977">
        <f>18.75</f>
        <v>18.75</v>
      </c>
      <c r="D4977">
        <f>13.11</f>
        <v>13.11</v>
      </c>
      <c r="E4977" t="e">
        <f>NA()</f>
        <v>#N/A</v>
      </c>
    </row>
    <row r="4978" spans="1:5" x14ac:dyDescent="0.2">
      <c r="A4978" s="1">
        <v>38154</v>
      </c>
      <c r="B4978">
        <f>14.79</f>
        <v>14.79</v>
      </c>
      <c r="C4978">
        <f>17.67</f>
        <v>17.670000000000002</v>
      </c>
      <c r="D4978">
        <f>12.87</f>
        <v>12.87</v>
      </c>
      <c r="E4978" t="e">
        <f>NA()</f>
        <v>#N/A</v>
      </c>
    </row>
    <row r="4979" spans="1:5" x14ac:dyDescent="0.2">
      <c r="A4979" s="1">
        <v>38153</v>
      </c>
      <c r="B4979">
        <f>15.05</f>
        <v>15.05</v>
      </c>
      <c r="C4979">
        <f>18.15</f>
        <v>18.149999999999999</v>
      </c>
      <c r="D4979">
        <f>13.8</f>
        <v>13.8</v>
      </c>
      <c r="E4979" t="e">
        <f>NA()</f>
        <v>#N/A</v>
      </c>
    </row>
    <row r="4980" spans="1:5" x14ac:dyDescent="0.2">
      <c r="A4980" s="1">
        <v>38152</v>
      </c>
      <c r="B4980">
        <f>16.07</f>
        <v>16.07</v>
      </c>
      <c r="C4980">
        <f>20.5</f>
        <v>20.5</v>
      </c>
      <c r="D4980">
        <f>14.82</f>
        <v>14.82</v>
      </c>
      <c r="E4980" t="e">
        <f>NA()</f>
        <v>#N/A</v>
      </c>
    </row>
    <row r="4981" spans="1:5" x14ac:dyDescent="0.2">
      <c r="A4981" s="1">
        <v>38149</v>
      </c>
      <c r="B4981" t="e">
        <f>NA()</f>
        <v>#N/A</v>
      </c>
      <c r="C4981">
        <f>18.17</f>
        <v>18.170000000000002</v>
      </c>
      <c r="D4981">
        <f>13.22</f>
        <v>13.22</v>
      </c>
      <c r="E4981" t="e">
        <f>NA()</f>
        <v>#N/A</v>
      </c>
    </row>
    <row r="4982" spans="1:5" x14ac:dyDescent="0.2">
      <c r="A4982" s="1">
        <v>38148</v>
      </c>
      <c r="B4982">
        <f>15.04</f>
        <v>15.04</v>
      </c>
      <c r="C4982">
        <f>18.41</f>
        <v>18.41</v>
      </c>
      <c r="D4982">
        <f>13.38</f>
        <v>13.38</v>
      </c>
      <c r="E4982" t="e">
        <f>NA()</f>
        <v>#N/A</v>
      </c>
    </row>
    <row r="4983" spans="1:5" x14ac:dyDescent="0.2">
      <c r="A4983" s="1">
        <v>38147</v>
      </c>
      <c r="B4983">
        <f>15.39</f>
        <v>15.39</v>
      </c>
      <c r="C4983">
        <f>19.52</f>
        <v>19.52</v>
      </c>
      <c r="D4983">
        <f>14.24</f>
        <v>14.24</v>
      </c>
      <c r="E4983" t="e">
        <f>NA()</f>
        <v>#N/A</v>
      </c>
    </row>
    <row r="4984" spans="1:5" x14ac:dyDescent="0.2">
      <c r="A4984" s="1">
        <v>38146</v>
      </c>
      <c r="B4984">
        <f>15.01</f>
        <v>15.01</v>
      </c>
      <c r="C4984">
        <f>19.07</f>
        <v>19.07</v>
      </c>
      <c r="D4984">
        <f>14.12</f>
        <v>14.12</v>
      </c>
      <c r="E4984" t="e">
        <f>NA()</f>
        <v>#N/A</v>
      </c>
    </row>
    <row r="4985" spans="1:5" x14ac:dyDescent="0.2">
      <c r="A4985" s="1">
        <v>38145</v>
      </c>
      <c r="B4985">
        <f>15.39</f>
        <v>15.39</v>
      </c>
      <c r="C4985">
        <f>19.43</f>
        <v>19.43</v>
      </c>
      <c r="D4985">
        <f>14.38</f>
        <v>14.38</v>
      </c>
      <c r="E4985" t="e">
        <f>NA()</f>
        <v>#N/A</v>
      </c>
    </row>
    <row r="4986" spans="1:5" x14ac:dyDescent="0.2">
      <c r="A4986" s="1">
        <v>38142</v>
      </c>
      <c r="B4986">
        <f>16.78</f>
        <v>16.78</v>
      </c>
      <c r="C4986">
        <f>19.33</f>
        <v>19.329999999999998</v>
      </c>
      <c r="D4986">
        <f>14.51</f>
        <v>14.51</v>
      </c>
      <c r="E4986" t="e">
        <f>NA()</f>
        <v>#N/A</v>
      </c>
    </row>
    <row r="4987" spans="1:5" x14ac:dyDescent="0.2">
      <c r="A4987" s="1">
        <v>38141</v>
      </c>
      <c r="B4987">
        <f>17.03</f>
        <v>17.03</v>
      </c>
      <c r="C4987">
        <f>20.76</f>
        <v>20.76</v>
      </c>
      <c r="D4987">
        <f>15.76</f>
        <v>15.76</v>
      </c>
      <c r="E4987" t="e">
        <f>NA()</f>
        <v>#N/A</v>
      </c>
    </row>
    <row r="4988" spans="1:5" x14ac:dyDescent="0.2">
      <c r="A4988" s="1">
        <v>38140</v>
      </c>
      <c r="B4988">
        <f>16.08</f>
        <v>16.079999999999998</v>
      </c>
      <c r="C4988">
        <f>20.74</f>
        <v>20.74</v>
      </c>
      <c r="D4988">
        <f>15.88</f>
        <v>15.88</v>
      </c>
      <c r="E4988" t="e">
        <f>NA()</f>
        <v>#N/A</v>
      </c>
    </row>
    <row r="4989" spans="1:5" x14ac:dyDescent="0.2">
      <c r="A4989" s="1">
        <v>38139</v>
      </c>
      <c r="B4989">
        <f>16.3</f>
        <v>16.3</v>
      </c>
      <c r="C4989">
        <f>22.45</f>
        <v>22.45</v>
      </c>
      <c r="D4989">
        <f>15.62</f>
        <v>15.62</v>
      </c>
      <c r="E4989" t="e">
        <f>NA()</f>
        <v>#N/A</v>
      </c>
    </row>
    <row r="4990" spans="1:5" x14ac:dyDescent="0.2">
      <c r="A4990" s="1">
        <v>38138</v>
      </c>
      <c r="B4990" t="e">
        <f>NA()</f>
        <v>#N/A</v>
      </c>
      <c r="C4990">
        <f>21.23</f>
        <v>21.23</v>
      </c>
      <c r="D4990" t="e">
        <f>NA()</f>
        <v>#N/A</v>
      </c>
      <c r="E4990" t="e">
        <f>NA()</f>
        <v>#N/A</v>
      </c>
    </row>
    <row r="4991" spans="1:5" x14ac:dyDescent="0.2">
      <c r="A4991" s="1">
        <v>38135</v>
      </c>
      <c r="B4991">
        <f>15.5</f>
        <v>15.5</v>
      </c>
      <c r="C4991">
        <f>20.26</f>
        <v>20.260000000000002</v>
      </c>
      <c r="D4991">
        <f>15.29</f>
        <v>15.29</v>
      </c>
      <c r="E4991" t="e">
        <f>NA()</f>
        <v>#N/A</v>
      </c>
    </row>
    <row r="4992" spans="1:5" x14ac:dyDescent="0.2">
      <c r="A4992" s="1">
        <v>38134</v>
      </c>
      <c r="B4992">
        <f>15.28</f>
        <v>15.28</v>
      </c>
      <c r="C4992">
        <f>20.7</f>
        <v>20.7</v>
      </c>
      <c r="D4992">
        <f>14.93</f>
        <v>14.93</v>
      </c>
      <c r="E4992" t="e">
        <f>NA()</f>
        <v>#N/A</v>
      </c>
    </row>
    <row r="4993" spans="1:5" x14ac:dyDescent="0.2">
      <c r="A4993" s="1">
        <v>38133</v>
      </c>
      <c r="B4993">
        <f>15.97</f>
        <v>15.97</v>
      </c>
      <c r="C4993">
        <f>21.05</f>
        <v>21.05</v>
      </c>
      <c r="D4993">
        <f>15.66</f>
        <v>15.66</v>
      </c>
      <c r="E4993" t="e">
        <f>NA()</f>
        <v>#N/A</v>
      </c>
    </row>
    <row r="4994" spans="1:5" x14ac:dyDescent="0.2">
      <c r="A4994" s="1">
        <v>38132</v>
      </c>
      <c r="B4994">
        <f>15.96</f>
        <v>15.96</v>
      </c>
      <c r="C4994">
        <f>21.35</f>
        <v>21.35</v>
      </c>
      <c r="D4994">
        <f>15.93</f>
        <v>15.93</v>
      </c>
      <c r="E4994" t="e">
        <f>NA()</f>
        <v>#N/A</v>
      </c>
    </row>
    <row r="4995" spans="1:5" x14ac:dyDescent="0.2">
      <c r="A4995" s="1">
        <v>38131</v>
      </c>
      <c r="B4995">
        <f>18.08</f>
        <v>18.079999999999998</v>
      </c>
      <c r="C4995">
        <f>24.88</f>
        <v>24.88</v>
      </c>
      <c r="D4995">
        <f>16.34</f>
        <v>16.34</v>
      </c>
      <c r="E4995" t="e">
        <f>NA()</f>
        <v>#N/A</v>
      </c>
    </row>
    <row r="4996" spans="1:5" x14ac:dyDescent="0.2">
      <c r="A4996" s="1">
        <v>38128</v>
      </c>
      <c r="B4996">
        <f>18.49</f>
        <v>18.489999999999998</v>
      </c>
      <c r="C4996">
        <f>22.38</f>
        <v>22.38</v>
      </c>
      <c r="D4996">
        <f>16.23</f>
        <v>16.23</v>
      </c>
      <c r="E4996" t="e">
        <f>NA()</f>
        <v>#N/A</v>
      </c>
    </row>
    <row r="4997" spans="1:5" x14ac:dyDescent="0.2">
      <c r="A4997" s="1">
        <v>38127</v>
      </c>
      <c r="B4997">
        <f>18.67</f>
        <v>18.670000000000002</v>
      </c>
      <c r="C4997">
        <f>23.6</f>
        <v>23.6</v>
      </c>
      <c r="D4997">
        <f>17.09</f>
        <v>17.09</v>
      </c>
      <c r="E4997" t="e">
        <f>NA()</f>
        <v>#N/A</v>
      </c>
    </row>
    <row r="4998" spans="1:5" x14ac:dyDescent="0.2">
      <c r="A4998" s="1">
        <v>38126</v>
      </c>
      <c r="B4998">
        <f>18.93</f>
        <v>18.93</v>
      </c>
      <c r="C4998">
        <f>23.29</f>
        <v>23.29</v>
      </c>
      <c r="D4998">
        <f>16.05</f>
        <v>16.05</v>
      </c>
      <c r="E4998" t="e">
        <f>NA()</f>
        <v>#N/A</v>
      </c>
    </row>
    <row r="4999" spans="1:5" x14ac:dyDescent="0.2">
      <c r="A4999" s="1">
        <v>38125</v>
      </c>
      <c r="B4999">
        <f>19.33</f>
        <v>19.329999999999998</v>
      </c>
      <c r="C4999">
        <f>25.34</f>
        <v>25.34</v>
      </c>
      <c r="D4999">
        <f>17.89</f>
        <v>17.89</v>
      </c>
      <c r="E4999" t="e">
        <f>NA()</f>
        <v>#N/A</v>
      </c>
    </row>
    <row r="5000" spans="1:5" x14ac:dyDescent="0.2">
      <c r="A5000" s="1">
        <v>38124</v>
      </c>
      <c r="B5000">
        <f>19.96</f>
        <v>19.96</v>
      </c>
      <c r="C5000">
        <f>26.76</f>
        <v>26.76</v>
      </c>
      <c r="D5000">
        <f>19.62</f>
        <v>19.62</v>
      </c>
      <c r="E5000" t="e">
        <f>NA()</f>
        <v>#N/A</v>
      </c>
    </row>
    <row r="5001" spans="1:5" x14ac:dyDescent="0.2">
      <c r="A5001" s="1">
        <v>38121</v>
      </c>
      <c r="B5001">
        <f>18.47</f>
        <v>18.47</v>
      </c>
      <c r="C5001">
        <f>25.28</f>
        <v>25.28</v>
      </c>
      <c r="D5001">
        <f>17.87</f>
        <v>17.87</v>
      </c>
      <c r="E5001" t="e">
        <f>NA()</f>
        <v>#N/A</v>
      </c>
    </row>
    <row r="5002" spans="1:5" x14ac:dyDescent="0.2">
      <c r="A5002" s="1">
        <v>38120</v>
      </c>
      <c r="B5002">
        <f>18.86</f>
        <v>18.86</v>
      </c>
      <c r="C5002">
        <f>25.42</f>
        <v>25.42</v>
      </c>
      <c r="D5002">
        <f>17.73</f>
        <v>17.73</v>
      </c>
      <c r="E5002" t="e">
        <f>NA()</f>
        <v>#N/A</v>
      </c>
    </row>
    <row r="5003" spans="1:5" x14ac:dyDescent="0.2">
      <c r="A5003" s="1">
        <v>38119</v>
      </c>
      <c r="B5003">
        <f>18.14</f>
        <v>18.14</v>
      </c>
      <c r="C5003">
        <f>25.99</f>
        <v>25.99</v>
      </c>
      <c r="D5003">
        <f>18.55</f>
        <v>18.55</v>
      </c>
      <c r="E5003" t="e">
        <f>NA()</f>
        <v>#N/A</v>
      </c>
    </row>
    <row r="5004" spans="1:5" x14ac:dyDescent="0.2">
      <c r="A5004" s="1">
        <v>38118</v>
      </c>
      <c r="B5004">
        <f>18.57</f>
        <v>18.57</v>
      </c>
      <c r="C5004">
        <f>24.04</f>
        <v>24.04</v>
      </c>
      <c r="D5004">
        <f>17.08</f>
        <v>17.079999999999998</v>
      </c>
      <c r="E5004" t="e">
        <f>NA()</f>
        <v>#N/A</v>
      </c>
    </row>
    <row r="5005" spans="1:5" x14ac:dyDescent="0.2">
      <c r="A5005" s="1">
        <v>38117</v>
      </c>
      <c r="B5005">
        <f>19.77</f>
        <v>19.77</v>
      </c>
      <c r="C5005">
        <f>26</f>
        <v>26</v>
      </c>
      <c r="D5005">
        <f>19.79</f>
        <v>19.79</v>
      </c>
      <c r="E5005" t="e">
        <f>NA()</f>
        <v>#N/A</v>
      </c>
    </row>
    <row r="5006" spans="1:5" x14ac:dyDescent="0.2">
      <c r="A5006" s="1">
        <v>38114</v>
      </c>
      <c r="B5006">
        <f>18.13</f>
        <v>18.13</v>
      </c>
      <c r="C5006">
        <f>22.99</f>
        <v>22.99</v>
      </c>
      <c r="D5006">
        <f>15.9</f>
        <v>15.9</v>
      </c>
      <c r="E5006" t="e">
        <f>NA()</f>
        <v>#N/A</v>
      </c>
    </row>
    <row r="5007" spans="1:5" x14ac:dyDescent="0.2">
      <c r="A5007" s="1">
        <v>38113</v>
      </c>
      <c r="B5007">
        <f>17.05</f>
        <v>17.05</v>
      </c>
      <c r="C5007">
        <f>22.91</f>
        <v>22.91</v>
      </c>
      <c r="D5007">
        <f>16.05</f>
        <v>16.05</v>
      </c>
      <c r="E5007" t="e">
        <f>NA()</f>
        <v>#N/A</v>
      </c>
    </row>
    <row r="5008" spans="1:5" x14ac:dyDescent="0.2">
      <c r="A5008" s="1">
        <v>38112</v>
      </c>
      <c r="B5008">
        <f>15.77</f>
        <v>15.77</v>
      </c>
      <c r="C5008">
        <f>19.88</f>
        <v>19.88</v>
      </c>
      <c r="D5008">
        <f>14</f>
        <v>14</v>
      </c>
      <c r="E5008" t="e">
        <f>NA()</f>
        <v>#N/A</v>
      </c>
    </row>
    <row r="5009" spans="1:5" x14ac:dyDescent="0.2">
      <c r="A5009" s="1">
        <v>38111</v>
      </c>
      <c r="B5009">
        <f>16.55</f>
        <v>16.55</v>
      </c>
      <c r="C5009">
        <f>21.83</f>
        <v>21.83</v>
      </c>
      <c r="D5009">
        <f>14.41</f>
        <v>14.41</v>
      </c>
      <c r="E5009" t="e">
        <f>NA()</f>
        <v>#N/A</v>
      </c>
    </row>
    <row r="5010" spans="1:5" x14ac:dyDescent="0.2">
      <c r="A5010" s="1">
        <v>38110</v>
      </c>
      <c r="B5010">
        <f>16.62</f>
        <v>16.62</v>
      </c>
      <c r="C5010">
        <f>22.02</f>
        <v>22.02</v>
      </c>
      <c r="D5010" t="e">
        <f>NA()</f>
        <v>#N/A</v>
      </c>
      <c r="E5010" t="e">
        <f>NA()</f>
        <v>#N/A</v>
      </c>
    </row>
    <row r="5011" spans="1:5" x14ac:dyDescent="0.2">
      <c r="A5011" s="1">
        <v>38107</v>
      </c>
      <c r="B5011">
        <f>17.19</f>
        <v>17.190000000000001</v>
      </c>
      <c r="C5011">
        <f>22.73</f>
        <v>22.73</v>
      </c>
      <c r="D5011">
        <f>15.98</f>
        <v>15.98</v>
      </c>
      <c r="E5011" t="e">
        <f>NA()</f>
        <v>#N/A</v>
      </c>
    </row>
    <row r="5012" spans="1:5" x14ac:dyDescent="0.2">
      <c r="A5012" s="1">
        <v>38106</v>
      </c>
      <c r="B5012">
        <f>16.6</f>
        <v>16.600000000000001</v>
      </c>
      <c r="C5012">
        <f>22.28</f>
        <v>22.28</v>
      </c>
      <c r="D5012">
        <f>14.68</f>
        <v>14.68</v>
      </c>
      <c r="E5012" t="e">
        <f>NA()</f>
        <v>#N/A</v>
      </c>
    </row>
    <row r="5013" spans="1:5" x14ac:dyDescent="0.2">
      <c r="A5013" s="1">
        <v>38105</v>
      </c>
      <c r="B5013">
        <f>16.29</f>
        <v>16.29</v>
      </c>
      <c r="C5013">
        <f>21.14</f>
        <v>21.14</v>
      </c>
      <c r="D5013">
        <f>15.09</f>
        <v>15.09</v>
      </c>
      <c r="E5013" t="e">
        <f>NA()</f>
        <v>#N/A</v>
      </c>
    </row>
    <row r="5014" spans="1:5" x14ac:dyDescent="0.2">
      <c r="A5014" s="1">
        <v>38104</v>
      </c>
      <c r="B5014">
        <f>15.07</f>
        <v>15.07</v>
      </c>
      <c r="C5014">
        <f>18.93</f>
        <v>18.93</v>
      </c>
      <c r="D5014">
        <f>13.23</f>
        <v>13.23</v>
      </c>
      <c r="E5014" t="e">
        <f>NA()</f>
        <v>#N/A</v>
      </c>
    </row>
    <row r="5015" spans="1:5" x14ac:dyDescent="0.2">
      <c r="A5015" s="1">
        <v>38103</v>
      </c>
      <c r="B5015">
        <f>14.77</f>
        <v>14.77</v>
      </c>
      <c r="C5015">
        <f>19.5</f>
        <v>19.5</v>
      </c>
      <c r="D5015">
        <f>13.14</f>
        <v>13.14</v>
      </c>
      <c r="E5015" t="e">
        <f>NA()</f>
        <v>#N/A</v>
      </c>
    </row>
    <row r="5016" spans="1:5" x14ac:dyDescent="0.2">
      <c r="A5016" s="1">
        <v>38100</v>
      </c>
      <c r="B5016">
        <f>14.01</f>
        <v>14.01</v>
      </c>
      <c r="C5016">
        <f>18.59</f>
        <v>18.59</v>
      </c>
      <c r="D5016">
        <f>13.16</f>
        <v>13.16</v>
      </c>
      <c r="E5016" t="e">
        <f>NA()</f>
        <v>#N/A</v>
      </c>
    </row>
    <row r="5017" spans="1:5" x14ac:dyDescent="0.2">
      <c r="A5017" s="1">
        <v>38099</v>
      </c>
      <c r="B5017">
        <f>14.61</f>
        <v>14.61</v>
      </c>
      <c r="C5017">
        <f>18</f>
        <v>18</v>
      </c>
      <c r="D5017">
        <f>13.43</f>
        <v>13.43</v>
      </c>
      <c r="E5017" t="e">
        <f>NA()</f>
        <v>#N/A</v>
      </c>
    </row>
    <row r="5018" spans="1:5" x14ac:dyDescent="0.2">
      <c r="A5018" s="1">
        <v>38098</v>
      </c>
      <c r="B5018">
        <f>15.6</f>
        <v>15.6</v>
      </c>
      <c r="C5018">
        <f>19.84</f>
        <v>19.84</v>
      </c>
      <c r="D5018">
        <f>14.5</f>
        <v>14.5</v>
      </c>
      <c r="E5018" t="e">
        <f>NA()</f>
        <v>#N/A</v>
      </c>
    </row>
    <row r="5019" spans="1:5" x14ac:dyDescent="0.2">
      <c r="A5019" s="1">
        <v>38097</v>
      </c>
      <c r="B5019">
        <f>16.67</f>
        <v>16.670000000000002</v>
      </c>
      <c r="C5019">
        <f>19.3</f>
        <v>19.3</v>
      </c>
      <c r="D5019">
        <f>14.38</f>
        <v>14.38</v>
      </c>
      <c r="E5019" t="e">
        <f>NA()</f>
        <v>#N/A</v>
      </c>
    </row>
    <row r="5020" spans="1:5" x14ac:dyDescent="0.2">
      <c r="A5020" s="1">
        <v>38096</v>
      </c>
      <c r="B5020">
        <f>15.42</f>
        <v>15.42</v>
      </c>
      <c r="C5020">
        <f>19.87</f>
        <v>19.87</v>
      </c>
      <c r="D5020">
        <f>13.39</f>
        <v>13.39</v>
      </c>
      <c r="E5020" t="e">
        <f>NA()</f>
        <v>#N/A</v>
      </c>
    </row>
    <row r="5021" spans="1:5" x14ac:dyDescent="0.2">
      <c r="A5021" s="1">
        <v>38093</v>
      </c>
      <c r="B5021">
        <f>14.94</f>
        <v>14.94</v>
      </c>
      <c r="C5021">
        <f>19.56</f>
        <v>19.559999999999999</v>
      </c>
      <c r="D5021">
        <f>13.7</f>
        <v>13.7</v>
      </c>
      <c r="E5021" t="e">
        <f>NA()</f>
        <v>#N/A</v>
      </c>
    </row>
    <row r="5022" spans="1:5" x14ac:dyDescent="0.2">
      <c r="A5022" s="1">
        <v>38092</v>
      </c>
      <c r="B5022">
        <f>15.74</f>
        <v>15.74</v>
      </c>
      <c r="C5022">
        <f>22.37</f>
        <v>22.37</v>
      </c>
      <c r="D5022">
        <f>13.56</f>
        <v>13.56</v>
      </c>
      <c r="E5022" t="e">
        <f>NA()</f>
        <v>#N/A</v>
      </c>
    </row>
    <row r="5023" spans="1:5" x14ac:dyDescent="0.2">
      <c r="A5023" s="1">
        <v>38091</v>
      </c>
      <c r="B5023">
        <f>15.62</f>
        <v>15.62</v>
      </c>
      <c r="C5023">
        <f>22.03</f>
        <v>22.03</v>
      </c>
      <c r="D5023">
        <f>13.22</f>
        <v>13.22</v>
      </c>
      <c r="E5023" t="e">
        <f>NA()</f>
        <v>#N/A</v>
      </c>
    </row>
    <row r="5024" spans="1:5" x14ac:dyDescent="0.2">
      <c r="A5024" s="1">
        <v>38090</v>
      </c>
      <c r="B5024">
        <f>17.26</f>
        <v>17.260000000000002</v>
      </c>
      <c r="C5024">
        <f>20.84</f>
        <v>20.84</v>
      </c>
      <c r="D5024">
        <f>12.79</f>
        <v>12.79</v>
      </c>
      <c r="E5024" t="e">
        <f>NA()</f>
        <v>#N/A</v>
      </c>
    </row>
    <row r="5025" spans="1:5" x14ac:dyDescent="0.2">
      <c r="A5025" s="1">
        <v>38089</v>
      </c>
      <c r="B5025">
        <f>15.28</f>
        <v>15.28</v>
      </c>
      <c r="C5025" t="e">
        <f>NA()</f>
        <v>#N/A</v>
      </c>
      <c r="D5025" t="e">
        <f>NA()</f>
        <v>#N/A</v>
      </c>
      <c r="E5025" t="e">
        <f>NA()</f>
        <v>#N/A</v>
      </c>
    </row>
    <row r="5026" spans="1:5" x14ac:dyDescent="0.2">
      <c r="A5026" s="1">
        <v>38085</v>
      </c>
      <c r="B5026">
        <f>16.26</f>
        <v>16.260000000000002</v>
      </c>
      <c r="C5026">
        <f>20.58</f>
        <v>20.58</v>
      </c>
      <c r="D5026">
        <f>12.27</f>
        <v>12.27</v>
      </c>
      <c r="E5026" t="e">
        <f>NA()</f>
        <v>#N/A</v>
      </c>
    </row>
    <row r="5027" spans="1:5" x14ac:dyDescent="0.2">
      <c r="A5027" s="1">
        <v>38084</v>
      </c>
      <c r="B5027">
        <f>15.76</f>
        <v>15.76</v>
      </c>
      <c r="C5027">
        <f>20.76</f>
        <v>20.76</v>
      </c>
      <c r="D5027">
        <f>13.53</f>
        <v>13.53</v>
      </c>
      <c r="E5027" t="e">
        <f>NA()</f>
        <v>#N/A</v>
      </c>
    </row>
    <row r="5028" spans="1:5" x14ac:dyDescent="0.2">
      <c r="A5028" s="1">
        <v>38083</v>
      </c>
      <c r="B5028">
        <f>15.32</f>
        <v>15.32</v>
      </c>
      <c r="C5028">
        <f>20.1</f>
        <v>20.100000000000001</v>
      </c>
      <c r="D5028">
        <f>13.77</f>
        <v>13.77</v>
      </c>
      <c r="E5028" t="e">
        <f>NA()</f>
        <v>#N/A</v>
      </c>
    </row>
    <row r="5029" spans="1:5" x14ac:dyDescent="0.2">
      <c r="A5029" s="1">
        <v>38082</v>
      </c>
      <c r="B5029">
        <f>14.97</f>
        <v>14.97</v>
      </c>
      <c r="C5029">
        <f>18.53</f>
        <v>18.53</v>
      </c>
      <c r="D5029">
        <f>13.69</f>
        <v>13.69</v>
      </c>
      <c r="E5029" t="e">
        <f>NA()</f>
        <v>#N/A</v>
      </c>
    </row>
    <row r="5030" spans="1:5" x14ac:dyDescent="0.2">
      <c r="A5030" s="1">
        <v>38079</v>
      </c>
      <c r="B5030">
        <f>15.64</f>
        <v>15.64</v>
      </c>
      <c r="C5030">
        <f>19.04</f>
        <v>19.04</v>
      </c>
      <c r="D5030">
        <f>14.12</f>
        <v>14.12</v>
      </c>
      <c r="E5030" t="e">
        <f>NA()</f>
        <v>#N/A</v>
      </c>
    </row>
    <row r="5031" spans="1:5" x14ac:dyDescent="0.2">
      <c r="A5031" s="1">
        <v>38078</v>
      </c>
      <c r="B5031">
        <f>16.65</f>
        <v>16.649999999999999</v>
      </c>
      <c r="C5031">
        <f>21.71</f>
        <v>21.71</v>
      </c>
      <c r="D5031">
        <f>15.63</f>
        <v>15.63</v>
      </c>
      <c r="E5031" t="e">
        <f>NA()</f>
        <v>#N/A</v>
      </c>
    </row>
    <row r="5032" spans="1:5" x14ac:dyDescent="0.2">
      <c r="A5032" s="1">
        <v>38077</v>
      </c>
      <c r="B5032">
        <f>16.74</f>
        <v>16.739999999999998</v>
      </c>
      <c r="C5032">
        <f>22.67</f>
        <v>22.67</v>
      </c>
      <c r="D5032">
        <f>16.68</f>
        <v>16.68</v>
      </c>
      <c r="E5032" t="e">
        <f>NA()</f>
        <v>#N/A</v>
      </c>
    </row>
    <row r="5033" spans="1:5" x14ac:dyDescent="0.2">
      <c r="A5033" s="1">
        <v>38076</v>
      </c>
      <c r="B5033">
        <f>16.28</f>
        <v>16.28</v>
      </c>
      <c r="C5033">
        <f>23.61</f>
        <v>23.61</v>
      </c>
      <c r="D5033">
        <f>16.57</f>
        <v>16.57</v>
      </c>
      <c r="E5033" t="e">
        <f>NA()</f>
        <v>#N/A</v>
      </c>
    </row>
    <row r="5034" spans="1:5" x14ac:dyDescent="0.2">
      <c r="A5034" s="1">
        <v>38075</v>
      </c>
      <c r="B5034">
        <f>16.5</f>
        <v>16.5</v>
      </c>
      <c r="C5034">
        <f>22.84</f>
        <v>22.84</v>
      </c>
      <c r="D5034">
        <f>16.29</f>
        <v>16.29</v>
      </c>
      <c r="E5034" t="e">
        <f>NA()</f>
        <v>#N/A</v>
      </c>
    </row>
    <row r="5035" spans="1:5" x14ac:dyDescent="0.2">
      <c r="A5035" s="1">
        <v>38072</v>
      </c>
      <c r="B5035">
        <f>17.33</f>
        <v>17.329999999999998</v>
      </c>
      <c r="C5035">
        <f>25.05</f>
        <v>25.05</v>
      </c>
      <c r="D5035">
        <f>17.8</f>
        <v>17.8</v>
      </c>
      <c r="E5035" t="e">
        <f>NA()</f>
        <v>#N/A</v>
      </c>
    </row>
    <row r="5036" spans="1:5" x14ac:dyDescent="0.2">
      <c r="A5036" s="1">
        <v>38071</v>
      </c>
      <c r="B5036">
        <f>17.88</f>
        <v>17.88</v>
      </c>
      <c r="C5036">
        <f>25.92</f>
        <v>25.92</v>
      </c>
      <c r="D5036">
        <f>18.15</f>
        <v>18.149999999999999</v>
      </c>
      <c r="E5036" t="e">
        <f>NA()</f>
        <v>#N/A</v>
      </c>
    </row>
    <row r="5037" spans="1:5" x14ac:dyDescent="0.2">
      <c r="A5037" s="1">
        <v>38070</v>
      </c>
      <c r="B5037">
        <f>19.81</f>
        <v>19.809999999999999</v>
      </c>
      <c r="C5037">
        <f>28.37</f>
        <v>28.37</v>
      </c>
      <c r="D5037">
        <f>20.61</f>
        <v>20.61</v>
      </c>
      <c r="E5037" t="e">
        <f>NA()</f>
        <v>#N/A</v>
      </c>
    </row>
    <row r="5038" spans="1:5" x14ac:dyDescent="0.2">
      <c r="A5038" s="1">
        <v>38069</v>
      </c>
      <c r="B5038">
        <f>20.67</f>
        <v>20.67</v>
      </c>
      <c r="C5038">
        <f>29.19</f>
        <v>29.19</v>
      </c>
      <c r="D5038">
        <f>20.23</f>
        <v>20.23</v>
      </c>
      <c r="E5038" t="e">
        <f>NA()</f>
        <v>#N/A</v>
      </c>
    </row>
    <row r="5039" spans="1:5" x14ac:dyDescent="0.2">
      <c r="A5039" s="1">
        <v>38068</v>
      </c>
      <c r="B5039">
        <f>21.58</f>
        <v>21.58</v>
      </c>
      <c r="C5039">
        <f>31.74</f>
        <v>31.74</v>
      </c>
      <c r="D5039">
        <f>20.68</f>
        <v>20.68</v>
      </c>
      <c r="E5039" t="e">
        <f>NA()</f>
        <v>#N/A</v>
      </c>
    </row>
    <row r="5040" spans="1:5" x14ac:dyDescent="0.2">
      <c r="A5040" s="1">
        <v>38065</v>
      </c>
      <c r="B5040">
        <f>19.15</f>
        <v>19.149999999999999</v>
      </c>
      <c r="C5040">
        <f>26</f>
        <v>26</v>
      </c>
      <c r="D5040">
        <f>16.56</f>
        <v>16.559999999999999</v>
      </c>
      <c r="E5040" t="e">
        <f>NA()</f>
        <v>#N/A</v>
      </c>
    </row>
    <row r="5041" spans="1:5" x14ac:dyDescent="0.2">
      <c r="A5041" s="1">
        <v>38064</v>
      </c>
      <c r="B5041">
        <f>18.53</f>
        <v>18.53</v>
      </c>
      <c r="C5041">
        <f>26.51</f>
        <v>26.51</v>
      </c>
      <c r="D5041">
        <f>18.02</f>
        <v>18.02</v>
      </c>
      <c r="E5041" t="e">
        <f>NA()</f>
        <v>#N/A</v>
      </c>
    </row>
    <row r="5042" spans="1:5" x14ac:dyDescent="0.2">
      <c r="A5042" s="1">
        <v>38063</v>
      </c>
      <c r="B5042">
        <f>18.11</f>
        <v>18.11</v>
      </c>
      <c r="C5042">
        <f>24.41</f>
        <v>24.41</v>
      </c>
      <c r="D5042">
        <f>16.75</f>
        <v>16.75</v>
      </c>
      <c r="E5042" t="e">
        <f>NA()</f>
        <v>#N/A</v>
      </c>
    </row>
    <row r="5043" spans="1:5" x14ac:dyDescent="0.2">
      <c r="A5043" s="1">
        <v>38062</v>
      </c>
      <c r="B5043">
        <f>20.34</f>
        <v>20.34</v>
      </c>
      <c r="C5043">
        <f>27.89</f>
        <v>27.89</v>
      </c>
      <c r="D5043">
        <f>18.88</f>
        <v>18.88</v>
      </c>
      <c r="E5043" t="e">
        <f>NA()</f>
        <v>#N/A</v>
      </c>
    </row>
    <row r="5044" spans="1:5" x14ac:dyDescent="0.2">
      <c r="A5044" s="1">
        <v>38061</v>
      </c>
      <c r="B5044">
        <f>21.13</f>
        <v>21.13</v>
      </c>
      <c r="C5044">
        <f>28.77</f>
        <v>28.77</v>
      </c>
      <c r="D5044">
        <f>20.2</f>
        <v>20.2</v>
      </c>
      <c r="E5044" t="e">
        <f>NA()</f>
        <v>#N/A</v>
      </c>
    </row>
    <row r="5045" spans="1:5" x14ac:dyDescent="0.2">
      <c r="A5045" s="1">
        <v>38058</v>
      </c>
      <c r="B5045">
        <f>18.3</f>
        <v>18.3</v>
      </c>
      <c r="C5045">
        <f>24.65</f>
        <v>24.65</v>
      </c>
      <c r="D5045">
        <f>18.53</f>
        <v>18.53</v>
      </c>
      <c r="E5045" t="e">
        <f>NA()</f>
        <v>#N/A</v>
      </c>
    </row>
    <row r="5046" spans="1:5" x14ac:dyDescent="0.2">
      <c r="A5046" s="1">
        <v>38057</v>
      </c>
      <c r="B5046">
        <f>20.67</f>
        <v>20.67</v>
      </c>
      <c r="C5046">
        <f>23.22</f>
        <v>23.22</v>
      </c>
      <c r="D5046">
        <f>18.74</f>
        <v>18.739999999999998</v>
      </c>
      <c r="E5046" t="e">
        <f>NA()</f>
        <v>#N/A</v>
      </c>
    </row>
    <row r="5047" spans="1:5" x14ac:dyDescent="0.2">
      <c r="A5047" s="1">
        <v>38056</v>
      </c>
      <c r="B5047">
        <f>18.67</f>
        <v>18.670000000000002</v>
      </c>
      <c r="C5047">
        <f>18.69</f>
        <v>18.690000000000001</v>
      </c>
      <c r="D5047">
        <f>14.42</f>
        <v>14.42</v>
      </c>
      <c r="E5047" t="e">
        <f>NA()</f>
        <v>#N/A</v>
      </c>
    </row>
    <row r="5048" spans="1:5" x14ac:dyDescent="0.2">
      <c r="A5048" s="1">
        <v>38055</v>
      </c>
      <c r="B5048">
        <f>16.6</f>
        <v>16.600000000000001</v>
      </c>
      <c r="C5048">
        <f>18.86</f>
        <v>18.86</v>
      </c>
      <c r="D5048">
        <f>14.68</f>
        <v>14.68</v>
      </c>
      <c r="E5048" t="e">
        <f>NA()</f>
        <v>#N/A</v>
      </c>
    </row>
    <row r="5049" spans="1:5" x14ac:dyDescent="0.2">
      <c r="A5049" s="1">
        <v>38054</v>
      </c>
      <c r="B5049">
        <f>15.79</f>
        <v>15.79</v>
      </c>
      <c r="C5049">
        <f>17.08</f>
        <v>17.079999999999998</v>
      </c>
      <c r="D5049">
        <f>14.19</f>
        <v>14.19</v>
      </c>
      <c r="E5049" t="e">
        <f>NA()</f>
        <v>#N/A</v>
      </c>
    </row>
    <row r="5050" spans="1:5" x14ac:dyDescent="0.2">
      <c r="A5050" s="1">
        <v>38051</v>
      </c>
      <c r="B5050">
        <f>14.48</f>
        <v>14.48</v>
      </c>
      <c r="C5050">
        <f>17.04</f>
        <v>17.04</v>
      </c>
      <c r="D5050">
        <f>14.55</f>
        <v>14.55</v>
      </c>
      <c r="E5050" t="e">
        <f>NA()</f>
        <v>#N/A</v>
      </c>
    </row>
    <row r="5051" spans="1:5" x14ac:dyDescent="0.2">
      <c r="A5051" s="1">
        <v>38050</v>
      </c>
      <c r="B5051">
        <f>14.4</f>
        <v>14.4</v>
      </c>
      <c r="C5051">
        <f>17.3</f>
        <v>17.3</v>
      </c>
      <c r="D5051">
        <f>14.34</f>
        <v>14.34</v>
      </c>
      <c r="E5051" t="e">
        <f>NA()</f>
        <v>#N/A</v>
      </c>
    </row>
    <row r="5052" spans="1:5" x14ac:dyDescent="0.2">
      <c r="A5052" s="1">
        <v>38049</v>
      </c>
      <c r="B5052">
        <f>14.55</f>
        <v>14.55</v>
      </c>
      <c r="C5052">
        <f>17.67</f>
        <v>17.670000000000002</v>
      </c>
      <c r="D5052">
        <f>14.86</f>
        <v>14.86</v>
      </c>
      <c r="E5052" t="e">
        <f>NA()</f>
        <v>#N/A</v>
      </c>
    </row>
    <row r="5053" spans="1:5" x14ac:dyDescent="0.2">
      <c r="A5053" s="1">
        <v>38048</v>
      </c>
      <c r="B5053">
        <f>14.86</f>
        <v>14.86</v>
      </c>
      <c r="C5053">
        <f>17.35</f>
        <v>17.350000000000001</v>
      </c>
      <c r="D5053">
        <f>14.7</f>
        <v>14.7</v>
      </c>
      <c r="E5053" t="e">
        <f>NA()</f>
        <v>#N/A</v>
      </c>
    </row>
    <row r="5054" spans="1:5" x14ac:dyDescent="0.2">
      <c r="A5054" s="1">
        <v>38047</v>
      </c>
      <c r="B5054">
        <f>14.44</f>
        <v>14.44</v>
      </c>
      <c r="C5054">
        <f>17.63</f>
        <v>17.63</v>
      </c>
      <c r="D5054">
        <f>14.99</f>
        <v>14.99</v>
      </c>
      <c r="E5054" t="e">
        <f>NA()</f>
        <v>#N/A</v>
      </c>
    </row>
    <row r="5055" spans="1:5" x14ac:dyDescent="0.2">
      <c r="A5055" s="1">
        <v>38044</v>
      </c>
      <c r="B5055">
        <f>14.55</f>
        <v>14.55</v>
      </c>
      <c r="C5055">
        <f>18.06</f>
        <v>18.059999999999999</v>
      </c>
      <c r="D5055">
        <f>15.36</f>
        <v>15.36</v>
      </c>
      <c r="E5055" t="e">
        <f>NA()</f>
        <v>#N/A</v>
      </c>
    </row>
    <row r="5056" spans="1:5" x14ac:dyDescent="0.2">
      <c r="A5056" s="1">
        <v>38043</v>
      </c>
      <c r="B5056">
        <f>14.83</f>
        <v>14.83</v>
      </c>
      <c r="C5056">
        <f>18.46</f>
        <v>18.46</v>
      </c>
      <c r="D5056">
        <f>14.93</f>
        <v>14.93</v>
      </c>
      <c r="E5056" t="e">
        <f>NA()</f>
        <v>#N/A</v>
      </c>
    </row>
    <row r="5057" spans="1:5" x14ac:dyDescent="0.2">
      <c r="A5057" s="1">
        <v>38042</v>
      </c>
      <c r="B5057">
        <f>14.93</f>
        <v>14.93</v>
      </c>
      <c r="C5057">
        <f>18.81</f>
        <v>18.809999999999999</v>
      </c>
      <c r="D5057">
        <f>15.8</f>
        <v>15.8</v>
      </c>
      <c r="E5057" t="e">
        <f>NA()</f>
        <v>#N/A</v>
      </c>
    </row>
    <row r="5058" spans="1:5" x14ac:dyDescent="0.2">
      <c r="A5058" s="1">
        <v>38041</v>
      </c>
      <c r="B5058">
        <f>15.9</f>
        <v>15.9</v>
      </c>
      <c r="C5058">
        <f>19.47</f>
        <v>19.47</v>
      </c>
      <c r="D5058">
        <f>16.47</f>
        <v>16.47</v>
      </c>
      <c r="E5058" t="e">
        <f>NA()</f>
        <v>#N/A</v>
      </c>
    </row>
    <row r="5059" spans="1:5" x14ac:dyDescent="0.2">
      <c r="A5059" s="1">
        <v>38040</v>
      </c>
      <c r="B5059">
        <f>16.29</f>
        <v>16.29</v>
      </c>
      <c r="C5059">
        <f>18.47</f>
        <v>18.47</v>
      </c>
      <c r="D5059">
        <f>15.87</f>
        <v>15.87</v>
      </c>
      <c r="E5059" t="e">
        <f>NA()</f>
        <v>#N/A</v>
      </c>
    </row>
    <row r="5060" spans="1:5" x14ac:dyDescent="0.2">
      <c r="A5060" s="1">
        <v>38037</v>
      </c>
      <c r="B5060">
        <f>16.04</f>
        <v>16.04</v>
      </c>
      <c r="C5060">
        <f>17.96</f>
        <v>17.96</v>
      </c>
      <c r="D5060">
        <f>15.22</f>
        <v>15.22</v>
      </c>
      <c r="E5060" t="e">
        <f>NA()</f>
        <v>#N/A</v>
      </c>
    </row>
    <row r="5061" spans="1:5" x14ac:dyDescent="0.2">
      <c r="A5061" s="1">
        <v>38036</v>
      </c>
      <c r="B5061">
        <f>15.8</f>
        <v>15.8</v>
      </c>
      <c r="C5061">
        <f>17.13</f>
        <v>17.13</v>
      </c>
      <c r="D5061">
        <f>13.37</f>
        <v>13.37</v>
      </c>
      <c r="E5061" t="e">
        <f>NA()</f>
        <v>#N/A</v>
      </c>
    </row>
    <row r="5062" spans="1:5" x14ac:dyDescent="0.2">
      <c r="A5062" s="1">
        <v>38035</v>
      </c>
      <c r="B5062">
        <f>15.59</f>
        <v>15.59</v>
      </c>
      <c r="C5062">
        <f>17.94</f>
        <v>17.940000000000001</v>
      </c>
      <c r="D5062">
        <f>13.85</f>
        <v>13.85</v>
      </c>
      <c r="E5062" t="e">
        <f>NA()</f>
        <v>#N/A</v>
      </c>
    </row>
    <row r="5063" spans="1:5" x14ac:dyDescent="0.2">
      <c r="A5063" s="1">
        <v>38034</v>
      </c>
      <c r="B5063">
        <f>15.4</f>
        <v>15.4</v>
      </c>
      <c r="C5063">
        <f>18.02</f>
        <v>18.02</v>
      </c>
      <c r="D5063">
        <f>14.21</f>
        <v>14.21</v>
      </c>
      <c r="E5063" t="e">
        <f>NA()</f>
        <v>#N/A</v>
      </c>
    </row>
    <row r="5064" spans="1:5" x14ac:dyDescent="0.2">
      <c r="A5064" s="1">
        <v>38033</v>
      </c>
      <c r="B5064" t="e">
        <f>NA()</f>
        <v>#N/A</v>
      </c>
      <c r="C5064">
        <f>18.37</f>
        <v>18.37</v>
      </c>
      <c r="D5064">
        <f>14.56</f>
        <v>14.56</v>
      </c>
      <c r="E5064" t="e">
        <f>NA()</f>
        <v>#N/A</v>
      </c>
    </row>
    <row r="5065" spans="1:5" x14ac:dyDescent="0.2">
      <c r="A5065" s="1">
        <v>38030</v>
      </c>
      <c r="B5065">
        <f>15.58</f>
        <v>15.58</v>
      </c>
      <c r="C5065">
        <f>19.02</f>
        <v>19.02</v>
      </c>
      <c r="D5065">
        <f>14.09</f>
        <v>14.09</v>
      </c>
      <c r="E5065" t="e">
        <f>NA()</f>
        <v>#N/A</v>
      </c>
    </row>
    <row r="5066" spans="1:5" x14ac:dyDescent="0.2">
      <c r="A5066" s="1">
        <v>38029</v>
      </c>
      <c r="B5066">
        <f>15.31</f>
        <v>15.31</v>
      </c>
      <c r="C5066">
        <f>18.55</f>
        <v>18.55</v>
      </c>
      <c r="D5066">
        <f>14.53</f>
        <v>14.53</v>
      </c>
      <c r="E5066" t="e">
        <f>NA()</f>
        <v>#N/A</v>
      </c>
    </row>
    <row r="5067" spans="1:5" x14ac:dyDescent="0.2">
      <c r="A5067" s="1">
        <v>38028</v>
      </c>
      <c r="B5067">
        <f>15.39</f>
        <v>15.39</v>
      </c>
      <c r="C5067">
        <f>18.57</f>
        <v>18.57</v>
      </c>
      <c r="D5067">
        <f>15.43</f>
        <v>15.43</v>
      </c>
      <c r="E5067" t="e">
        <f>NA()</f>
        <v>#N/A</v>
      </c>
    </row>
    <row r="5068" spans="1:5" x14ac:dyDescent="0.2">
      <c r="A5068" s="1">
        <v>38027</v>
      </c>
      <c r="B5068">
        <f>15.94</f>
        <v>15.94</v>
      </c>
      <c r="C5068">
        <f>18.6</f>
        <v>18.600000000000001</v>
      </c>
      <c r="D5068">
        <f>13.98</f>
        <v>13.98</v>
      </c>
      <c r="E5068" t="e">
        <f>NA()</f>
        <v>#N/A</v>
      </c>
    </row>
    <row r="5069" spans="1:5" x14ac:dyDescent="0.2">
      <c r="A5069" s="1">
        <v>38026</v>
      </c>
      <c r="B5069">
        <f>16.39</f>
        <v>16.39</v>
      </c>
      <c r="C5069">
        <f>18.79</f>
        <v>18.79</v>
      </c>
      <c r="D5069">
        <f>13.94</f>
        <v>13.94</v>
      </c>
      <c r="E5069" t="e">
        <f>NA()</f>
        <v>#N/A</v>
      </c>
    </row>
    <row r="5070" spans="1:5" x14ac:dyDescent="0.2">
      <c r="A5070" s="1">
        <v>38023</v>
      </c>
      <c r="B5070">
        <f>16</f>
        <v>16</v>
      </c>
      <c r="C5070">
        <f>20.05</f>
        <v>20.05</v>
      </c>
      <c r="D5070">
        <f>15.01</f>
        <v>15.01</v>
      </c>
      <c r="E5070" t="e">
        <f>NA()</f>
        <v>#N/A</v>
      </c>
    </row>
    <row r="5071" spans="1:5" x14ac:dyDescent="0.2">
      <c r="A5071" s="1">
        <v>38022</v>
      </c>
      <c r="B5071">
        <f>17.71</f>
        <v>17.71</v>
      </c>
      <c r="C5071">
        <f>20.47</f>
        <v>20.47</v>
      </c>
      <c r="D5071">
        <f>15.84</f>
        <v>15.84</v>
      </c>
      <c r="E5071" t="e">
        <f>NA()</f>
        <v>#N/A</v>
      </c>
    </row>
    <row r="5072" spans="1:5" x14ac:dyDescent="0.2">
      <c r="A5072" s="1">
        <v>38021</v>
      </c>
      <c r="B5072">
        <f>17.87</f>
        <v>17.87</v>
      </c>
      <c r="C5072">
        <f>21.01</f>
        <v>21.01</v>
      </c>
      <c r="D5072">
        <f>15.87</f>
        <v>15.87</v>
      </c>
      <c r="E5072" t="e">
        <f>NA()</f>
        <v>#N/A</v>
      </c>
    </row>
    <row r="5073" spans="1:5" x14ac:dyDescent="0.2">
      <c r="A5073" s="1">
        <v>38020</v>
      </c>
      <c r="B5073">
        <f>17.34</f>
        <v>17.34</v>
      </c>
      <c r="C5073">
        <f>21.35</f>
        <v>21.35</v>
      </c>
      <c r="D5073">
        <f>16.83</f>
        <v>16.829999999999998</v>
      </c>
      <c r="E5073" t="e">
        <f>NA()</f>
        <v>#N/A</v>
      </c>
    </row>
    <row r="5074" spans="1:5" x14ac:dyDescent="0.2">
      <c r="A5074" s="1">
        <v>38019</v>
      </c>
      <c r="B5074">
        <f>17.11</f>
        <v>17.11</v>
      </c>
      <c r="C5074">
        <f>20.57</f>
        <v>20.57</v>
      </c>
      <c r="D5074">
        <f>17.41</f>
        <v>17.41</v>
      </c>
      <c r="E5074" t="e">
        <f>NA()</f>
        <v>#N/A</v>
      </c>
    </row>
    <row r="5075" spans="1:5" x14ac:dyDescent="0.2">
      <c r="A5075" s="1">
        <v>38016</v>
      </c>
      <c r="B5075">
        <f>16.63</f>
        <v>16.63</v>
      </c>
      <c r="C5075">
        <f>21.07</f>
        <v>21.07</v>
      </c>
      <c r="D5075">
        <f>17.06</f>
        <v>17.059999999999999</v>
      </c>
      <c r="E5075" t="e">
        <f>NA()</f>
        <v>#N/A</v>
      </c>
    </row>
    <row r="5076" spans="1:5" x14ac:dyDescent="0.2">
      <c r="A5076" s="1">
        <v>38015</v>
      </c>
      <c r="B5076">
        <f>17.14</f>
        <v>17.14</v>
      </c>
      <c r="C5076">
        <f>20.45</f>
        <v>20.45</v>
      </c>
      <c r="D5076">
        <f>17.55</f>
        <v>17.55</v>
      </c>
      <c r="E5076" t="e">
        <f>NA()</f>
        <v>#N/A</v>
      </c>
    </row>
    <row r="5077" spans="1:5" x14ac:dyDescent="0.2">
      <c r="A5077" s="1">
        <v>38014</v>
      </c>
      <c r="B5077">
        <f>16.78</f>
        <v>16.78</v>
      </c>
      <c r="C5077">
        <f>19.29</f>
        <v>19.29</v>
      </c>
      <c r="D5077">
        <f>15.87</f>
        <v>15.87</v>
      </c>
      <c r="E5077" t="e">
        <f>NA()</f>
        <v>#N/A</v>
      </c>
    </row>
    <row r="5078" spans="1:5" x14ac:dyDescent="0.2">
      <c r="A5078" s="1">
        <v>38013</v>
      </c>
      <c r="B5078">
        <f>15.35</f>
        <v>15.35</v>
      </c>
      <c r="C5078">
        <f>19.21</f>
        <v>19.21</v>
      </c>
      <c r="D5078">
        <f>15.77</f>
        <v>15.77</v>
      </c>
      <c r="E5078" t="e">
        <f>NA()</f>
        <v>#N/A</v>
      </c>
    </row>
    <row r="5079" spans="1:5" x14ac:dyDescent="0.2">
      <c r="A5079" s="1">
        <v>38012</v>
      </c>
      <c r="B5079">
        <f>14.55</f>
        <v>14.55</v>
      </c>
      <c r="C5079">
        <f>18.92</f>
        <v>18.920000000000002</v>
      </c>
      <c r="D5079">
        <f>15.74</f>
        <v>15.74</v>
      </c>
      <c r="E5079" t="e">
        <f>NA()</f>
        <v>#N/A</v>
      </c>
    </row>
    <row r="5080" spans="1:5" x14ac:dyDescent="0.2">
      <c r="A5080" s="1">
        <v>38009</v>
      </c>
      <c r="B5080">
        <f>14.84</f>
        <v>14.84</v>
      </c>
      <c r="C5080">
        <f>18.47</f>
        <v>18.47</v>
      </c>
      <c r="D5080">
        <f>15.13</f>
        <v>15.13</v>
      </c>
      <c r="E5080" t="e">
        <f>NA()</f>
        <v>#N/A</v>
      </c>
    </row>
    <row r="5081" spans="1:5" x14ac:dyDescent="0.2">
      <c r="A5081" s="1">
        <v>38008</v>
      </c>
      <c r="B5081">
        <f>14.71</f>
        <v>14.71</v>
      </c>
      <c r="C5081">
        <f>18.6</f>
        <v>18.600000000000001</v>
      </c>
      <c r="D5081">
        <f>14.41</f>
        <v>14.41</v>
      </c>
      <c r="E5081" t="e">
        <f>NA()</f>
        <v>#N/A</v>
      </c>
    </row>
    <row r="5082" spans="1:5" x14ac:dyDescent="0.2">
      <c r="A5082" s="1">
        <v>38007</v>
      </c>
      <c r="B5082">
        <f>14.34</f>
        <v>14.34</v>
      </c>
      <c r="C5082">
        <f>17.73</f>
        <v>17.73</v>
      </c>
      <c r="D5082">
        <f>13.88</f>
        <v>13.88</v>
      </c>
      <c r="E5082" t="e">
        <f>NA()</f>
        <v>#N/A</v>
      </c>
    </row>
    <row r="5083" spans="1:5" x14ac:dyDescent="0.2">
      <c r="A5083" s="1">
        <v>38006</v>
      </c>
      <c r="B5083">
        <f>15.21</f>
        <v>15.21</v>
      </c>
      <c r="C5083">
        <f>18.97</f>
        <v>18.97</v>
      </c>
      <c r="D5083">
        <f>14.21</f>
        <v>14.21</v>
      </c>
      <c r="E5083" t="e">
        <f>NA()</f>
        <v>#N/A</v>
      </c>
    </row>
    <row r="5084" spans="1:5" x14ac:dyDescent="0.2">
      <c r="A5084" s="1">
        <v>38005</v>
      </c>
      <c r="B5084" t="e">
        <f>NA()</f>
        <v>#N/A</v>
      </c>
      <c r="C5084">
        <f>19.02</f>
        <v>19.02</v>
      </c>
      <c r="D5084">
        <f>13.3</f>
        <v>13.3</v>
      </c>
      <c r="E5084" t="e">
        <f>NA()</f>
        <v>#N/A</v>
      </c>
    </row>
    <row r="5085" spans="1:5" x14ac:dyDescent="0.2">
      <c r="A5085" s="1">
        <v>38002</v>
      </c>
      <c r="B5085">
        <f>15</f>
        <v>15</v>
      </c>
      <c r="C5085">
        <f>17.87</f>
        <v>17.87</v>
      </c>
      <c r="D5085">
        <f>12.68</f>
        <v>12.68</v>
      </c>
      <c r="E5085" t="e">
        <f>NA()</f>
        <v>#N/A</v>
      </c>
    </row>
    <row r="5086" spans="1:5" x14ac:dyDescent="0.2">
      <c r="A5086" s="1">
        <v>38001</v>
      </c>
      <c r="B5086">
        <f>15.56</f>
        <v>15.56</v>
      </c>
      <c r="C5086">
        <f>18.6</f>
        <v>18.600000000000001</v>
      </c>
      <c r="D5086">
        <f>13.85</f>
        <v>13.85</v>
      </c>
      <c r="E5086" t="e">
        <f>NA()</f>
        <v>#N/A</v>
      </c>
    </row>
    <row r="5087" spans="1:5" x14ac:dyDescent="0.2">
      <c r="A5087" s="1">
        <v>38000</v>
      </c>
      <c r="B5087">
        <f>16.75</f>
        <v>16.75</v>
      </c>
      <c r="C5087">
        <f>19.68</f>
        <v>19.68</v>
      </c>
      <c r="D5087">
        <f>13.99</f>
        <v>13.99</v>
      </c>
      <c r="E5087" t="e">
        <f>NA()</f>
        <v>#N/A</v>
      </c>
    </row>
    <row r="5088" spans="1:5" x14ac:dyDescent="0.2">
      <c r="A5088" s="1">
        <v>37999</v>
      </c>
      <c r="B5088">
        <f>18.04</f>
        <v>18.04</v>
      </c>
      <c r="C5088">
        <f>20.46</f>
        <v>20.46</v>
      </c>
      <c r="D5088">
        <f>15.2</f>
        <v>15.2</v>
      </c>
      <c r="E5088" t="e">
        <f>NA()</f>
        <v>#N/A</v>
      </c>
    </row>
    <row r="5089" spans="1:5" x14ac:dyDescent="0.2">
      <c r="A5089" s="1">
        <v>37998</v>
      </c>
      <c r="B5089">
        <f>16.82</f>
        <v>16.82</v>
      </c>
      <c r="C5089">
        <f>20.67</f>
        <v>20.67</v>
      </c>
      <c r="D5089">
        <f>15.42</f>
        <v>15.42</v>
      </c>
      <c r="E5089" t="e">
        <f>NA()</f>
        <v>#N/A</v>
      </c>
    </row>
    <row r="5090" spans="1:5" x14ac:dyDescent="0.2">
      <c r="A5090" s="1">
        <v>37995</v>
      </c>
      <c r="B5090">
        <f>16.75</f>
        <v>16.75</v>
      </c>
      <c r="C5090">
        <f>20.16</f>
        <v>20.16</v>
      </c>
      <c r="D5090">
        <f>14.64</f>
        <v>14.64</v>
      </c>
      <c r="E5090" t="e">
        <f>NA()</f>
        <v>#N/A</v>
      </c>
    </row>
    <row r="5091" spans="1:5" x14ac:dyDescent="0.2">
      <c r="A5091" s="1">
        <v>37994</v>
      </c>
      <c r="B5091">
        <f>15.61</f>
        <v>15.61</v>
      </c>
      <c r="C5091">
        <f>18.31</f>
        <v>18.309999999999999</v>
      </c>
      <c r="D5091">
        <f>13.85</f>
        <v>13.85</v>
      </c>
      <c r="E5091" t="e">
        <f>NA()</f>
        <v>#N/A</v>
      </c>
    </row>
    <row r="5092" spans="1:5" x14ac:dyDescent="0.2">
      <c r="A5092" s="1">
        <v>37993</v>
      </c>
      <c r="B5092">
        <f>15.5</f>
        <v>15.5</v>
      </c>
      <c r="C5092">
        <f>19.22</f>
        <v>19.22</v>
      </c>
      <c r="D5092">
        <f>14.56</f>
        <v>14.56</v>
      </c>
      <c r="E5092" t="e">
        <f>NA()</f>
        <v>#N/A</v>
      </c>
    </row>
    <row r="5093" spans="1:5" x14ac:dyDescent="0.2">
      <c r="A5093" s="1">
        <v>37992</v>
      </c>
      <c r="B5093">
        <f>16.73</f>
        <v>16.73</v>
      </c>
      <c r="C5093">
        <f>20.05</f>
        <v>20.05</v>
      </c>
      <c r="D5093">
        <f>14.71</f>
        <v>14.71</v>
      </c>
      <c r="E5093" t="e">
        <f>NA()</f>
        <v>#N/A</v>
      </c>
    </row>
    <row r="5094" spans="1:5" x14ac:dyDescent="0.2">
      <c r="A5094" s="1">
        <v>37991</v>
      </c>
      <c r="B5094">
        <f>17.49</f>
        <v>17.489999999999998</v>
      </c>
      <c r="C5094">
        <f>21.29</f>
        <v>21.29</v>
      </c>
      <c r="D5094">
        <f>15.11</f>
        <v>15.11</v>
      </c>
      <c r="E5094" t="e">
        <f>NA()</f>
        <v>#N/A</v>
      </c>
    </row>
    <row r="5095" spans="1:5" x14ac:dyDescent="0.2">
      <c r="A5095" s="1">
        <v>37988</v>
      </c>
      <c r="B5095">
        <f>18.22</f>
        <v>18.22</v>
      </c>
      <c r="C5095">
        <f>21.57</f>
        <v>21.57</v>
      </c>
      <c r="D5095">
        <f>14.64</f>
        <v>14.64</v>
      </c>
      <c r="E5095" t="e">
        <f>NA()</f>
        <v>#N/A</v>
      </c>
    </row>
    <row r="5096" spans="1:5" x14ac:dyDescent="0.2">
      <c r="A5096" s="1">
        <v>37986</v>
      </c>
      <c r="B5096">
        <f>18.31</f>
        <v>18.309999999999999</v>
      </c>
      <c r="C5096" t="e">
        <f>NA()</f>
        <v>#N/A</v>
      </c>
      <c r="D5096">
        <f>14.85</f>
        <v>14.85</v>
      </c>
      <c r="E5096" t="e">
        <f>NA()</f>
        <v>#N/A</v>
      </c>
    </row>
    <row r="5097" spans="1:5" x14ac:dyDescent="0.2">
      <c r="A5097" s="1">
        <v>37985</v>
      </c>
      <c r="B5097">
        <f>17.68</f>
        <v>17.68</v>
      </c>
      <c r="C5097">
        <f>21.16</f>
        <v>21.16</v>
      </c>
      <c r="D5097">
        <f>14.26</f>
        <v>14.26</v>
      </c>
      <c r="E5097" t="e">
        <f>NA()</f>
        <v>#N/A</v>
      </c>
    </row>
    <row r="5098" spans="1:5" x14ac:dyDescent="0.2">
      <c r="A5098" s="1">
        <v>37984</v>
      </c>
      <c r="B5098">
        <f>17.09</f>
        <v>17.09</v>
      </c>
      <c r="C5098">
        <f>20.57</f>
        <v>20.57</v>
      </c>
      <c r="D5098">
        <f>14.3</f>
        <v>14.3</v>
      </c>
      <c r="E5098" t="e">
        <f>NA()</f>
        <v>#N/A</v>
      </c>
    </row>
    <row r="5099" spans="1:5" x14ac:dyDescent="0.2">
      <c r="A5099" s="1">
        <v>37981</v>
      </c>
      <c r="B5099">
        <f>17.45</f>
        <v>17.45</v>
      </c>
      <c r="C5099" t="e">
        <f>NA()</f>
        <v>#N/A</v>
      </c>
      <c r="D5099" t="e">
        <f>NA()</f>
        <v>#N/A</v>
      </c>
      <c r="E5099" t="e">
        <f>NA()</f>
        <v>#N/A</v>
      </c>
    </row>
    <row r="5100" spans="1:5" x14ac:dyDescent="0.2">
      <c r="A5100" s="1">
        <v>37979</v>
      </c>
      <c r="B5100">
        <f>16.66</f>
        <v>16.66</v>
      </c>
      <c r="C5100" t="e">
        <f>NA()</f>
        <v>#N/A</v>
      </c>
      <c r="D5100">
        <f>13.81</f>
        <v>13.81</v>
      </c>
      <c r="E5100" t="e">
        <f>NA()</f>
        <v>#N/A</v>
      </c>
    </row>
    <row r="5101" spans="1:5" x14ac:dyDescent="0.2">
      <c r="A5101" s="1">
        <v>37978</v>
      </c>
      <c r="B5101">
        <f>16.49</f>
        <v>16.489999999999998</v>
      </c>
      <c r="C5101">
        <f>19.45</f>
        <v>19.45</v>
      </c>
      <c r="D5101">
        <f>13.76</f>
        <v>13.76</v>
      </c>
      <c r="E5101" t="e">
        <f>NA()</f>
        <v>#N/A</v>
      </c>
    </row>
    <row r="5102" spans="1:5" x14ac:dyDescent="0.2">
      <c r="A5102" s="1">
        <v>37977</v>
      </c>
      <c r="B5102">
        <f>16.94</f>
        <v>16.940000000000001</v>
      </c>
      <c r="C5102">
        <f>19.69</f>
        <v>19.690000000000001</v>
      </c>
      <c r="D5102">
        <f>13.54</f>
        <v>13.54</v>
      </c>
      <c r="E5102" t="e">
        <f>NA()</f>
        <v>#N/A</v>
      </c>
    </row>
    <row r="5103" spans="1:5" x14ac:dyDescent="0.2">
      <c r="A5103" s="1">
        <v>37974</v>
      </c>
      <c r="B5103">
        <f>16.42</f>
        <v>16.420000000000002</v>
      </c>
      <c r="C5103">
        <f>19.87</f>
        <v>19.87</v>
      </c>
      <c r="D5103">
        <f>12.96</f>
        <v>12.96</v>
      </c>
      <c r="E5103" t="e">
        <f>NA()</f>
        <v>#N/A</v>
      </c>
    </row>
    <row r="5104" spans="1:5" x14ac:dyDescent="0.2">
      <c r="A5104" s="1">
        <v>37973</v>
      </c>
      <c r="B5104">
        <f>16.16</f>
        <v>16.16</v>
      </c>
      <c r="C5104">
        <f>19.81</f>
        <v>19.809999999999999</v>
      </c>
      <c r="D5104">
        <f>14.35</f>
        <v>14.35</v>
      </c>
      <c r="E5104" t="e">
        <f>NA()</f>
        <v>#N/A</v>
      </c>
    </row>
    <row r="5105" spans="1:5" x14ac:dyDescent="0.2">
      <c r="A5105" s="1">
        <v>37972</v>
      </c>
      <c r="B5105">
        <f>15.58</f>
        <v>15.58</v>
      </c>
      <c r="C5105">
        <f>21.04</f>
        <v>21.04</v>
      </c>
      <c r="D5105">
        <f>14.52</f>
        <v>14.52</v>
      </c>
      <c r="E5105" t="e">
        <f>NA()</f>
        <v>#N/A</v>
      </c>
    </row>
    <row r="5106" spans="1:5" x14ac:dyDescent="0.2">
      <c r="A5106" s="1">
        <v>37971</v>
      </c>
      <c r="B5106">
        <f>15.93</f>
        <v>15.93</v>
      </c>
      <c r="C5106">
        <f>20.81</f>
        <v>20.81</v>
      </c>
      <c r="D5106">
        <f>14.83</f>
        <v>14.83</v>
      </c>
      <c r="E5106" t="e">
        <f>NA()</f>
        <v>#N/A</v>
      </c>
    </row>
    <row r="5107" spans="1:5" x14ac:dyDescent="0.2">
      <c r="A5107" s="1">
        <v>37970</v>
      </c>
      <c r="B5107">
        <f>17.23</f>
        <v>17.23</v>
      </c>
      <c r="C5107">
        <f>20.77</f>
        <v>20.77</v>
      </c>
      <c r="D5107">
        <f>14.91</f>
        <v>14.91</v>
      </c>
      <c r="E5107" t="e">
        <f>NA()</f>
        <v>#N/A</v>
      </c>
    </row>
    <row r="5108" spans="1:5" x14ac:dyDescent="0.2">
      <c r="A5108" s="1">
        <v>37967</v>
      </c>
      <c r="B5108">
        <f>16.41</f>
        <v>16.41</v>
      </c>
      <c r="C5108">
        <f>20.95</f>
        <v>20.95</v>
      </c>
      <c r="D5108">
        <f>14.93</f>
        <v>14.93</v>
      </c>
      <c r="E5108" t="e">
        <f>NA()</f>
        <v>#N/A</v>
      </c>
    </row>
    <row r="5109" spans="1:5" x14ac:dyDescent="0.2">
      <c r="A5109" s="1">
        <v>37966</v>
      </c>
      <c r="B5109">
        <f>16.73</f>
        <v>16.73</v>
      </c>
      <c r="C5109">
        <f>20.11</f>
        <v>20.11</v>
      </c>
      <c r="D5109">
        <f>15.93</f>
        <v>15.93</v>
      </c>
      <c r="E5109" t="e">
        <f>NA()</f>
        <v>#N/A</v>
      </c>
    </row>
    <row r="5110" spans="1:5" x14ac:dyDescent="0.2">
      <c r="A5110" s="1">
        <v>37965</v>
      </c>
      <c r="B5110">
        <f>17.87</f>
        <v>17.87</v>
      </c>
      <c r="C5110">
        <f>20.92</f>
        <v>20.92</v>
      </c>
      <c r="D5110">
        <f>16.13</f>
        <v>16.13</v>
      </c>
      <c r="E5110" t="e">
        <f>NA()</f>
        <v>#N/A</v>
      </c>
    </row>
    <row r="5111" spans="1:5" x14ac:dyDescent="0.2">
      <c r="A5111" s="1">
        <v>37964</v>
      </c>
      <c r="B5111">
        <f>17.63</f>
        <v>17.63</v>
      </c>
      <c r="C5111">
        <f>20.63</f>
        <v>20.63</v>
      </c>
      <c r="D5111">
        <f>14.89</f>
        <v>14.89</v>
      </c>
      <c r="E5111" t="e">
        <f>NA()</f>
        <v>#N/A</v>
      </c>
    </row>
    <row r="5112" spans="1:5" x14ac:dyDescent="0.2">
      <c r="A5112" s="1">
        <v>37963</v>
      </c>
      <c r="B5112">
        <f>16.54</f>
        <v>16.54</v>
      </c>
      <c r="C5112">
        <f>21.4</f>
        <v>21.4</v>
      </c>
      <c r="D5112">
        <f>15.6</f>
        <v>15.6</v>
      </c>
      <c r="E5112" t="e">
        <f>NA()</f>
        <v>#N/A</v>
      </c>
    </row>
    <row r="5113" spans="1:5" x14ac:dyDescent="0.2">
      <c r="A5113" s="1">
        <v>37960</v>
      </c>
      <c r="B5113">
        <f>17.09</f>
        <v>17.09</v>
      </c>
      <c r="C5113">
        <f>20.73</f>
        <v>20.73</v>
      </c>
      <c r="D5113">
        <f>15.63</f>
        <v>15.63</v>
      </c>
      <c r="E5113" t="e">
        <f>NA()</f>
        <v>#N/A</v>
      </c>
    </row>
    <row r="5114" spans="1:5" x14ac:dyDescent="0.2">
      <c r="A5114" s="1">
        <v>37959</v>
      </c>
      <c r="B5114">
        <f>16.3</f>
        <v>16.3</v>
      </c>
      <c r="C5114">
        <f>20.95</f>
        <v>20.95</v>
      </c>
      <c r="D5114">
        <f>15.58</f>
        <v>15.58</v>
      </c>
      <c r="E5114" t="e">
        <f>NA()</f>
        <v>#N/A</v>
      </c>
    </row>
    <row r="5115" spans="1:5" x14ac:dyDescent="0.2">
      <c r="A5115" s="1">
        <v>37958</v>
      </c>
      <c r="B5115">
        <f>16.63</f>
        <v>16.63</v>
      </c>
      <c r="C5115">
        <f>20.98</f>
        <v>20.98</v>
      </c>
      <c r="D5115">
        <f>15.81</f>
        <v>15.81</v>
      </c>
      <c r="E5115" t="e">
        <f>NA()</f>
        <v>#N/A</v>
      </c>
    </row>
    <row r="5116" spans="1:5" x14ac:dyDescent="0.2">
      <c r="A5116" s="1">
        <v>37957</v>
      </c>
      <c r="B5116">
        <f>16.27</f>
        <v>16.27</v>
      </c>
      <c r="C5116">
        <f>22.46</f>
        <v>22.46</v>
      </c>
      <c r="D5116">
        <f>15.84</f>
        <v>15.84</v>
      </c>
      <c r="E5116" t="e">
        <f>NA()</f>
        <v>#N/A</v>
      </c>
    </row>
    <row r="5117" spans="1:5" x14ac:dyDescent="0.2">
      <c r="A5117" s="1">
        <v>37956</v>
      </c>
      <c r="B5117">
        <f>16.77</f>
        <v>16.77</v>
      </c>
      <c r="C5117">
        <f>22.94</f>
        <v>22.94</v>
      </c>
      <c r="D5117">
        <f>15.16</f>
        <v>15.16</v>
      </c>
      <c r="E5117" t="e">
        <f>NA()</f>
        <v>#N/A</v>
      </c>
    </row>
    <row r="5118" spans="1:5" x14ac:dyDescent="0.2">
      <c r="A5118" s="1">
        <v>37953</v>
      </c>
      <c r="B5118">
        <f>16.32</f>
        <v>16.32</v>
      </c>
      <c r="C5118">
        <f>22.08</f>
        <v>22.08</v>
      </c>
      <c r="D5118">
        <f>15.73</f>
        <v>15.73</v>
      </c>
      <c r="E5118" t="e">
        <f>NA()</f>
        <v>#N/A</v>
      </c>
    </row>
    <row r="5119" spans="1:5" x14ac:dyDescent="0.2">
      <c r="A5119" s="1">
        <v>37952</v>
      </c>
      <c r="B5119" t="e">
        <f>NA()</f>
        <v>#N/A</v>
      </c>
      <c r="C5119">
        <f>22.23</f>
        <v>22.23</v>
      </c>
      <c r="D5119">
        <f>15.65</f>
        <v>15.65</v>
      </c>
      <c r="E5119" t="e">
        <f>NA()</f>
        <v>#N/A</v>
      </c>
    </row>
    <row r="5120" spans="1:5" x14ac:dyDescent="0.2">
      <c r="A5120" s="1">
        <v>37951</v>
      </c>
      <c r="B5120">
        <f>16.23</f>
        <v>16.23</v>
      </c>
      <c r="C5120">
        <f>23.21</f>
        <v>23.21</v>
      </c>
      <c r="D5120">
        <f>15.73</f>
        <v>15.73</v>
      </c>
      <c r="E5120" t="e">
        <f>NA()</f>
        <v>#N/A</v>
      </c>
    </row>
    <row r="5121" spans="1:5" x14ac:dyDescent="0.2">
      <c r="A5121" s="1">
        <v>37950</v>
      </c>
      <c r="B5121">
        <f>16.71</f>
        <v>16.71</v>
      </c>
      <c r="C5121">
        <f>22.8</f>
        <v>22.8</v>
      </c>
      <c r="D5121">
        <f>16.32</f>
        <v>16.32</v>
      </c>
      <c r="E5121" t="e">
        <f>NA()</f>
        <v>#N/A</v>
      </c>
    </row>
    <row r="5122" spans="1:5" x14ac:dyDescent="0.2">
      <c r="A5122" s="1">
        <v>37949</v>
      </c>
      <c r="B5122">
        <f>17.44</f>
        <v>17.440000000000001</v>
      </c>
      <c r="C5122">
        <f>23.36</f>
        <v>23.36</v>
      </c>
      <c r="D5122">
        <f>16.49</f>
        <v>16.489999999999998</v>
      </c>
      <c r="E5122" t="e">
        <f>NA()</f>
        <v>#N/A</v>
      </c>
    </row>
    <row r="5123" spans="1:5" x14ac:dyDescent="0.2">
      <c r="A5123" s="1">
        <v>37946</v>
      </c>
      <c r="B5123">
        <f>18.98</f>
        <v>18.98</v>
      </c>
      <c r="C5123">
        <f>27.24</f>
        <v>27.24</v>
      </c>
      <c r="D5123">
        <f>18.68</f>
        <v>18.68</v>
      </c>
      <c r="E5123" t="e">
        <f>NA()</f>
        <v>#N/A</v>
      </c>
    </row>
    <row r="5124" spans="1:5" x14ac:dyDescent="0.2">
      <c r="A5124" s="1">
        <v>37945</v>
      </c>
      <c r="B5124">
        <f>19.48</f>
        <v>19.48</v>
      </c>
      <c r="C5124">
        <f>29.01</f>
        <v>29.01</v>
      </c>
      <c r="D5124">
        <f>19.97</f>
        <v>19.97</v>
      </c>
      <c r="E5124" t="e">
        <f>NA()</f>
        <v>#N/A</v>
      </c>
    </row>
    <row r="5125" spans="1:5" x14ac:dyDescent="0.2">
      <c r="A5125" s="1">
        <v>37944</v>
      </c>
      <c r="B5125">
        <f>18.8</f>
        <v>18.8</v>
      </c>
      <c r="C5125">
        <f>27.92</f>
        <v>27.92</v>
      </c>
      <c r="D5125">
        <f>18.85</f>
        <v>18.850000000000001</v>
      </c>
      <c r="E5125" t="e">
        <f>NA()</f>
        <v>#N/A</v>
      </c>
    </row>
    <row r="5126" spans="1:5" x14ac:dyDescent="0.2">
      <c r="A5126" s="1">
        <v>37943</v>
      </c>
      <c r="B5126">
        <f>19.11</f>
        <v>19.11</v>
      </c>
      <c r="C5126">
        <f>29.2</f>
        <v>29.2</v>
      </c>
      <c r="D5126">
        <f>18.04</f>
        <v>18.04</v>
      </c>
      <c r="E5126" t="e">
        <f>NA()</f>
        <v>#N/A</v>
      </c>
    </row>
    <row r="5127" spans="1:5" x14ac:dyDescent="0.2">
      <c r="A5127" s="1">
        <v>37942</v>
      </c>
      <c r="B5127">
        <f>18.6</f>
        <v>18.600000000000001</v>
      </c>
      <c r="C5127">
        <f>26.83</f>
        <v>26.83</v>
      </c>
      <c r="D5127">
        <f>18.38</f>
        <v>18.38</v>
      </c>
      <c r="E5127" t="e">
        <f>NA()</f>
        <v>#N/A</v>
      </c>
    </row>
    <row r="5128" spans="1:5" x14ac:dyDescent="0.2">
      <c r="A5128" s="1">
        <v>37939</v>
      </c>
      <c r="B5128">
        <f>16.94</f>
        <v>16.940000000000001</v>
      </c>
      <c r="C5128">
        <f>22.56</f>
        <v>22.56</v>
      </c>
      <c r="D5128">
        <f>16.4</f>
        <v>16.399999999999999</v>
      </c>
      <c r="E5128" t="e">
        <f>NA()</f>
        <v>#N/A</v>
      </c>
    </row>
    <row r="5129" spans="1:5" x14ac:dyDescent="0.2">
      <c r="A5129" s="1">
        <v>37938</v>
      </c>
      <c r="B5129">
        <f>16.47</f>
        <v>16.47</v>
      </c>
      <c r="C5129">
        <f>22.34</f>
        <v>22.34</v>
      </c>
      <c r="D5129">
        <f>16.15</f>
        <v>16.149999999999999</v>
      </c>
      <c r="E5129" t="e">
        <f>NA()</f>
        <v>#N/A</v>
      </c>
    </row>
    <row r="5130" spans="1:5" x14ac:dyDescent="0.2">
      <c r="A5130" s="1">
        <v>37937</v>
      </c>
      <c r="B5130">
        <f>16.75</f>
        <v>16.75</v>
      </c>
      <c r="C5130">
        <f>22.02</f>
        <v>22.02</v>
      </c>
      <c r="D5130">
        <f>16.71</f>
        <v>16.71</v>
      </c>
      <c r="E5130" t="e">
        <f>NA()</f>
        <v>#N/A</v>
      </c>
    </row>
    <row r="5131" spans="1:5" x14ac:dyDescent="0.2">
      <c r="A5131" s="1">
        <v>37936</v>
      </c>
      <c r="B5131">
        <f>17.54</f>
        <v>17.54</v>
      </c>
      <c r="C5131">
        <f>22.83</f>
        <v>22.83</v>
      </c>
      <c r="D5131">
        <f>17.47</f>
        <v>17.47</v>
      </c>
      <c r="E5131" t="e">
        <f>NA()</f>
        <v>#N/A</v>
      </c>
    </row>
    <row r="5132" spans="1:5" x14ac:dyDescent="0.2">
      <c r="A5132" s="1">
        <v>37935</v>
      </c>
      <c r="B5132">
        <f>17.62</f>
        <v>17.62</v>
      </c>
      <c r="C5132">
        <f>22.68</f>
        <v>22.68</v>
      </c>
      <c r="D5132">
        <f>17.32</f>
        <v>17.32</v>
      </c>
      <c r="E5132" t="e">
        <f>NA()</f>
        <v>#N/A</v>
      </c>
    </row>
    <row r="5133" spans="1:5" x14ac:dyDescent="0.2">
      <c r="A5133" s="1">
        <v>37932</v>
      </c>
      <c r="B5133">
        <f>16.93</f>
        <v>16.93</v>
      </c>
      <c r="C5133">
        <f>22.49</f>
        <v>22.49</v>
      </c>
      <c r="D5133">
        <f>16.29</f>
        <v>16.29</v>
      </c>
      <c r="E5133" t="e">
        <f>NA()</f>
        <v>#N/A</v>
      </c>
    </row>
    <row r="5134" spans="1:5" x14ac:dyDescent="0.2">
      <c r="A5134" s="1">
        <v>37931</v>
      </c>
      <c r="B5134">
        <f>16.74</f>
        <v>16.739999999999998</v>
      </c>
      <c r="C5134">
        <f>21.65</f>
        <v>21.65</v>
      </c>
      <c r="D5134">
        <f>16.55</f>
        <v>16.55</v>
      </c>
      <c r="E5134" t="e">
        <f>NA()</f>
        <v>#N/A</v>
      </c>
    </row>
    <row r="5135" spans="1:5" x14ac:dyDescent="0.2">
      <c r="A5135" s="1">
        <v>37930</v>
      </c>
      <c r="B5135">
        <f>16.86</f>
        <v>16.86</v>
      </c>
      <c r="C5135">
        <f>22.69</f>
        <v>22.69</v>
      </c>
      <c r="D5135">
        <f>16.82</f>
        <v>16.82</v>
      </c>
      <c r="E5135" t="e">
        <f>NA()</f>
        <v>#N/A</v>
      </c>
    </row>
    <row r="5136" spans="1:5" x14ac:dyDescent="0.2">
      <c r="A5136" s="1">
        <v>37929</v>
      </c>
      <c r="B5136">
        <f>16.55</f>
        <v>16.55</v>
      </c>
      <c r="C5136">
        <f>22.78</f>
        <v>22.78</v>
      </c>
      <c r="D5136">
        <f>16.38</f>
        <v>16.38</v>
      </c>
      <c r="E5136" t="e">
        <f>NA()</f>
        <v>#N/A</v>
      </c>
    </row>
    <row r="5137" spans="1:5" x14ac:dyDescent="0.2">
      <c r="A5137" s="1">
        <v>37928</v>
      </c>
      <c r="B5137">
        <f>16.55</f>
        <v>16.55</v>
      </c>
      <c r="C5137">
        <f>21.75</f>
        <v>21.75</v>
      </c>
      <c r="D5137">
        <f>16.04</f>
        <v>16.04</v>
      </c>
      <c r="E5137" t="e">
        <f>NA()</f>
        <v>#N/A</v>
      </c>
    </row>
    <row r="5138" spans="1:5" x14ac:dyDescent="0.2">
      <c r="A5138" s="1">
        <v>37925</v>
      </c>
      <c r="B5138">
        <f>16.1</f>
        <v>16.100000000000001</v>
      </c>
      <c r="C5138">
        <f>22.52</f>
        <v>22.52</v>
      </c>
      <c r="D5138">
        <f>16.53</f>
        <v>16.53</v>
      </c>
      <c r="E5138" t="e">
        <f>NA()</f>
        <v>#N/A</v>
      </c>
    </row>
    <row r="5139" spans="1:5" x14ac:dyDescent="0.2">
      <c r="A5139" s="1">
        <v>37924</v>
      </c>
      <c r="B5139">
        <f>16.33</f>
        <v>16.329999999999998</v>
      </c>
      <c r="C5139">
        <f>23.04</f>
        <v>23.04</v>
      </c>
      <c r="D5139">
        <f>16.76</f>
        <v>16.760000000000002</v>
      </c>
      <c r="E5139" t="e">
        <f>NA()</f>
        <v>#N/A</v>
      </c>
    </row>
    <row r="5140" spans="1:5" x14ac:dyDescent="0.2">
      <c r="A5140" s="1">
        <v>37923</v>
      </c>
      <c r="B5140">
        <f>16.43</f>
        <v>16.43</v>
      </c>
      <c r="C5140">
        <f>24.43</f>
        <v>24.43</v>
      </c>
      <c r="D5140">
        <f>17.51</f>
        <v>17.510000000000002</v>
      </c>
      <c r="E5140" t="e">
        <f>NA()</f>
        <v>#N/A</v>
      </c>
    </row>
    <row r="5141" spans="1:5" x14ac:dyDescent="0.2">
      <c r="A5141" s="1">
        <v>37922</v>
      </c>
      <c r="B5141">
        <f>16.82</f>
        <v>16.82</v>
      </c>
      <c r="C5141">
        <f>23.98</f>
        <v>23.98</v>
      </c>
      <c r="D5141">
        <f>18.22</f>
        <v>18.22</v>
      </c>
      <c r="E5141" t="e">
        <f>NA()</f>
        <v>#N/A</v>
      </c>
    </row>
    <row r="5142" spans="1:5" x14ac:dyDescent="0.2">
      <c r="A5142" s="1">
        <v>37921</v>
      </c>
      <c r="B5142">
        <f>18.05</f>
        <v>18.05</v>
      </c>
      <c r="C5142">
        <f>25.32</f>
        <v>25.32</v>
      </c>
      <c r="D5142">
        <f>18.8</f>
        <v>18.8</v>
      </c>
      <c r="E5142" t="e">
        <f>NA()</f>
        <v>#N/A</v>
      </c>
    </row>
    <row r="5143" spans="1:5" x14ac:dyDescent="0.2">
      <c r="A5143" s="1">
        <v>37918</v>
      </c>
      <c r="B5143">
        <f>17.71</f>
        <v>17.71</v>
      </c>
      <c r="C5143">
        <f>26.03</f>
        <v>26.03</v>
      </c>
      <c r="D5143">
        <f>19.44</f>
        <v>19.440000000000001</v>
      </c>
      <c r="E5143" t="e">
        <f>NA()</f>
        <v>#N/A</v>
      </c>
    </row>
    <row r="5144" spans="1:5" x14ac:dyDescent="0.2">
      <c r="A5144" s="1">
        <v>37917</v>
      </c>
      <c r="B5144">
        <f>17.68</f>
        <v>17.68</v>
      </c>
      <c r="C5144">
        <f>26.86</f>
        <v>26.86</v>
      </c>
      <c r="D5144">
        <f>20.32</f>
        <v>20.32</v>
      </c>
      <c r="E5144" t="e">
        <f>NA()</f>
        <v>#N/A</v>
      </c>
    </row>
    <row r="5145" spans="1:5" x14ac:dyDescent="0.2">
      <c r="A5145" s="1">
        <v>37916</v>
      </c>
      <c r="B5145">
        <f>17.67</f>
        <v>17.670000000000002</v>
      </c>
      <c r="C5145">
        <f>27.76</f>
        <v>27.76</v>
      </c>
      <c r="D5145">
        <f>18.86</f>
        <v>18.86</v>
      </c>
      <c r="E5145" t="e">
        <f>NA()</f>
        <v>#N/A</v>
      </c>
    </row>
    <row r="5146" spans="1:5" x14ac:dyDescent="0.2">
      <c r="A5146" s="1">
        <v>37915</v>
      </c>
      <c r="B5146">
        <f>16.55</f>
        <v>16.55</v>
      </c>
      <c r="C5146">
        <f>24.61</f>
        <v>24.61</v>
      </c>
      <c r="D5146">
        <f>17.36</f>
        <v>17.36</v>
      </c>
      <c r="E5146" t="e">
        <f>NA()</f>
        <v>#N/A</v>
      </c>
    </row>
    <row r="5147" spans="1:5" x14ac:dyDescent="0.2">
      <c r="A5147" s="1">
        <v>37914</v>
      </c>
      <c r="B5147">
        <f>17.04</f>
        <v>17.04</v>
      </c>
      <c r="C5147">
        <f>24.79</f>
        <v>24.79</v>
      </c>
      <c r="D5147">
        <f>17.71</f>
        <v>17.71</v>
      </c>
      <c r="E5147" t="e">
        <f>NA()</f>
        <v>#N/A</v>
      </c>
    </row>
    <row r="5148" spans="1:5" x14ac:dyDescent="0.2">
      <c r="A5148" s="1">
        <v>37911</v>
      </c>
      <c r="B5148">
        <f>17.62</f>
        <v>17.62</v>
      </c>
      <c r="C5148">
        <f>25.95</f>
        <v>25.95</v>
      </c>
      <c r="D5148">
        <f>16.72</f>
        <v>16.72</v>
      </c>
      <c r="E5148" t="e">
        <f>NA()</f>
        <v>#N/A</v>
      </c>
    </row>
    <row r="5149" spans="1:5" x14ac:dyDescent="0.2">
      <c r="A5149" s="1">
        <v>37910</v>
      </c>
      <c r="B5149">
        <f>17.19</f>
        <v>17.190000000000001</v>
      </c>
      <c r="C5149">
        <f>25.36</f>
        <v>25.36</v>
      </c>
      <c r="D5149">
        <f>15.95</f>
        <v>15.95</v>
      </c>
      <c r="E5149" t="e">
        <f>NA()</f>
        <v>#N/A</v>
      </c>
    </row>
    <row r="5150" spans="1:5" x14ac:dyDescent="0.2">
      <c r="A5150" s="1">
        <v>37909</v>
      </c>
      <c r="B5150">
        <f>17.69</f>
        <v>17.690000000000001</v>
      </c>
      <c r="C5150">
        <f>26.74</f>
        <v>26.74</v>
      </c>
      <c r="D5150">
        <f>16.82</f>
        <v>16.82</v>
      </c>
      <c r="E5150" t="e">
        <f>NA()</f>
        <v>#N/A</v>
      </c>
    </row>
    <row r="5151" spans="1:5" x14ac:dyDescent="0.2">
      <c r="A5151" s="1">
        <v>37908</v>
      </c>
      <c r="B5151">
        <f>17.37</f>
        <v>17.37</v>
      </c>
      <c r="C5151">
        <f>26.97</f>
        <v>26.97</v>
      </c>
      <c r="D5151">
        <f>16.67</f>
        <v>16.670000000000002</v>
      </c>
      <c r="E5151" t="e">
        <f>NA()</f>
        <v>#N/A</v>
      </c>
    </row>
    <row r="5152" spans="1:5" x14ac:dyDescent="0.2">
      <c r="A5152" s="1">
        <v>37907</v>
      </c>
      <c r="B5152">
        <f>17.55</f>
        <v>17.55</v>
      </c>
      <c r="C5152">
        <f>26.58</f>
        <v>26.58</v>
      </c>
      <c r="D5152">
        <f>16.04</f>
        <v>16.04</v>
      </c>
      <c r="E5152" t="e">
        <f>NA()</f>
        <v>#N/A</v>
      </c>
    </row>
    <row r="5153" spans="1:5" x14ac:dyDescent="0.2">
      <c r="A5153" s="1">
        <v>37904</v>
      </c>
      <c r="B5153">
        <f>18.45</f>
        <v>18.45</v>
      </c>
      <c r="C5153">
        <f>27.04</f>
        <v>27.04</v>
      </c>
      <c r="D5153">
        <f>16.54</f>
        <v>16.54</v>
      </c>
      <c r="E5153" t="e">
        <f>NA()</f>
        <v>#N/A</v>
      </c>
    </row>
    <row r="5154" spans="1:5" x14ac:dyDescent="0.2">
      <c r="A5154" s="1">
        <v>37903</v>
      </c>
      <c r="B5154">
        <f>18.82</f>
        <v>18.82</v>
      </c>
      <c r="C5154">
        <f>27.06</f>
        <v>27.06</v>
      </c>
      <c r="D5154">
        <f>16.82</f>
        <v>16.82</v>
      </c>
      <c r="E5154" t="e">
        <f>NA()</f>
        <v>#N/A</v>
      </c>
    </row>
    <row r="5155" spans="1:5" x14ac:dyDescent="0.2">
      <c r="A5155" s="1">
        <v>37902</v>
      </c>
      <c r="B5155">
        <f>19.18</f>
        <v>19.18</v>
      </c>
      <c r="C5155">
        <f>29.5</f>
        <v>29.5</v>
      </c>
      <c r="D5155">
        <f>19.11</f>
        <v>19.11</v>
      </c>
      <c r="E5155" t="e">
        <f>NA()</f>
        <v>#N/A</v>
      </c>
    </row>
    <row r="5156" spans="1:5" x14ac:dyDescent="0.2">
      <c r="A5156" s="1">
        <v>37901</v>
      </c>
      <c r="B5156">
        <f>19.41</f>
        <v>19.41</v>
      </c>
      <c r="C5156">
        <f>31.04</f>
        <v>31.04</v>
      </c>
      <c r="D5156">
        <f>19.99</f>
        <v>19.989999999999998</v>
      </c>
      <c r="E5156" t="e">
        <f>NA()</f>
        <v>#N/A</v>
      </c>
    </row>
    <row r="5157" spans="1:5" x14ac:dyDescent="0.2">
      <c r="A5157" s="1">
        <v>37900</v>
      </c>
      <c r="B5157">
        <f>19.51</f>
        <v>19.510000000000002</v>
      </c>
      <c r="C5157">
        <f>29.48</f>
        <v>29.48</v>
      </c>
      <c r="D5157">
        <f>19.91</f>
        <v>19.91</v>
      </c>
      <c r="E5157" t="e">
        <f>NA()</f>
        <v>#N/A</v>
      </c>
    </row>
    <row r="5158" spans="1:5" x14ac:dyDescent="0.2">
      <c r="A5158" s="1">
        <v>37897</v>
      </c>
      <c r="B5158">
        <f>19.5</f>
        <v>19.5</v>
      </c>
      <c r="C5158">
        <f>28.08</f>
        <v>28.08</v>
      </c>
      <c r="D5158">
        <f>19.44</f>
        <v>19.440000000000001</v>
      </c>
      <c r="E5158" t="e">
        <f>NA()</f>
        <v>#N/A</v>
      </c>
    </row>
    <row r="5159" spans="1:5" x14ac:dyDescent="0.2">
      <c r="A5159" s="1">
        <v>37896</v>
      </c>
      <c r="B5159">
        <f>20.8</f>
        <v>20.8</v>
      </c>
      <c r="C5159">
        <f>30.85</f>
        <v>30.85</v>
      </c>
      <c r="D5159">
        <f>20.87</f>
        <v>20.87</v>
      </c>
      <c r="E5159" t="e">
        <f>NA()</f>
        <v>#N/A</v>
      </c>
    </row>
    <row r="5160" spans="1:5" x14ac:dyDescent="0.2">
      <c r="A5160" s="1">
        <v>37895</v>
      </c>
      <c r="B5160">
        <f>21.07</f>
        <v>21.07</v>
      </c>
      <c r="C5160">
        <f>31.59</f>
        <v>31.59</v>
      </c>
      <c r="D5160">
        <f>21.31</f>
        <v>21.31</v>
      </c>
      <c r="E5160" t="e">
        <f>NA()</f>
        <v>#N/A</v>
      </c>
    </row>
    <row r="5161" spans="1:5" x14ac:dyDescent="0.2">
      <c r="A5161" s="1">
        <v>37894</v>
      </c>
      <c r="B5161">
        <f>22.72</f>
        <v>22.72</v>
      </c>
      <c r="C5161">
        <f>33.5</f>
        <v>33.5</v>
      </c>
      <c r="D5161">
        <f>23.18</f>
        <v>23.18</v>
      </c>
      <c r="E5161" t="e">
        <f>NA()</f>
        <v>#N/A</v>
      </c>
    </row>
    <row r="5162" spans="1:5" x14ac:dyDescent="0.2">
      <c r="A5162" s="1">
        <v>37893</v>
      </c>
      <c r="B5162">
        <f>21.67</f>
        <v>21.67</v>
      </c>
      <c r="C5162">
        <f>32.29</f>
        <v>32.29</v>
      </c>
      <c r="D5162">
        <f>21.57</f>
        <v>21.57</v>
      </c>
      <c r="E5162" t="e">
        <f>NA()</f>
        <v>#N/A</v>
      </c>
    </row>
    <row r="5163" spans="1:5" x14ac:dyDescent="0.2">
      <c r="A5163" s="1">
        <v>37890</v>
      </c>
      <c r="B5163">
        <f>22.23</f>
        <v>22.23</v>
      </c>
      <c r="C5163">
        <f>32.38</f>
        <v>32.380000000000003</v>
      </c>
      <c r="D5163">
        <f>21.75</f>
        <v>21.75</v>
      </c>
      <c r="E5163" t="e">
        <f>NA()</f>
        <v>#N/A</v>
      </c>
    </row>
    <row r="5164" spans="1:5" x14ac:dyDescent="0.2">
      <c r="A5164" s="1">
        <v>37889</v>
      </c>
      <c r="B5164">
        <f>22.26</f>
        <v>22.26</v>
      </c>
      <c r="C5164">
        <f>32.13</f>
        <v>32.130000000000003</v>
      </c>
      <c r="D5164">
        <f>20.92</f>
        <v>20.92</v>
      </c>
      <c r="E5164" t="e">
        <f>NA()</f>
        <v>#N/A</v>
      </c>
    </row>
    <row r="5165" spans="1:5" x14ac:dyDescent="0.2">
      <c r="A5165" s="1">
        <v>37888</v>
      </c>
      <c r="B5165">
        <f>21.22</f>
        <v>21.22</v>
      </c>
      <c r="C5165">
        <f>30.55</f>
        <v>30.55</v>
      </c>
      <c r="D5165">
        <f>19.27</f>
        <v>19.27</v>
      </c>
      <c r="E5165" t="e">
        <f>NA()</f>
        <v>#N/A</v>
      </c>
    </row>
    <row r="5166" spans="1:5" x14ac:dyDescent="0.2">
      <c r="A5166" s="1">
        <v>37887</v>
      </c>
      <c r="B5166">
        <f>19.47</f>
        <v>19.47</v>
      </c>
      <c r="C5166">
        <f>29.83</f>
        <v>29.83</v>
      </c>
      <c r="D5166">
        <f>19.77</f>
        <v>19.77</v>
      </c>
      <c r="E5166" t="e">
        <f>NA()</f>
        <v>#N/A</v>
      </c>
    </row>
    <row r="5167" spans="1:5" x14ac:dyDescent="0.2">
      <c r="A5167" s="1">
        <v>37886</v>
      </c>
      <c r="B5167">
        <f>19.65</f>
        <v>19.649999999999999</v>
      </c>
      <c r="C5167">
        <f>28.89</f>
        <v>28.89</v>
      </c>
      <c r="D5167">
        <f>19.27</f>
        <v>19.27</v>
      </c>
      <c r="E5167" t="e">
        <f>NA()</f>
        <v>#N/A</v>
      </c>
    </row>
    <row r="5168" spans="1:5" x14ac:dyDescent="0.2">
      <c r="A5168" s="1">
        <v>37883</v>
      </c>
      <c r="B5168">
        <f>17.54</f>
        <v>17.54</v>
      </c>
      <c r="C5168">
        <f>23.99</f>
        <v>23.99</v>
      </c>
      <c r="D5168">
        <f>17.62</f>
        <v>17.62</v>
      </c>
      <c r="E5168" t="e">
        <f>NA()</f>
        <v>#N/A</v>
      </c>
    </row>
    <row r="5169" spans="1:5" x14ac:dyDescent="0.2">
      <c r="A5169" s="1">
        <v>37882</v>
      </c>
      <c r="B5169">
        <f>17.57</f>
        <v>17.57</v>
      </c>
      <c r="C5169">
        <f>22.96</f>
        <v>22.96</v>
      </c>
      <c r="D5169">
        <f>16.18</f>
        <v>16.18</v>
      </c>
      <c r="E5169" t="e">
        <f>NA()</f>
        <v>#N/A</v>
      </c>
    </row>
    <row r="5170" spans="1:5" x14ac:dyDescent="0.2">
      <c r="A5170" s="1">
        <v>37881</v>
      </c>
      <c r="B5170">
        <f>18.15</f>
        <v>18.149999999999999</v>
      </c>
      <c r="C5170">
        <f>24.04</f>
        <v>24.04</v>
      </c>
      <c r="D5170">
        <f>17.11</f>
        <v>17.11</v>
      </c>
      <c r="E5170" t="e">
        <f>NA()</f>
        <v>#N/A</v>
      </c>
    </row>
    <row r="5171" spans="1:5" x14ac:dyDescent="0.2">
      <c r="A5171" s="1">
        <v>37880</v>
      </c>
      <c r="B5171">
        <f>18.03</f>
        <v>18.03</v>
      </c>
      <c r="C5171">
        <f>24.59</f>
        <v>24.59</v>
      </c>
      <c r="D5171">
        <f>17.31</f>
        <v>17.309999999999999</v>
      </c>
      <c r="E5171" t="e">
        <f>NA()</f>
        <v>#N/A</v>
      </c>
    </row>
    <row r="5172" spans="1:5" x14ac:dyDescent="0.2">
      <c r="A5172" s="1">
        <v>37879</v>
      </c>
      <c r="B5172">
        <f>19.28</f>
        <v>19.28</v>
      </c>
      <c r="C5172">
        <f>26.59</f>
        <v>26.59</v>
      </c>
      <c r="D5172">
        <f>17.82</f>
        <v>17.82</v>
      </c>
      <c r="E5172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Gabriel Rambanapasi</cp:lastModifiedBy>
  <dcterms:created xsi:type="dcterms:W3CDTF">2013-04-03T15:49:21Z</dcterms:created>
  <dcterms:modified xsi:type="dcterms:W3CDTF">2023-09-20T14:04:12Z</dcterms:modified>
</cp:coreProperties>
</file>