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rambanapasi/Desktop/Much Ado Dividends/Much-Ado-Dividends/Thesis/data/"/>
    </mc:Choice>
  </mc:AlternateContent>
  <xr:revisionPtr revIDLastSave="0" documentId="8_{6E9FD2AB-DE78-5A48-9083-F688ACF1FAD1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84" i="2" l="1"/>
  <c r="C2584" i="2"/>
  <c r="B2584" i="2"/>
  <c r="D2583" i="2"/>
  <c r="C2583" i="2"/>
  <c r="B2583" i="2"/>
  <c r="D2582" i="2"/>
  <c r="C2582" i="2"/>
  <c r="B2582" i="2"/>
  <c r="D2581" i="2"/>
  <c r="C2581" i="2"/>
  <c r="B2581" i="2"/>
  <c r="D2580" i="2"/>
  <c r="C2580" i="2"/>
  <c r="B2580" i="2"/>
  <c r="D2579" i="2"/>
  <c r="C2579" i="2"/>
  <c r="B2579" i="2"/>
  <c r="D2578" i="2"/>
  <c r="C2578" i="2"/>
  <c r="B2578" i="2"/>
  <c r="D2577" i="2"/>
  <c r="C2577" i="2"/>
  <c r="B2577" i="2"/>
  <c r="D2576" i="2"/>
  <c r="C2576" i="2"/>
  <c r="B2576" i="2"/>
  <c r="D2575" i="2"/>
  <c r="C2575" i="2"/>
  <c r="B2575" i="2"/>
  <c r="D2574" i="2"/>
  <c r="C2574" i="2"/>
  <c r="B2574" i="2"/>
  <c r="D2573" i="2"/>
  <c r="C2573" i="2"/>
  <c r="B2573" i="2"/>
  <c r="D2572" i="2"/>
  <c r="C2572" i="2"/>
  <c r="B2572" i="2"/>
  <c r="D2571" i="2"/>
  <c r="C2571" i="2"/>
  <c r="B2571" i="2"/>
  <c r="D2570" i="2"/>
  <c r="C2570" i="2"/>
  <c r="B2570" i="2"/>
  <c r="D2569" i="2"/>
  <c r="C2569" i="2"/>
  <c r="B2569" i="2"/>
  <c r="D2568" i="2"/>
  <c r="C2568" i="2"/>
  <c r="B2568" i="2"/>
  <c r="D2567" i="2"/>
  <c r="C2567" i="2"/>
  <c r="B2567" i="2"/>
  <c r="D2566" i="2"/>
  <c r="C2566" i="2"/>
  <c r="B2566" i="2"/>
  <c r="D2565" i="2"/>
  <c r="C2565" i="2"/>
  <c r="B2565" i="2"/>
  <c r="D2564" i="2"/>
  <c r="C2564" i="2"/>
  <c r="B2564" i="2"/>
  <c r="D2563" i="2"/>
  <c r="C2563" i="2"/>
  <c r="B2563" i="2"/>
  <c r="D2562" i="2"/>
  <c r="C2562" i="2"/>
  <c r="B2562" i="2"/>
  <c r="D2561" i="2"/>
  <c r="C2561" i="2"/>
  <c r="B2561" i="2"/>
  <c r="D2560" i="2"/>
  <c r="C2560" i="2"/>
  <c r="B2560" i="2"/>
  <c r="D2559" i="2"/>
  <c r="C2559" i="2"/>
  <c r="B2559" i="2"/>
  <c r="D2558" i="2"/>
  <c r="C2558" i="2"/>
  <c r="B2558" i="2"/>
  <c r="D2557" i="2"/>
  <c r="C2557" i="2"/>
  <c r="B2557" i="2"/>
  <c r="D2556" i="2"/>
  <c r="C2556" i="2"/>
  <c r="B2556" i="2"/>
  <c r="D2555" i="2"/>
  <c r="C2555" i="2"/>
  <c r="B2555" i="2"/>
  <c r="D2554" i="2"/>
  <c r="C2554" i="2"/>
  <c r="B2554" i="2"/>
  <c r="D2553" i="2"/>
  <c r="C2553" i="2"/>
  <c r="B2553" i="2"/>
  <c r="D2552" i="2"/>
  <c r="C2552" i="2"/>
  <c r="B2552" i="2"/>
  <c r="D2551" i="2"/>
  <c r="C2551" i="2"/>
  <c r="B2551" i="2"/>
  <c r="D2550" i="2"/>
  <c r="C2550" i="2"/>
  <c r="B2550" i="2"/>
  <c r="D2549" i="2"/>
  <c r="C2549" i="2"/>
  <c r="B2549" i="2"/>
  <c r="D2548" i="2"/>
  <c r="C2548" i="2"/>
  <c r="B2548" i="2"/>
  <c r="D2547" i="2"/>
  <c r="C2547" i="2"/>
  <c r="B2547" i="2"/>
  <c r="D2546" i="2"/>
  <c r="C2546" i="2"/>
  <c r="B2546" i="2"/>
  <c r="D2545" i="2"/>
  <c r="C2545" i="2"/>
  <c r="B2545" i="2"/>
  <c r="D2544" i="2"/>
  <c r="C2544" i="2"/>
  <c r="B2544" i="2"/>
  <c r="D2543" i="2"/>
  <c r="C2543" i="2"/>
  <c r="B2543" i="2"/>
  <c r="D2542" i="2"/>
  <c r="C2542" i="2"/>
  <c r="B2542" i="2"/>
  <c r="D2541" i="2"/>
  <c r="C2541" i="2"/>
  <c r="B2541" i="2"/>
  <c r="D2540" i="2"/>
  <c r="C2540" i="2"/>
  <c r="B2540" i="2"/>
  <c r="D2539" i="2"/>
  <c r="C2539" i="2"/>
  <c r="B2539" i="2"/>
  <c r="D2538" i="2"/>
  <c r="C2538" i="2"/>
  <c r="B2538" i="2"/>
  <c r="D2537" i="2"/>
  <c r="C2537" i="2"/>
  <c r="B2537" i="2"/>
  <c r="D2536" i="2"/>
  <c r="C2536" i="2"/>
  <c r="B2536" i="2"/>
  <c r="D2535" i="2"/>
  <c r="C2535" i="2"/>
  <c r="B2535" i="2"/>
  <c r="D2534" i="2"/>
  <c r="C2534" i="2"/>
  <c r="B2534" i="2"/>
  <c r="D2533" i="2"/>
  <c r="C2533" i="2"/>
  <c r="B2533" i="2"/>
  <c r="D2532" i="2"/>
  <c r="C2532" i="2"/>
  <c r="B2532" i="2"/>
  <c r="D2531" i="2"/>
  <c r="C2531" i="2"/>
  <c r="B2531" i="2"/>
  <c r="D2530" i="2"/>
  <c r="C2530" i="2"/>
  <c r="B2530" i="2"/>
  <c r="D2529" i="2"/>
  <c r="C2529" i="2"/>
  <c r="B2529" i="2"/>
  <c r="D2528" i="2"/>
  <c r="C2528" i="2"/>
  <c r="B2528" i="2"/>
  <c r="D2527" i="2"/>
  <c r="C2527" i="2"/>
  <c r="B2527" i="2"/>
  <c r="D2526" i="2"/>
  <c r="C2526" i="2"/>
  <c r="B2526" i="2"/>
  <c r="D2525" i="2"/>
  <c r="C2525" i="2"/>
  <c r="B2525" i="2"/>
  <c r="D2524" i="2"/>
  <c r="C2524" i="2"/>
  <c r="B2524" i="2"/>
  <c r="D2523" i="2"/>
  <c r="C2523" i="2"/>
  <c r="B2523" i="2"/>
  <c r="D2522" i="2"/>
  <c r="C2522" i="2"/>
  <c r="B2522" i="2"/>
  <c r="D2521" i="2"/>
  <c r="C2521" i="2"/>
  <c r="B2521" i="2"/>
  <c r="D2520" i="2"/>
  <c r="C2520" i="2"/>
  <c r="B2520" i="2"/>
  <c r="D2519" i="2"/>
  <c r="C2519" i="2"/>
  <c r="B2519" i="2"/>
  <c r="D2518" i="2"/>
  <c r="C2518" i="2"/>
  <c r="B2518" i="2"/>
  <c r="D2517" i="2"/>
  <c r="C2517" i="2"/>
  <c r="B2517" i="2"/>
  <c r="D2516" i="2"/>
  <c r="C2516" i="2"/>
  <c r="B2516" i="2"/>
  <c r="D2515" i="2"/>
  <c r="C2515" i="2"/>
  <c r="B2515" i="2"/>
  <c r="D2514" i="2"/>
  <c r="C2514" i="2"/>
  <c r="B2514" i="2"/>
  <c r="D2513" i="2"/>
  <c r="C2513" i="2"/>
  <c r="B2513" i="2"/>
  <c r="D2512" i="2"/>
  <c r="C2512" i="2"/>
  <c r="B2512" i="2"/>
  <c r="D2511" i="2"/>
  <c r="C2511" i="2"/>
  <c r="B2511" i="2"/>
  <c r="D2510" i="2"/>
  <c r="C2510" i="2"/>
  <c r="B2510" i="2"/>
  <c r="D2509" i="2"/>
  <c r="C2509" i="2"/>
  <c r="B2509" i="2"/>
  <c r="D2508" i="2"/>
  <c r="C2508" i="2"/>
  <c r="B2508" i="2"/>
  <c r="D2507" i="2"/>
  <c r="C2507" i="2"/>
  <c r="B2507" i="2"/>
  <c r="D2506" i="2"/>
  <c r="C2506" i="2"/>
  <c r="B2506" i="2"/>
  <c r="D2505" i="2"/>
  <c r="C2505" i="2"/>
  <c r="B2505" i="2"/>
  <c r="D2504" i="2"/>
  <c r="C2504" i="2"/>
  <c r="B2504" i="2"/>
  <c r="D2503" i="2"/>
  <c r="C2503" i="2"/>
  <c r="B2503" i="2"/>
  <c r="D2502" i="2"/>
  <c r="C2502" i="2"/>
  <c r="B2502" i="2"/>
  <c r="D2501" i="2"/>
  <c r="C2501" i="2"/>
  <c r="B2501" i="2"/>
  <c r="D2500" i="2"/>
  <c r="C2500" i="2"/>
  <c r="B2500" i="2"/>
  <c r="D2499" i="2"/>
  <c r="C2499" i="2"/>
  <c r="B2499" i="2"/>
  <c r="D2498" i="2"/>
  <c r="C2498" i="2"/>
  <c r="B2498" i="2"/>
  <c r="D2497" i="2"/>
  <c r="C2497" i="2"/>
  <c r="B2497" i="2"/>
  <c r="D2496" i="2"/>
  <c r="C2496" i="2"/>
  <c r="B2496" i="2"/>
  <c r="D2495" i="2"/>
  <c r="C2495" i="2"/>
  <c r="B2495" i="2"/>
  <c r="D2494" i="2"/>
  <c r="C2494" i="2"/>
  <c r="B2494" i="2"/>
  <c r="D2493" i="2"/>
  <c r="C2493" i="2"/>
  <c r="B2493" i="2"/>
  <c r="D2492" i="2"/>
  <c r="C2492" i="2"/>
  <c r="B2492" i="2"/>
  <c r="D2491" i="2"/>
  <c r="C2491" i="2"/>
  <c r="B2491" i="2"/>
  <c r="D2490" i="2"/>
  <c r="C2490" i="2"/>
  <c r="B2490" i="2"/>
  <c r="D2489" i="2"/>
  <c r="C2489" i="2"/>
  <c r="B2489" i="2"/>
  <c r="D2488" i="2"/>
  <c r="C2488" i="2"/>
  <c r="B2488" i="2"/>
  <c r="D2487" i="2"/>
  <c r="C2487" i="2"/>
  <c r="B2487" i="2"/>
  <c r="D2486" i="2"/>
  <c r="C2486" i="2"/>
  <c r="B2486" i="2"/>
  <c r="D2485" i="2"/>
  <c r="C2485" i="2"/>
  <c r="B2485" i="2"/>
  <c r="D2484" i="2"/>
  <c r="C2484" i="2"/>
  <c r="B2484" i="2"/>
  <c r="D2483" i="2"/>
  <c r="C2483" i="2"/>
  <c r="B2483" i="2"/>
  <c r="D2482" i="2"/>
  <c r="C2482" i="2"/>
  <c r="B2482" i="2"/>
  <c r="D2481" i="2"/>
  <c r="C2481" i="2"/>
  <c r="B2481" i="2"/>
  <c r="D2480" i="2"/>
  <c r="C2480" i="2"/>
  <c r="B2480" i="2"/>
  <c r="D2479" i="2"/>
  <c r="C2479" i="2"/>
  <c r="B2479" i="2"/>
  <c r="D2478" i="2"/>
  <c r="C2478" i="2"/>
  <c r="B2478" i="2"/>
  <c r="D2477" i="2"/>
  <c r="C2477" i="2"/>
  <c r="B2477" i="2"/>
  <c r="D2476" i="2"/>
  <c r="C2476" i="2"/>
  <c r="B2476" i="2"/>
  <c r="D2475" i="2"/>
  <c r="C2475" i="2"/>
  <c r="B2475" i="2"/>
  <c r="D2474" i="2"/>
  <c r="C2474" i="2"/>
  <c r="B2474" i="2"/>
  <c r="D2473" i="2"/>
  <c r="C2473" i="2"/>
  <c r="B2473" i="2"/>
  <c r="D2472" i="2"/>
  <c r="C2472" i="2"/>
  <c r="B2472" i="2"/>
  <c r="D2471" i="2"/>
  <c r="C2471" i="2"/>
  <c r="B2471" i="2"/>
  <c r="D2470" i="2"/>
  <c r="C2470" i="2"/>
  <c r="B2470" i="2"/>
  <c r="D2469" i="2"/>
  <c r="C2469" i="2"/>
  <c r="B2469" i="2"/>
  <c r="D2468" i="2"/>
  <c r="C2468" i="2"/>
  <c r="B2468" i="2"/>
  <c r="D2467" i="2"/>
  <c r="C2467" i="2"/>
  <c r="B2467" i="2"/>
  <c r="D2466" i="2"/>
  <c r="C2466" i="2"/>
  <c r="B2466" i="2"/>
  <c r="D2465" i="2"/>
  <c r="C2465" i="2"/>
  <c r="B2465" i="2"/>
  <c r="D2464" i="2"/>
  <c r="C2464" i="2"/>
  <c r="B2464" i="2"/>
  <c r="D2463" i="2"/>
  <c r="C2463" i="2"/>
  <c r="B2463" i="2"/>
  <c r="D2462" i="2"/>
  <c r="C2462" i="2"/>
  <c r="B2462" i="2"/>
  <c r="D2461" i="2"/>
  <c r="C2461" i="2"/>
  <c r="B2461" i="2"/>
  <c r="D2460" i="2"/>
  <c r="C2460" i="2"/>
  <c r="B2460" i="2"/>
  <c r="D2459" i="2"/>
  <c r="C2459" i="2"/>
  <c r="B2459" i="2"/>
  <c r="D2458" i="2"/>
  <c r="C2458" i="2"/>
  <c r="B2458" i="2"/>
  <c r="D2457" i="2"/>
  <c r="C2457" i="2"/>
  <c r="B2457" i="2"/>
  <c r="D2456" i="2"/>
  <c r="C2456" i="2"/>
  <c r="B2456" i="2"/>
  <c r="D2455" i="2"/>
  <c r="C2455" i="2"/>
  <c r="B2455" i="2"/>
  <c r="D2454" i="2"/>
  <c r="C2454" i="2"/>
  <c r="B2454" i="2"/>
  <c r="D2453" i="2"/>
  <c r="C2453" i="2"/>
  <c r="B2453" i="2"/>
  <c r="D2452" i="2"/>
  <c r="C2452" i="2"/>
  <c r="B2452" i="2"/>
  <c r="D2451" i="2"/>
  <c r="C2451" i="2"/>
  <c r="B2451" i="2"/>
  <c r="D2450" i="2"/>
  <c r="C2450" i="2"/>
  <c r="B2450" i="2"/>
  <c r="D2449" i="2"/>
  <c r="C2449" i="2"/>
  <c r="B2449" i="2"/>
  <c r="D2448" i="2"/>
  <c r="C2448" i="2"/>
  <c r="B2448" i="2"/>
  <c r="D2447" i="2"/>
  <c r="C2447" i="2"/>
  <c r="B2447" i="2"/>
  <c r="D2446" i="2"/>
  <c r="C2446" i="2"/>
  <c r="B2446" i="2"/>
  <c r="D2445" i="2"/>
  <c r="C2445" i="2"/>
  <c r="B2445" i="2"/>
  <c r="D2444" i="2"/>
  <c r="C2444" i="2"/>
  <c r="B2444" i="2"/>
  <c r="D2443" i="2"/>
  <c r="C2443" i="2"/>
  <c r="B2443" i="2"/>
  <c r="D2442" i="2"/>
  <c r="C2442" i="2"/>
  <c r="B2442" i="2"/>
  <c r="D2441" i="2"/>
  <c r="C2441" i="2"/>
  <c r="B2441" i="2"/>
  <c r="D2440" i="2"/>
  <c r="C2440" i="2"/>
  <c r="B2440" i="2"/>
  <c r="D2439" i="2"/>
  <c r="C2439" i="2"/>
  <c r="B2439" i="2"/>
  <c r="D2438" i="2"/>
  <c r="C2438" i="2"/>
  <c r="B2438" i="2"/>
  <c r="D2437" i="2"/>
  <c r="C2437" i="2"/>
  <c r="B2437" i="2"/>
  <c r="D2436" i="2"/>
  <c r="C2436" i="2"/>
  <c r="B2436" i="2"/>
  <c r="D2435" i="2"/>
  <c r="C2435" i="2"/>
  <c r="B2435" i="2"/>
  <c r="D2434" i="2"/>
  <c r="C2434" i="2"/>
  <c r="B2434" i="2"/>
  <c r="D2433" i="2"/>
  <c r="C2433" i="2"/>
  <c r="B2433" i="2"/>
  <c r="D2432" i="2"/>
  <c r="C2432" i="2"/>
  <c r="B2432" i="2"/>
  <c r="D2431" i="2"/>
  <c r="C2431" i="2"/>
  <c r="B2431" i="2"/>
  <c r="D2430" i="2"/>
  <c r="C2430" i="2"/>
  <c r="B2430" i="2"/>
  <c r="D2429" i="2"/>
  <c r="C2429" i="2"/>
  <c r="B2429" i="2"/>
  <c r="D2428" i="2"/>
  <c r="C2428" i="2"/>
  <c r="B2428" i="2"/>
  <c r="D2427" i="2"/>
  <c r="C2427" i="2"/>
  <c r="B2427" i="2"/>
  <c r="D2426" i="2"/>
  <c r="C2426" i="2"/>
  <c r="B2426" i="2"/>
  <c r="D2425" i="2"/>
  <c r="C2425" i="2"/>
  <c r="B2425" i="2"/>
  <c r="D2424" i="2"/>
  <c r="C2424" i="2"/>
  <c r="B2424" i="2"/>
  <c r="D2423" i="2"/>
  <c r="C2423" i="2"/>
  <c r="B2423" i="2"/>
  <c r="D2422" i="2"/>
  <c r="C2422" i="2"/>
  <c r="B2422" i="2"/>
  <c r="D2421" i="2"/>
  <c r="C2421" i="2"/>
  <c r="B2421" i="2"/>
  <c r="D2420" i="2"/>
  <c r="C2420" i="2"/>
  <c r="B2420" i="2"/>
  <c r="D2419" i="2"/>
  <c r="C2419" i="2"/>
  <c r="B2419" i="2"/>
  <c r="D2418" i="2"/>
  <c r="C2418" i="2"/>
  <c r="B2418" i="2"/>
  <c r="D2417" i="2"/>
  <c r="C2417" i="2"/>
  <c r="B2417" i="2"/>
  <c r="D2416" i="2"/>
  <c r="C2416" i="2"/>
  <c r="B2416" i="2"/>
  <c r="D2415" i="2"/>
  <c r="C2415" i="2"/>
  <c r="B2415" i="2"/>
  <c r="D2414" i="2"/>
  <c r="C2414" i="2"/>
  <c r="B2414" i="2"/>
  <c r="D2413" i="2"/>
  <c r="C2413" i="2"/>
  <c r="B2413" i="2"/>
  <c r="D2412" i="2"/>
  <c r="C2412" i="2"/>
  <c r="B2412" i="2"/>
  <c r="D2411" i="2"/>
  <c r="C2411" i="2"/>
  <c r="B2411" i="2"/>
  <c r="D2410" i="2"/>
  <c r="C2410" i="2"/>
  <c r="B2410" i="2"/>
  <c r="D2409" i="2"/>
  <c r="C2409" i="2"/>
  <c r="B2409" i="2"/>
  <c r="D2408" i="2"/>
  <c r="C2408" i="2"/>
  <c r="B2408" i="2"/>
  <c r="D2407" i="2"/>
  <c r="C2407" i="2"/>
  <c r="B2407" i="2"/>
  <c r="D2406" i="2"/>
  <c r="C2406" i="2"/>
  <c r="B2406" i="2"/>
  <c r="D2405" i="2"/>
  <c r="C2405" i="2"/>
  <c r="B2405" i="2"/>
  <c r="D2404" i="2"/>
  <c r="C2404" i="2"/>
  <c r="B2404" i="2"/>
  <c r="D2403" i="2"/>
  <c r="C2403" i="2"/>
  <c r="B2403" i="2"/>
  <c r="D2402" i="2"/>
  <c r="C2402" i="2"/>
  <c r="B2402" i="2"/>
  <c r="D2401" i="2"/>
  <c r="C2401" i="2"/>
  <c r="B2401" i="2"/>
  <c r="D2400" i="2"/>
  <c r="C2400" i="2"/>
  <c r="B2400" i="2"/>
  <c r="D2399" i="2"/>
  <c r="C2399" i="2"/>
  <c r="B2399" i="2"/>
  <c r="D2398" i="2"/>
  <c r="C2398" i="2"/>
  <c r="B2398" i="2"/>
  <c r="D2397" i="2"/>
  <c r="C2397" i="2"/>
  <c r="B2397" i="2"/>
  <c r="D2396" i="2"/>
  <c r="C2396" i="2"/>
  <c r="B2396" i="2"/>
  <c r="D2395" i="2"/>
  <c r="C2395" i="2"/>
  <c r="B2395" i="2"/>
  <c r="D2394" i="2"/>
  <c r="C2394" i="2"/>
  <c r="B2394" i="2"/>
  <c r="D2393" i="2"/>
  <c r="C2393" i="2"/>
  <c r="B2393" i="2"/>
  <c r="D2392" i="2"/>
  <c r="C2392" i="2"/>
  <c r="B2392" i="2"/>
  <c r="D2391" i="2"/>
  <c r="C2391" i="2"/>
  <c r="B2391" i="2"/>
  <c r="D2390" i="2"/>
  <c r="C2390" i="2"/>
  <c r="B2390" i="2"/>
  <c r="D2389" i="2"/>
  <c r="C2389" i="2"/>
  <c r="B2389" i="2"/>
  <c r="D2388" i="2"/>
  <c r="C2388" i="2"/>
  <c r="B2388" i="2"/>
  <c r="D2387" i="2"/>
  <c r="C2387" i="2"/>
  <c r="B2387" i="2"/>
  <c r="D2386" i="2"/>
  <c r="C2386" i="2"/>
  <c r="B2386" i="2"/>
  <c r="D2385" i="2"/>
  <c r="C2385" i="2"/>
  <c r="B2385" i="2"/>
  <c r="D2384" i="2"/>
  <c r="C2384" i="2"/>
  <c r="B2384" i="2"/>
  <c r="D2383" i="2"/>
  <c r="C2383" i="2"/>
  <c r="B2383" i="2"/>
  <c r="D2382" i="2"/>
  <c r="C2382" i="2"/>
  <c r="B2382" i="2"/>
  <c r="D2381" i="2"/>
  <c r="C2381" i="2"/>
  <c r="B2381" i="2"/>
  <c r="D2380" i="2"/>
  <c r="C2380" i="2"/>
  <c r="B2380" i="2"/>
  <c r="D2379" i="2"/>
  <c r="C2379" i="2"/>
  <c r="B2379" i="2"/>
  <c r="D2378" i="2"/>
  <c r="C2378" i="2"/>
  <c r="B2378" i="2"/>
  <c r="D2377" i="2"/>
  <c r="C2377" i="2"/>
  <c r="B2377" i="2"/>
  <c r="D2376" i="2"/>
  <c r="C2376" i="2"/>
  <c r="B2376" i="2"/>
  <c r="D2375" i="2"/>
  <c r="C2375" i="2"/>
  <c r="B2375" i="2"/>
  <c r="D2374" i="2"/>
  <c r="C2374" i="2"/>
  <c r="B2374" i="2"/>
  <c r="D2373" i="2"/>
  <c r="C2373" i="2"/>
  <c r="B2373" i="2"/>
  <c r="D2372" i="2"/>
  <c r="C2372" i="2"/>
  <c r="B2372" i="2"/>
  <c r="D2371" i="2"/>
  <c r="C2371" i="2"/>
  <c r="B2371" i="2"/>
  <c r="D2370" i="2"/>
  <c r="C2370" i="2"/>
  <c r="B2370" i="2"/>
  <c r="D2369" i="2"/>
  <c r="C2369" i="2"/>
  <c r="B2369" i="2"/>
  <c r="D2368" i="2"/>
  <c r="C2368" i="2"/>
  <c r="B2368" i="2"/>
  <c r="D2367" i="2"/>
  <c r="C2367" i="2"/>
  <c r="B2367" i="2"/>
  <c r="D2366" i="2"/>
  <c r="C2366" i="2"/>
  <c r="B2366" i="2"/>
  <c r="D2365" i="2"/>
  <c r="C2365" i="2"/>
  <c r="B2365" i="2"/>
  <c r="D2364" i="2"/>
  <c r="C2364" i="2"/>
  <c r="B2364" i="2"/>
  <c r="D2363" i="2"/>
  <c r="C2363" i="2"/>
  <c r="B2363" i="2"/>
  <c r="D2362" i="2"/>
  <c r="C2362" i="2"/>
  <c r="B2362" i="2"/>
  <c r="D2361" i="2"/>
  <c r="C2361" i="2"/>
  <c r="B2361" i="2"/>
  <c r="D2360" i="2"/>
  <c r="C2360" i="2"/>
  <c r="B2360" i="2"/>
  <c r="D2359" i="2"/>
  <c r="C2359" i="2"/>
  <c r="B2359" i="2"/>
  <c r="D2358" i="2"/>
  <c r="C2358" i="2"/>
  <c r="B2358" i="2"/>
  <c r="D2357" i="2"/>
  <c r="C2357" i="2"/>
  <c r="B2357" i="2"/>
  <c r="D2356" i="2"/>
  <c r="C2356" i="2"/>
  <c r="B2356" i="2"/>
  <c r="D2355" i="2"/>
  <c r="C2355" i="2"/>
  <c r="B2355" i="2"/>
  <c r="D2354" i="2"/>
  <c r="C2354" i="2"/>
  <c r="B2354" i="2"/>
  <c r="D2353" i="2"/>
  <c r="C2353" i="2"/>
  <c r="B2353" i="2"/>
  <c r="D2352" i="2"/>
  <c r="C2352" i="2"/>
  <c r="B2352" i="2"/>
  <c r="D2351" i="2"/>
  <c r="C2351" i="2"/>
  <c r="B2351" i="2"/>
  <c r="D2350" i="2"/>
  <c r="C2350" i="2"/>
  <c r="B2350" i="2"/>
  <c r="D2349" i="2"/>
  <c r="C2349" i="2"/>
  <c r="B2349" i="2"/>
  <c r="D2348" i="2"/>
  <c r="C2348" i="2"/>
  <c r="B2348" i="2"/>
  <c r="D2347" i="2"/>
  <c r="C2347" i="2"/>
  <c r="B2347" i="2"/>
  <c r="D2346" i="2"/>
  <c r="C2346" i="2"/>
  <c r="B2346" i="2"/>
  <c r="D2345" i="2"/>
  <c r="C2345" i="2"/>
  <c r="B2345" i="2"/>
  <c r="D2344" i="2"/>
  <c r="C2344" i="2"/>
  <c r="B2344" i="2"/>
  <c r="D2343" i="2"/>
  <c r="C2343" i="2"/>
  <c r="B2343" i="2"/>
  <c r="D2342" i="2"/>
  <c r="C2342" i="2"/>
  <c r="B2342" i="2"/>
  <c r="D2341" i="2"/>
  <c r="C2341" i="2"/>
  <c r="B2341" i="2"/>
  <c r="D2340" i="2"/>
  <c r="C2340" i="2"/>
  <c r="B2340" i="2"/>
  <c r="D2339" i="2"/>
  <c r="C2339" i="2"/>
  <c r="B2339" i="2"/>
  <c r="D2338" i="2"/>
  <c r="C2338" i="2"/>
  <c r="B2338" i="2"/>
  <c r="D2337" i="2"/>
  <c r="C2337" i="2"/>
  <c r="B2337" i="2"/>
  <c r="D2336" i="2"/>
  <c r="C2336" i="2"/>
  <c r="B2336" i="2"/>
  <c r="D2335" i="2"/>
  <c r="C2335" i="2"/>
  <c r="B2335" i="2"/>
  <c r="D2334" i="2"/>
  <c r="C2334" i="2"/>
  <c r="B2334" i="2"/>
  <c r="D2333" i="2"/>
  <c r="C2333" i="2"/>
  <c r="B2333" i="2"/>
  <c r="D2332" i="2"/>
  <c r="C2332" i="2"/>
  <c r="B2332" i="2"/>
  <c r="D2331" i="2"/>
  <c r="C2331" i="2"/>
  <c r="B2331" i="2"/>
  <c r="D2330" i="2"/>
  <c r="C2330" i="2"/>
  <c r="B2330" i="2"/>
  <c r="D2329" i="2"/>
  <c r="C2329" i="2"/>
  <c r="B2329" i="2"/>
  <c r="D2328" i="2"/>
  <c r="C2328" i="2"/>
  <c r="B2328" i="2"/>
  <c r="D2327" i="2"/>
  <c r="C2327" i="2"/>
  <c r="B2327" i="2"/>
  <c r="D2326" i="2"/>
  <c r="C2326" i="2"/>
  <c r="B2326" i="2"/>
  <c r="D2325" i="2"/>
  <c r="C2325" i="2"/>
  <c r="B2325" i="2"/>
  <c r="D2324" i="2"/>
  <c r="C2324" i="2"/>
  <c r="B2324" i="2"/>
  <c r="D2323" i="2"/>
  <c r="C2323" i="2"/>
  <c r="B2323" i="2"/>
  <c r="D2322" i="2"/>
  <c r="C2322" i="2"/>
  <c r="B2322" i="2"/>
  <c r="D2321" i="2"/>
  <c r="C2321" i="2"/>
  <c r="B2321" i="2"/>
  <c r="D2320" i="2"/>
  <c r="C2320" i="2"/>
  <c r="B2320" i="2"/>
  <c r="D2319" i="2"/>
  <c r="C2319" i="2"/>
  <c r="B2319" i="2"/>
  <c r="D2318" i="2"/>
  <c r="C2318" i="2"/>
  <c r="B2318" i="2"/>
  <c r="D2317" i="2"/>
  <c r="C2317" i="2"/>
  <c r="B2317" i="2"/>
  <c r="D2316" i="2"/>
  <c r="C2316" i="2"/>
  <c r="B2316" i="2"/>
  <c r="D2315" i="2"/>
  <c r="C2315" i="2"/>
  <c r="B2315" i="2"/>
  <c r="D2314" i="2"/>
  <c r="C2314" i="2"/>
  <c r="B2314" i="2"/>
  <c r="D2313" i="2"/>
  <c r="C2313" i="2"/>
  <c r="B2313" i="2"/>
  <c r="D2312" i="2"/>
  <c r="C2312" i="2"/>
  <c r="B2312" i="2"/>
  <c r="D2311" i="2"/>
  <c r="C2311" i="2"/>
  <c r="B2311" i="2"/>
  <c r="D2310" i="2"/>
  <c r="C2310" i="2"/>
  <c r="B2310" i="2"/>
  <c r="D2309" i="2"/>
  <c r="C2309" i="2"/>
  <c r="B2309" i="2"/>
  <c r="D2308" i="2"/>
  <c r="C2308" i="2"/>
  <c r="B2308" i="2"/>
  <c r="D2307" i="2"/>
  <c r="C2307" i="2"/>
  <c r="B2307" i="2"/>
  <c r="D2306" i="2"/>
  <c r="C2306" i="2"/>
  <c r="B2306" i="2"/>
  <c r="D2305" i="2"/>
  <c r="C2305" i="2"/>
  <c r="B2305" i="2"/>
  <c r="D2304" i="2"/>
  <c r="C2304" i="2"/>
  <c r="B2304" i="2"/>
  <c r="D2303" i="2"/>
  <c r="C2303" i="2"/>
  <c r="B2303" i="2"/>
  <c r="D2302" i="2"/>
  <c r="C2302" i="2"/>
  <c r="B2302" i="2"/>
  <c r="D2301" i="2"/>
  <c r="C2301" i="2"/>
  <c r="B2301" i="2"/>
  <c r="D2300" i="2"/>
  <c r="C2300" i="2"/>
  <c r="B2300" i="2"/>
  <c r="D2299" i="2"/>
  <c r="C2299" i="2"/>
  <c r="B2299" i="2"/>
  <c r="D2298" i="2"/>
  <c r="C2298" i="2"/>
  <c r="B2298" i="2"/>
  <c r="D2297" i="2"/>
  <c r="C2297" i="2"/>
  <c r="B2297" i="2"/>
  <c r="D2296" i="2"/>
  <c r="C2296" i="2"/>
  <c r="B2296" i="2"/>
  <c r="D2295" i="2"/>
  <c r="C2295" i="2"/>
  <c r="B2295" i="2"/>
  <c r="D2294" i="2"/>
  <c r="C2294" i="2"/>
  <c r="B2294" i="2"/>
  <c r="D2293" i="2"/>
  <c r="C2293" i="2"/>
  <c r="B2293" i="2"/>
  <c r="D2292" i="2"/>
  <c r="C2292" i="2"/>
  <c r="B2292" i="2"/>
  <c r="D2291" i="2"/>
  <c r="C2291" i="2"/>
  <c r="B2291" i="2"/>
  <c r="D2290" i="2"/>
  <c r="C2290" i="2"/>
  <c r="B2290" i="2"/>
  <c r="D2289" i="2"/>
  <c r="C2289" i="2"/>
  <c r="B2289" i="2"/>
  <c r="D2288" i="2"/>
  <c r="C2288" i="2"/>
  <c r="B2288" i="2"/>
  <c r="D2287" i="2"/>
  <c r="C2287" i="2"/>
  <c r="B2287" i="2"/>
  <c r="D2286" i="2"/>
  <c r="C2286" i="2"/>
  <c r="B2286" i="2"/>
  <c r="D2285" i="2"/>
  <c r="C2285" i="2"/>
  <c r="B2285" i="2"/>
  <c r="D2284" i="2"/>
  <c r="C2284" i="2"/>
  <c r="B2284" i="2"/>
  <c r="D2283" i="2"/>
  <c r="C2283" i="2"/>
  <c r="B2283" i="2"/>
  <c r="D2282" i="2"/>
  <c r="C2282" i="2"/>
  <c r="B2282" i="2"/>
  <c r="D2281" i="2"/>
  <c r="C2281" i="2"/>
  <c r="B2281" i="2"/>
  <c r="D2280" i="2"/>
  <c r="C2280" i="2"/>
  <c r="B2280" i="2"/>
  <c r="D2279" i="2"/>
  <c r="C2279" i="2"/>
  <c r="B2279" i="2"/>
  <c r="D2278" i="2"/>
  <c r="C2278" i="2"/>
  <c r="B2278" i="2"/>
  <c r="D2277" i="2"/>
  <c r="C2277" i="2"/>
  <c r="B2277" i="2"/>
  <c r="D2276" i="2"/>
  <c r="C2276" i="2"/>
  <c r="B2276" i="2"/>
  <c r="D2275" i="2"/>
  <c r="C2275" i="2"/>
  <c r="B2275" i="2"/>
  <c r="D2274" i="2"/>
  <c r="C2274" i="2"/>
  <c r="B2274" i="2"/>
  <c r="D2273" i="2"/>
  <c r="C2273" i="2"/>
  <c r="B2273" i="2"/>
  <c r="D2272" i="2"/>
  <c r="C2272" i="2"/>
  <c r="B2272" i="2"/>
  <c r="D2271" i="2"/>
  <c r="C2271" i="2"/>
  <c r="B2271" i="2"/>
  <c r="D2270" i="2"/>
  <c r="C2270" i="2"/>
  <c r="B2270" i="2"/>
  <c r="D2269" i="2"/>
  <c r="C2269" i="2"/>
  <c r="B2269" i="2"/>
  <c r="D2268" i="2"/>
  <c r="C2268" i="2"/>
  <c r="B2268" i="2"/>
  <c r="D2267" i="2"/>
  <c r="C2267" i="2"/>
  <c r="B2267" i="2"/>
  <c r="D2266" i="2"/>
  <c r="C2266" i="2"/>
  <c r="B2266" i="2"/>
  <c r="D2265" i="2"/>
  <c r="C2265" i="2"/>
  <c r="B2265" i="2"/>
  <c r="D2264" i="2"/>
  <c r="C2264" i="2"/>
  <c r="B2264" i="2"/>
  <c r="D2263" i="2"/>
  <c r="C2263" i="2"/>
  <c r="B2263" i="2"/>
  <c r="D2262" i="2"/>
  <c r="C2262" i="2"/>
  <c r="B2262" i="2"/>
  <c r="D2261" i="2"/>
  <c r="C2261" i="2"/>
  <c r="B2261" i="2"/>
  <c r="D2260" i="2"/>
  <c r="C2260" i="2"/>
  <c r="B2260" i="2"/>
  <c r="D2259" i="2"/>
  <c r="C2259" i="2"/>
  <c r="B2259" i="2"/>
  <c r="D2258" i="2"/>
  <c r="C2258" i="2"/>
  <c r="B2258" i="2"/>
  <c r="D2257" i="2"/>
  <c r="C2257" i="2"/>
  <c r="B2257" i="2"/>
  <c r="D2256" i="2"/>
  <c r="C2256" i="2"/>
  <c r="B2256" i="2"/>
  <c r="D2255" i="2"/>
  <c r="C2255" i="2"/>
  <c r="B2255" i="2"/>
  <c r="D2254" i="2"/>
  <c r="C2254" i="2"/>
  <c r="B2254" i="2"/>
  <c r="D2253" i="2"/>
  <c r="C2253" i="2"/>
  <c r="B2253" i="2"/>
  <c r="D2252" i="2"/>
  <c r="C2252" i="2"/>
  <c r="B2252" i="2"/>
  <c r="D2251" i="2"/>
  <c r="C2251" i="2"/>
  <c r="B2251" i="2"/>
  <c r="D2250" i="2"/>
  <c r="C2250" i="2"/>
  <c r="B2250" i="2"/>
  <c r="D2249" i="2"/>
  <c r="C2249" i="2"/>
  <c r="B2249" i="2"/>
  <c r="D2248" i="2"/>
  <c r="C2248" i="2"/>
  <c r="B2248" i="2"/>
  <c r="D2247" i="2"/>
  <c r="C2247" i="2"/>
  <c r="B2247" i="2"/>
  <c r="D2246" i="2"/>
  <c r="C2246" i="2"/>
  <c r="B2246" i="2"/>
  <c r="D2245" i="2"/>
  <c r="C2245" i="2"/>
  <c r="B2245" i="2"/>
  <c r="D2244" i="2"/>
  <c r="C2244" i="2"/>
  <c r="B2244" i="2"/>
  <c r="D2243" i="2"/>
  <c r="C2243" i="2"/>
  <c r="B2243" i="2"/>
  <c r="D2242" i="2"/>
  <c r="C2242" i="2"/>
  <c r="B2242" i="2"/>
  <c r="D2241" i="2"/>
  <c r="C2241" i="2"/>
  <c r="B2241" i="2"/>
  <c r="D2240" i="2"/>
  <c r="C2240" i="2"/>
  <c r="B2240" i="2"/>
  <c r="D2239" i="2"/>
  <c r="C2239" i="2"/>
  <c r="B2239" i="2"/>
  <c r="D2238" i="2"/>
  <c r="C2238" i="2"/>
  <c r="B2238" i="2"/>
  <c r="D2237" i="2"/>
  <c r="C2237" i="2"/>
  <c r="B2237" i="2"/>
  <c r="D2236" i="2"/>
  <c r="C2236" i="2"/>
  <c r="B2236" i="2"/>
  <c r="D2235" i="2"/>
  <c r="C2235" i="2"/>
  <c r="B2235" i="2"/>
  <c r="D2234" i="2"/>
  <c r="C2234" i="2"/>
  <c r="B2234" i="2"/>
  <c r="D2233" i="2"/>
  <c r="C2233" i="2"/>
  <c r="B2233" i="2"/>
  <c r="D2232" i="2"/>
  <c r="C2232" i="2"/>
  <c r="B2232" i="2"/>
  <c r="D2231" i="2"/>
  <c r="C2231" i="2"/>
  <c r="B2231" i="2"/>
  <c r="D2230" i="2"/>
  <c r="C2230" i="2"/>
  <c r="B2230" i="2"/>
  <c r="D2229" i="2"/>
  <c r="C2229" i="2"/>
  <c r="B2229" i="2"/>
  <c r="D2228" i="2"/>
  <c r="C2228" i="2"/>
  <c r="B2228" i="2"/>
  <c r="D2227" i="2"/>
  <c r="C2227" i="2"/>
  <c r="B2227" i="2"/>
  <c r="D2226" i="2"/>
  <c r="C2226" i="2"/>
  <c r="B2226" i="2"/>
  <c r="D2225" i="2"/>
  <c r="C2225" i="2"/>
  <c r="B2225" i="2"/>
  <c r="D2224" i="2"/>
  <c r="C2224" i="2"/>
  <c r="B2224" i="2"/>
  <c r="D2223" i="2"/>
  <c r="C2223" i="2"/>
  <c r="B2223" i="2"/>
  <c r="D2222" i="2"/>
  <c r="C2222" i="2"/>
  <c r="B2222" i="2"/>
  <c r="D2221" i="2"/>
  <c r="C2221" i="2"/>
  <c r="B2221" i="2"/>
  <c r="D2220" i="2"/>
  <c r="C2220" i="2"/>
  <c r="B2220" i="2"/>
  <c r="D2219" i="2"/>
  <c r="C2219" i="2"/>
  <c r="B2219" i="2"/>
  <c r="D2218" i="2"/>
  <c r="C2218" i="2"/>
  <c r="B2218" i="2"/>
  <c r="D2217" i="2"/>
  <c r="C2217" i="2"/>
  <c r="B2217" i="2"/>
  <c r="D2216" i="2"/>
  <c r="C2216" i="2"/>
  <c r="B2216" i="2"/>
  <c r="D2215" i="2"/>
  <c r="C2215" i="2"/>
  <c r="B2215" i="2"/>
  <c r="D2214" i="2"/>
  <c r="C2214" i="2"/>
  <c r="B2214" i="2"/>
  <c r="D2213" i="2"/>
  <c r="C2213" i="2"/>
  <c r="B2213" i="2"/>
  <c r="D2212" i="2"/>
  <c r="C2212" i="2"/>
  <c r="B2212" i="2"/>
  <c r="D2211" i="2"/>
  <c r="C2211" i="2"/>
  <c r="B2211" i="2"/>
  <c r="D2210" i="2"/>
  <c r="C2210" i="2"/>
  <c r="B2210" i="2"/>
  <c r="D2209" i="2"/>
  <c r="C2209" i="2"/>
  <c r="B2209" i="2"/>
  <c r="D2208" i="2"/>
  <c r="C2208" i="2"/>
  <c r="B2208" i="2"/>
  <c r="D2207" i="2"/>
  <c r="C2207" i="2"/>
  <c r="B2207" i="2"/>
  <c r="D2206" i="2"/>
  <c r="C2206" i="2"/>
  <c r="B2206" i="2"/>
  <c r="D2205" i="2"/>
  <c r="C2205" i="2"/>
  <c r="B2205" i="2"/>
  <c r="D2204" i="2"/>
  <c r="C2204" i="2"/>
  <c r="B2204" i="2"/>
  <c r="D2203" i="2"/>
  <c r="C2203" i="2"/>
  <c r="B2203" i="2"/>
  <c r="D2202" i="2"/>
  <c r="C2202" i="2"/>
  <c r="B2202" i="2"/>
  <c r="D2201" i="2"/>
  <c r="C2201" i="2"/>
  <c r="B2201" i="2"/>
  <c r="D2200" i="2"/>
  <c r="C2200" i="2"/>
  <c r="B2200" i="2"/>
  <c r="D2199" i="2"/>
  <c r="C2199" i="2"/>
  <c r="B2199" i="2"/>
  <c r="D2198" i="2"/>
  <c r="C2198" i="2"/>
  <c r="B2198" i="2"/>
  <c r="D2197" i="2"/>
  <c r="C2197" i="2"/>
  <c r="B2197" i="2"/>
  <c r="D2196" i="2"/>
  <c r="C2196" i="2"/>
  <c r="B2196" i="2"/>
  <c r="D2195" i="2"/>
  <c r="C2195" i="2"/>
  <c r="B2195" i="2"/>
  <c r="D2194" i="2"/>
  <c r="C2194" i="2"/>
  <c r="B2194" i="2"/>
  <c r="D2193" i="2"/>
  <c r="C2193" i="2"/>
  <c r="B2193" i="2"/>
  <c r="D2192" i="2"/>
  <c r="C2192" i="2"/>
  <c r="B2192" i="2"/>
  <c r="D2191" i="2"/>
  <c r="C2191" i="2"/>
  <c r="B2191" i="2"/>
  <c r="D2190" i="2"/>
  <c r="C2190" i="2"/>
  <c r="B2190" i="2"/>
  <c r="D2189" i="2"/>
  <c r="C2189" i="2"/>
  <c r="B2189" i="2"/>
  <c r="D2188" i="2"/>
  <c r="C2188" i="2"/>
  <c r="B2188" i="2"/>
  <c r="D2187" i="2"/>
  <c r="C2187" i="2"/>
  <c r="B2187" i="2"/>
  <c r="D2186" i="2"/>
  <c r="C2186" i="2"/>
  <c r="B2186" i="2"/>
  <c r="D2185" i="2"/>
  <c r="C2185" i="2"/>
  <c r="B2185" i="2"/>
  <c r="D2184" i="2"/>
  <c r="C2184" i="2"/>
  <c r="B2184" i="2"/>
  <c r="D2183" i="2"/>
  <c r="C2183" i="2"/>
  <c r="B2183" i="2"/>
  <c r="D2182" i="2"/>
  <c r="C2182" i="2"/>
  <c r="B2182" i="2"/>
  <c r="D2181" i="2"/>
  <c r="C2181" i="2"/>
  <c r="B2181" i="2"/>
  <c r="D2180" i="2"/>
  <c r="C2180" i="2"/>
  <c r="B2180" i="2"/>
  <c r="D2179" i="2"/>
  <c r="C2179" i="2"/>
  <c r="B2179" i="2"/>
  <c r="D2178" i="2"/>
  <c r="C2178" i="2"/>
  <c r="B2178" i="2"/>
  <c r="D2177" i="2"/>
  <c r="C2177" i="2"/>
  <c r="B2177" i="2"/>
  <c r="D2176" i="2"/>
  <c r="C2176" i="2"/>
  <c r="B2176" i="2"/>
  <c r="D2175" i="2"/>
  <c r="C2175" i="2"/>
  <c r="B2175" i="2"/>
  <c r="D2174" i="2"/>
  <c r="C2174" i="2"/>
  <c r="B2174" i="2"/>
  <c r="D2173" i="2"/>
  <c r="C2173" i="2"/>
  <c r="B2173" i="2"/>
  <c r="D2172" i="2"/>
  <c r="C2172" i="2"/>
  <c r="B2172" i="2"/>
  <c r="D2171" i="2"/>
  <c r="C2171" i="2"/>
  <c r="B2171" i="2"/>
  <c r="D2170" i="2"/>
  <c r="C2170" i="2"/>
  <c r="B2170" i="2"/>
  <c r="D2169" i="2"/>
  <c r="C2169" i="2"/>
  <c r="B2169" i="2"/>
  <c r="D2168" i="2"/>
  <c r="C2168" i="2"/>
  <c r="B2168" i="2"/>
  <c r="D2167" i="2"/>
  <c r="C2167" i="2"/>
  <c r="B2167" i="2"/>
  <c r="D2166" i="2"/>
  <c r="C2166" i="2"/>
  <c r="B2166" i="2"/>
  <c r="D2165" i="2"/>
  <c r="C2165" i="2"/>
  <c r="B2165" i="2"/>
  <c r="D2164" i="2"/>
  <c r="C2164" i="2"/>
  <c r="B2164" i="2"/>
  <c r="D2163" i="2"/>
  <c r="C2163" i="2"/>
  <c r="B2163" i="2"/>
  <c r="D2162" i="2"/>
  <c r="C2162" i="2"/>
  <c r="B2162" i="2"/>
  <c r="D2161" i="2"/>
  <c r="C2161" i="2"/>
  <c r="B2161" i="2"/>
  <c r="D2160" i="2"/>
  <c r="C2160" i="2"/>
  <c r="B2160" i="2"/>
  <c r="D2159" i="2"/>
  <c r="C2159" i="2"/>
  <c r="B2159" i="2"/>
  <c r="D2158" i="2"/>
  <c r="C2158" i="2"/>
  <c r="B2158" i="2"/>
  <c r="D2157" i="2"/>
  <c r="C2157" i="2"/>
  <c r="B2157" i="2"/>
  <c r="D2156" i="2"/>
  <c r="C2156" i="2"/>
  <c r="B2156" i="2"/>
  <c r="D2155" i="2"/>
  <c r="C2155" i="2"/>
  <c r="B2155" i="2"/>
  <c r="D2154" i="2"/>
  <c r="C2154" i="2"/>
  <c r="B2154" i="2"/>
  <c r="D2153" i="2"/>
  <c r="C2153" i="2"/>
  <c r="B2153" i="2"/>
  <c r="D2152" i="2"/>
  <c r="C2152" i="2"/>
  <c r="B2152" i="2"/>
  <c r="D2151" i="2"/>
  <c r="C2151" i="2"/>
  <c r="B2151" i="2"/>
  <c r="D2150" i="2"/>
  <c r="C2150" i="2"/>
  <c r="B2150" i="2"/>
  <c r="D2149" i="2"/>
  <c r="C2149" i="2"/>
  <c r="B2149" i="2"/>
  <c r="D2148" i="2"/>
  <c r="C2148" i="2"/>
  <c r="B2148" i="2"/>
  <c r="D2147" i="2"/>
  <c r="C2147" i="2"/>
  <c r="B2147" i="2"/>
  <c r="D2146" i="2"/>
  <c r="C2146" i="2"/>
  <c r="B2146" i="2"/>
  <c r="D2145" i="2"/>
  <c r="C2145" i="2"/>
  <c r="B2145" i="2"/>
  <c r="D2144" i="2"/>
  <c r="C2144" i="2"/>
  <c r="B2144" i="2"/>
  <c r="D2143" i="2"/>
  <c r="C2143" i="2"/>
  <c r="B2143" i="2"/>
  <c r="D2142" i="2"/>
  <c r="C2142" i="2"/>
  <c r="B2142" i="2"/>
  <c r="D2141" i="2"/>
  <c r="C2141" i="2"/>
  <c r="B2141" i="2"/>
  <c r="D2140" i="2"/>
  <c r="C2140" i="2"/>
  <c r="B2140" i="2"/>
  <c r="D2139" i="2"/>
  <c r="C2139" i="2"/>
  <c r="B2139" i="2"/>
  <c r="D2138" i="2"/>
  <c r="C2138" i="2"/>
  <c r="B2138" i="2"/>
  <c r="D2137" i="2"/>
  <c r="C2137" i="2"/>
  <c r="B2137" i="2"/>
  <c r="D2136" i="2"/>
  <c r="C2136" i="2"/>
  <c r="B2136" i="2"/>
  <c r="D2135" i="2"/>
  <c r="C2135" i="2"/>
  <c r="B2135" i="2"/>
  <c r="D2134" i="2"/>
  <c r="C2134" i="2"/>
  <c r="B2134" i="2"/>
  <c r="D2133" i="2"/>
  <c r="C2133" i="2"/>
  <c r="B2133" i="2"/>
  <c r="D2132" i="2"/>
  <c r="C2132" i="2"/>
  <c r="B2132" i="2"/>
  <c r="D2131" i="2"/>
  <c r="C2131" i="2"/>
  <c r="B2131" i="2"/>
  <c r="D2130" i="2"/>
  <c r="C2130" i="2"/>
  <c r="B2130" i="2"/>
  <c r="D2129" i="2"/>
  <c r="C2129" i="2"/>
  <c r="B2129" i="2"/>
  <c r="D2128" i="2"/>
  <c r="C2128" i="2"/>
  <c r="B2128" i="2"/>
  <c r="D2127" i="2"/>
  <c r="C2127" i="2"/>
  <c r="B2127" i="2"/>
  <c r="D2126" i="2"/>
  <c r="C2126" i="2"/>
  <c r="B2126" i="2"/>
  <c r="D2125" i="2"/>
  <c r="C2125" i="2"/>
  <c r="B2125" i="2"/>
  <c r="D2124" i="2"/>
  <c r="C2124" i="2"/>
  <c r="B2124" i="2"/>
  <c r="D2123" i="2"/>
  <c r="C2123" i="2"/>
  <c r="B2123" i="2"/>
  <c r="D2122" i="2"/>
  <c r="C2122" i="2"/>
  <c r="B2122" i="2"/>
  <c r="D2121" i="2"/>
  <c r="C2121" i="2"/>
  <c r="B2121" i="2"/>
  <c r="D2120" i="2"/>
  <c r="C2120" i="2"/>
  <c r="B2120" i="2"/>
  <c r="D2119" i="2"/>
  <c r="C2119" i="2"/>
  <c r="B2119" i="2"/>
  <c r="D2118" i="2"/>
  <c r="C2118" i="2"/>
  <c r="B2118" i="2"/>
  <c r="D2117" i="2"/>
  <c r="C2117" i="2"/>
  <c r="B2117" i="2"/>
  <c r="D2116" i="2"/>
  <c r="C2116" i="2"/>
  <c r="B2116" i="2"/>
  <c r="D2115" i="2"/>
  <c r="C2115" i="2"/>
  <c r="B2115" i="2"/>
  <c r="D2114" i="2"/>
  <c r="C2114" i="2"/>
  <c r="B2114" i="2"/>
  <c r="D2113" i="2"/>
  <c r="C2113" i="2"/>
  <c r="B2113" i="2"/>
  <c r="D2112" i="2"/>
  <c r="C2112" i="2"/>
  <c r="B2112" i="2"/>
  <c r="D2111" i="2"/>
  <c r="C2111" i="2"/>
  <c r="B2111" i="2"/>
  <c r="D2110" i="2"/>
  <c r="C2110" i="2"/>
  <c r="B2110" i="2"/>
  <c r="D2109" i="2"/>
  <c r="C2109" i="2"/>
  <c r="B2109" i="2"/>
  <c r="D2108" i="2"/>
  <c r="C2108" i="2"/>
  <c r="B2108" i="2"/>
  <c r="D2107" i="2"/>
  <c r="C2107" i="2"/>
  <c r="B2107" i="2"/>
  <c r="D2106" i="2"/>
  <c r="C2106" i="2"/>
  <c r="B2106" i="2"/>
  <c r="D2105" i="2"/>
  <c r="C2105" i="2"/>
  <c r="B2105" i="2"/>
  <c r="D2104" i="2"/>
  <c r="C2104" i="2"/>
  <c r="B2104" i="2"/>
  <c r="D2103" i="2"/>
  <c r="C2103" i="2"/>
  <c r="B2103" i="2"/>
  <c r="D2102" i="2"/>
  <c r="C2102" i="2"/>
  <c r="B2102" i="2"/>
  <c r="D2101" i="2"/>
  <c r="C2101" i="2"/>
  <c r="B2101" i="2"/>
  <c r="D2100" i="2"/>
  <c r="C2100" i="2"/>
  <c r="B2100" i="2"/>
  <c r="D2099" i="2"/>
  <c r="C2099" i="2"/>
  <c r="B2099" i="2"/>
  <c r="D2098" i="2"/>
  <c r="C2098" i="2"/>
  <c r="B2098" i="2"/>
  <c r="D2097" i="2"/>
  <c r="C2097" i="2"/>
  <c r="B2097" i="2"/>
  <c r="D2096" i="2"/>
  <c r="C2096" i="2"/>
  <c r="B2096" i="2"/>
  <c r="D2095" i="2"/>
  <c r="C2095" i="2"/>
  <c r="B2095" i="2"/>
  <c r="D2094" i="2"/>
  <c r="C2094" i="2"/>
  <c r="B2094" i="2"/>
  <c r="D2093" i="2"/>
  <c r="C2093" i="2"/>
  <c r="B2093" i="2"/>
  <c r="D2092" i="2"/>
  <c r="C2092" i="2"/>
  <c r="B2092" i="2"/>
  <c r="D2091" i="2"/>
  <c r="C2091" i="2"/>
  <c r="B2091" i="2"/>
  <c r="D2090" i="2"/>
  <c r="C2090" i="2"/>
  <c r="B2090" i="2"/>
  <c r="D2089" i="2"/>
  <c r="C2089" i="2"/>
  <c r="B2089" i="2"/>
  <c r="D2088" i="2"/>
  <c r="C2088" i="2"/>
  <c r="B2088" i="2"/>
  <c r="D2087" i="2"/>
  <c r="C2087" i="2"/>
  <c r="B2087" i="2"/>
  <c r="D2086" i="2"/>
  <c r="C2086" i="2"/>
  <c r="B2086" i="2"/>
  <c r="D2085" i="2"/>
  <c r="C2085" i="2"/>
  <c r="B2085" i="2"/>
  <c r="D2084" i="2"/>
  <c r="C2084" i="2"/>
  <c r="B2084" i="2"/>
  <c r="D2083" i="2"/>
  <c r="C2083" i="2"/>
  <c r="B2083" i="2"/>
  <c r="D2082" i="2"/>
  <c r="C2082" i="2"/>
  <c r="B2082" i="2"/>
  <c r="D2081" i="2"/>
  <c r="C2081" i="2"/>
  <c r="B2081" i="2"/>
  <c r="D2080" i="2"/>
  <c r="C2080" i="2"/>
  <c r="B2080" i="2"/>
  <c r="D2079" i="2"/>
  <c r="C2079" i="2"/>
  <c r="B2079" i="2"/>
  <c r="D2078" i="2"/>
  <c r="C2078" i="2"/>
  <c r="B2078" i="2"/>
  <c r="D2077" i="2"/>
  <c r="C2077" i="2"/>
  <c r="B2077" i="2"/>
  <c r="D2076" i="2"/>
  <c r="C2076" i="2"/>
  <c r="B2076" i="2"/>
  <c r="D2075" i="2"/>
  <c r="C2075" i="2"/>
  <c r="B2075" i="2"/>
  <c r="D2074" i="2"/>
  <c r="C2074" i="2"/>
  <c r="B2074" i="2"/>
  <c r="D2073" i="2"/>
  <c r="C2073" i="2"/>
  <c r="B2073" i="2"/>
  <c r="D2072" i="2"/>
  <c r="C2072" i="2"/>
  <c r="B2072" i="2"/>
  <c r="D2071" i="2"/>
  <c r="C2071" i="2"/>
  <c r="B2071" i="2"/>
  <c r="D2070" i="2"/>
  <c r="C2070" i="2"/>
  <c r="B2070" i="2"/>
  <c r="D2069" i="2"/>
  <c r="C2069" i="2"/>
  <c r="B2069" i="2"/>
  <c r="D2068" i="2"/>
  <c r="C2068" i="2"/>
  <c r="B2068" i="2"/>
  <c r="D2067" i="2"/>
  <c r="C2067" i="2"/>
  <c r="B2067" i="2"/>
  <c r="D2066" i="2"/>
  <c r="C2066" i="2"/>
  <c r="B2066" i="2"/>
  <c r="D2065" i="2"/>
  <c r="C2065" i="2"/>
  <c r="B2065" i="2"/>
  <c r="D2064" i="2"/>
  <c r="C2064" i="2"/>
  <c r="B2064" i="2"/>
  <c r="D2063" i="2"/>
  <c r="C2063" i="2"/>
  <c r="B2063" i="2"/>
  <c r="D2062" i="2"/>
  <c r="C2062" i="2"/>
  <c r="B2062" i="2"/>
  <c r="D2061" i="2"/>
  <c r="C2061" i="2"/>
  <c r="B2061" i="2"/>
  <c r="D2060" i="2"/>
  <c r="C2060" i="2"/>
  <c r="B2060" i="2"/>
  <c r="D2059" i="2"/>
  <c r="C2059" i="2"/>
  <c r="B2059" i="2"/>
  <c r="D2058" i="2"/>
  <c r="C2058" i="2"/>
  <c r="B2058" i="2"/>
  <c r="D2057" i="2"/>
  <c r="C2057" i="2"/>
  <c r="B2057" i="2"/>
  <c r="D2056" i="2"/>
  <c r="C2056" i="2"/>
  <c r="B2056" i="2"/>
  <c r="D2055" i="2"/>
  <c r="C2055" i="2"/>
  <c r="B2055" i="2"/>
  <c r="D2054" i="2"/>
  <c r="C2054" i="2"/>
  <c r="B2054" i="2"/>
  <c r="D2053" i="2"/>
  <c r="C2053" i="2"/>
  <c r="B2053" i="2"/>
  <c r="D2052" i="2"/>
  <c r="C2052" i="2"/>
  <c r="B2052" i="2"/>
  <c r="D2051" i="2"/>
  <c r="C2051" i="2"/>
  <c r="B2051" i="2"/>
  <c r="D2050" i="2"/>
  <c r="C2050" i="2"/>
  <c r="B2050" i="2"/>
  <c r="D2049" i="2"/>
  <c r="C2049" i="2"/>
  <c r="B2049" i="2"/>
  <c r="D2048" i="2"/>
  <c r="C2048" i="2"/>
  <c r="B2048" i="2"/>
  <c r="D2047" i="2"/>
  <c r="C2047" i="2"/>
  <c r="B2047" i="2"/>
  <c r="D2046" i="2"/>
  <c r="C2046" i="2"/>
  <c r="B2046" i="2"/>
  <c r="D2045" i="2"/>
  <c r="C2045" i="2"/>
  <c r="B2045" i="2"/>
  <c r="D2044" i="2"/>
  <c r="C2044" i="2"/>
  <c r="B2044" i="2"/>
  <c r="D2043" i="2"/>
  <c r="C2043" i="2"/>
  <c r="B2043" i="2"/>
  <c r="D2042" i="2"/>
  <c r="C2042" i="2"/>
  <c r="B2042" i="2"/>
  <c r="D2041" i="2"/>
  <c r="C2041" i="2"/>
  <c r="B2041" i="2"/>
  <c r="D2040" i="2"/>
  <c r="C2040" i="2"/>
  <c r="B2040" i="2"/>
  <c r="D2039" i="2"/>
  <c r="C2039" i="2"/>
  <c r="B2039" i="2"/>
  <c r="D2038" i="2"/>
  <c r="C2038" i="2"/>
  <c r="B2038" i="2"/>
  <c r="D2037" i="2"/>
  <c r="C2037" i="2"/>
  <c r="B2037" i="2"/>
  <c r="D2036" i="2"/>
  <c r="C2036" i="2"/>
  <c r="B2036" i="2"/>
  <c r="D2035" i="2"/>
  <c r="C2035" i="2"/>
  <c r="B2035" i="2"/>
  <c r="D2034" i="2"/>
  <c r="C2034" i="2"/>
  <c r="B2034" i="2"/>
  <c r="D2033" i="2"/>
  <c r="C2033" i="2"/>
  <c r="B2033" i="2"/>
  <c r="D2032" i="2"/>
  <c r="C2032" i="2"/>
  <c r="B2032" i="2"/>
  <c r="D2031" i="2"/>
  <c r="C2031" i="2"/>
  <c r="B2031" i="2"/>
  <c r="D2030" i="2"/>
  <c r="C2030" i="2"/>
  <c r="B2030" i="2"/>
  <c r="D2029" i="2"/>
  <c r="C2029" i="2"/>
  <c r="B2029" i="2"/>
  <c r="D2028" i="2"/>
  <c r="C2028" i="2"/>
  <c r="B2028" i="2"/>
  <c r="D2027" i="2"/>
  <c r="C2027" i="2"/>
  <c r="B2027" i="2"/>
  <c r="D2026" i="2"/>
  <c r="C2026" i="2"/>
  <c r="B2026" i="2"/>
  <c r="D2025" i="2"/>
  <c r="C2025" i="2"/>
  <c r="B2025" i="2"/>
  <c r="D2024" i="2"/>
  <c r="C2024" i="2"/>
  <c r="B2024" i="2"/>
  <c r="D2023" i="2"/>
  <c r="C2023" i="2"/>
  <c r="B2023" i="2"/>
  <c r="D2022" i="2"/>
  <c r="C2022" i="2"/>
  <c r="B2022" i="2"/>
  <c r="D2021" i="2"/>
  <c r="C2021" i="2"/>
  <c r="B2021" i="2"/>
  <c r="D2020" i="2"/>
  <c r="C2020" i="2"/>
  <c r="B2020" i="2"/>
  <c r="D2019" i="2"/>
  <c r="C2019" i="2"/>
  <c r="B2019" i="2"/>
  <c r="D2018" i="2"/>
  <c r="C2018" i="2"/>
  <c r="B2018" i="2"/>
  <c r="D2017" i="2"/>
  <c r="C2017" i="2"/>
  <c r="B2017" i="2"/>
  <c r="D2016" i="2"/>
  <c r="C2016" i="2"/>
  <c r="B2016" i="2"/>
  <c r="D2015" i="2"/>
  <c r="C2015" i="2"/>
  <c r="B2015" i="2"/>
  <c r="D2014" i="2"/>
  <c r="C2014" i="2"/>
  <c r="B2014" i="2"/>
  <c r="D2013" i="2"/>
  <c r="C2013" i="2"/>
  <c r="B2013" i="2"/>
  <c r="D2012" i="2"/>
  <c r="C2012" i="2"/>
  <c r="B2012" i="2"/>
  <c r="D2011" i="2"/>
  <c r="C2011" i="2"/>
  <c r="B2011" i="2"/>
  <c r="D2010" i="2"/>
  <c r="C2010" i="2"/>
  <c r="B2010" i="2"/>
  <c r="D2009" i="2"/>
  <c r="C2009" i="2"/>
  <c r="B2009" i="2"/>
  <c r="D2008" i="2"/>
  <c r="C2008" i="2"/>
  <c r="B2008" i="2"/>
  <c r="D2007" i="2"/>
  <c r="C2007" i="2"/>
  <c r="B2007" i="2"/>
  <c r="D2006" i="2"/>
  <c r="C2006" i="2"/>
  <c r="B2006" i="2"/>
  <c r="D2005" i="2"/>
  <c r="C2005" i="2"/>
  <c r="B2005" i="2"/>
  <c r="D2004" i="2"/>
  <c r="C2004" i="2"/>
  <c r="B2004" i="2"/>
  <c r="D2003" i="2"/>
  <c r="C2003" i="2"/>
  <c r="B2003" i="2"/>
  <c r="D2002" i="2"/>
  <c r="C2002" i="2"/>
  <c r="B2002" i="2"/>
  <c r="D2001" i="2"/>
  <c r="C2001" i="2"/>
  <c r="B2001" i="2"/>
  <c r="D2000" i="2"/>
  <c r="C2000" i="2"/>
  <c r="B2000" i="2"/>
  <c r="D1999" i="2"/>
  <c r="C1999" i="2"/>
  <c r="B1999" i="2"/>
  <c r="D1998" i="2"/>
  <c r="C1998" i="2"/>
  <c r="B1998" i="2"/>
  <c r="D1997" i="2"/>
  <c r="C1997" i="2"/>
  <c r="B1997" i="2"/>
  <c r="D1996" i="2"/>
  <c r="C1996" i="2"/>
  <c r="B1996" i="2"/>
  <c r="D1995" i="2"/>
  <c r="C1995" i="2"/>
  <c r="B1995" i="2"/>
  <c r="D1994" i="2"/>
  <c r="C1994" i="2"/>
  <c r="B1994" i="2"/>
  <c r="D1993" i="2"/>
  <c r="C1993" i="2"/>
  <c r="B1993" i="2"/>
  <c r="D1992" i="2"/>
  <c r="C1992" i="2"/>
  <c r="B1992" i="2"/>
  <c r="D1991" i="2"/>
  <c r="C1991" i="2"/>
  <c r="B1991" i="2"/>
  <c r="D1990" i="2"/>
  <c r="C1990" i="2"/>
  <c r="B1990" i="2"/>
  <c r="D1989" i="2"/>
  <c r="C1989" i="2"/>
  <c r="B1989" i="2"/>
  <c r="D1988" i="2"/>
  <c r="C1988" i="2"/>
  <c r="B1988" i="2"/>
  <c r="D1987" i="2"/>
  <c r="C1987" i="2"/>
  <c r="B1987" i="2"/>
  <c r="D1986" i="2"/>
  <c r="C1986" i="2"/>
  <c r="B1986" i="2"/>
  <c r="D1985" i="2"/>
  <c r="C1985" i="2"/>
  <c r="B1985" i="2"/>
  <c r="D1984" i="2"/>
  <c r="C1984" i="2"/>
  <c r="B1984" i="2"/>
  <c r="D1983" i="2"/>
  <c r="C1983" i="2"/>
  <c r="B1983" i="2"/>
  <c r="D1982" i="2"/>
  <c r="C1982" i="2"/>
  <c r="B1982" i="2"/>
  <c r="D1981" i="2"/>
  <c r="C1981" i="2"/>
  <c r="B1981" i="2"/>
  <c r="D1980" i="2"/>
  <c r="C1980" i="2"/>
  <c r="B1980" i="2"/>
  <c r="D1979" i="2"/>
  <c r="C1979" i="2"/>
  <c r="B1979" i="2"/>
  <c r="D1978" i="2"/>
  <c r="C1978" i="2"/>
  <c r="B1978" i="2"/>
  <c r="D1977" i="2"/>
  <c r="C1977" i="2"/>
  <c r="B1977" i="2"/>
  <c r="D1976" i="2"/>
  <c r="C1976" i="2"/>
  <c r="B1976" i="2"/>
  <c r="D1975" i="2"/>
  <c r="C1975" i="2"/>
  <c r="B1975" i="2"/>
  <c r="D1974" i="2"/>
  <c r="C1974" i="2"/>
  <c r="B1974" i="2"/>
  <c r="D1973" i="2"/>
  <c r="C1973" i="2"/>
  <c r="B1973" i="2"/>
  <c r="D1972" i="2"/>
  <c r="C1972" i="2"/>
  <c r="B1972" i="2"/>
  <c r="D1971" i="2"/>
  <c r="C1971" i="2"/>
  <c r="B1971" i="2"/>
  <c r="D1970" i="2"/>
  <c r="C1970" i="2"/>
  <c r="B1970" i="2"/>
  <c r="D1969" i="2"/>
  <c r="C1969" i="2"/>
  <c r="B1969" i="2"/>
  <c r="D1968" i="2"/>
  <c r="C1968" i="2"/>
  <c r="B1968" i="2"/>
  <c r="D1967" i="2"/>
  <c r="C1967" i="2"/>
  <c r="B1967" i="2"/>
  <c r="D1966" i="2"/>
  <c r="C1966" i="2"/>
  <c r="B1966" i="2"/>
  <c r="D1965" i="2"/>
  <c r="C1965" i="2"/>
  <c r="B1965" i="2"/>
  <c r="D1964" i="2"/>
  <c r="C1964" i="2"/>
  <c r="B1964" i="2"/>
  <c r="D1963" i="2"/>
  <c r="C1963" i="2"/>
  <c r="B1963" i="2"/>
  <c r="D1962" i="2"/>
  <c r="C1962" i="2"/>
  <c r="B1962" i="2"/>
  <c r="D1961" i="2"/>
  <c r="C1961" i="2"/>
  <c r="B1961" i="2"/>
  <c r="D1960" i="2"/>
  <c r="C1960" i="2"/>
  <c r="B1960" i="2"/>
  <c r="D1959" i="2"/>
  <c r="C1959" i="2"/>
  <c r="B1959" i="2"/>
  <c r="D1958" i="2"/>
  <c r="C1958" i="2"/>
  <c r="B1958" i="2"/>
  <c r="D1957" i="2"/>
  <c r="C1957" i="2"/>
  <c r="B1957" i="2"/>
  <c r="D1956" i="2"/>
  <c r="C1956" i="2"/>
  <c r="B1956" i="2"/>
  <c r="D1955" i="2"/>
  <c r="C1955" i="2"/>
  <c r="B1955" i="2"/>
  <c r="D1954" i="2"/>
  <c r="C1954" i="2"/>
  <c r="B1954" i="2"/>
  <c r="D1953" i="2"/>
  <c r="C1953" i="2"/>
  <c r="B1953" i="2"/>
  <c r="D1952" i="2"/>
  <c r="C1952" i="2"/>
  <c r="B1952" i="2"/>
  <c r="D1951" i="2"/>
  <c r="C1951" i="2"/>
  <c r="B1951" i="2"/>
  <c r="D1950" i="2"/>
  <c r="C1950" i="2"/>
  <c r="B1950" i="2"/>
  <c r="D1949" i="2"/>
  <c r="C1949" i="2"/>
  <c r="B1949" i="2"/>
  <c r="D1948" i="2"/>
  <c r="C1948" i="2"/>
  <c r="B1948" i="2"/>
  <c r="D1947" i="2"/>
  <c r="C1947" i="2"/>
  <c r="B1947" i="2"/>
  <c r="D1946" i="2"/>
  <c r="C1946" i="2"/>
  <c r="B1946" i="2"/>
  <c r="D1945" i="2"/>
  <c r="C1945" i="2"/>
  <c r="B1945" i="2"/>
  <c r="D1944" i="2"/>
  <c r="C1944" i="2"/>
  <c r="B1944" i="2"/>
  <c r="D1943" i="2"/>
  <c r="C1943" i="2"/>
  <c r="B1943" i="2"/>
  <c r="D1942" i="2"/>
  <c r="C1942" i="2"/>
  <c r="B1942" i="2"/>
  <c r="D1941" i="2"/>
  <c r="C1941" i="2"/>
  <c r="B1941" i="2"/>
  <c r="D1940" i="2"/>
  <c r="C1940" i="2"/>
  <c r="B1940" i="2"/>
  <c r="D1939" i="2"/>
  <c r="C1939" i="2"/>
  <c r="B1939" i="2"/>
  <c r="D1938" i="2"/>
  <c r="C1938" i="2"/>
  <c r="B1938" i="2"/>
  <c r="D1937" i="2"/>
  <c r="C1937" i="2"/>
  <c r="B1937" i="2"/>
  <c r="D1936" i="2"/>
  <c r="C1936" i="2"/>
  <c r="B1936" i="2"/>
  <c r="D1935" i="2"/>
  <c r="C1935" i="2"/>
  <c r="B1935" i="2"/>
  <c r="D1934" i="2"/>
  <c r="C1934" i="2"/>
  <c r="B1934" i="2"/>
  <c r="D1933" i="2"/>
  <c r="C1933" i="2"/>
  <c r="B1933" i="2"/>
  <c r="D1932" i="2"/>
  <c r="C1932" i="2"/>
  <c r="B1932" i="2"/>
  <c r="D1931" i="2"/>
  <c r="C1931" i="2"/>
  <c r="B1931" i="2"/>
  <c r="D1930" i="2"/>
  <c r="C1930" i="2"/>
  <c r="B1930" i="2"/>
  <c r="D1929" i="2"/>
  <c r="C1929" i="2"/>
  <c r="B1929" i="2"/>
  <c r="D1928" i="2"/>
  <c r="C1928" i="2"/>
  <c r="B1928" i="2"/>
  <c r="D1927" i="2"/>
  <c r="C1927" i="2"/>
  <c r="B1927" i="2"/>
  <c r="D1926" i="2"/>
  <c r="C1926" i="2"/>
  <c r="B1926" i="2"/>
  <c r="D1925" i="2"/>
  <c r="C1925" i="2"/>
  <c r="B1925" i="2"/>
  <c r="D1924" i="2"/>
  <c r="C1924" i="2"/>
  <c r="B1924" i="2"/>
  <c r="D1923" i="2"/>
  <c r="C1923" i="2"/>
  <c r="B1923" i="2"/>
  <c r="D1922" i="2"/>
  <c r="C1922" i="2"/>
  <c r="B1922" i="2"/>
  <c r="D1921" i="2"/>
  <c r="C1921" i="2"/>
  <c r="B1921" i="2"/>
  <c r="D1920" i="2"/>
  <c r="C1920" i="2"/>
  <c r="B1920" i="2"/>
  <c r="D1919" i="2"/>
  <c r="C1919" i="2"/>
  <c r="B1919" i="2"/>
  <c r="D1918" i="2"/>
  <c r="C1918" i="2"/>
  <c r="B1918" i="2"/>
  <c r="D1917" i="2"/>
  <c r="C1917" i="2"/>
  <c r="B1917" i="2"/>
  <c r="D1916" i="2"/>
  <c r="C1916" i="2"/>
  <c r="B1916" i="2"/>
  <c r="D1915" i="2"/>
  <c r="C1915" i="2"/>
  <c r="B1915" i="2"/>
  <c r="D1914" i="2"/>
  <c r="C1914" i="2"/>
  <c r="B1914" i="2"/>
  <c r="D1913" i="2"/>
  <c r="C1913" i="2"/>
  <c r="B1913" i="2"/>
  <c r="D1912" i="2"/>
  <c r="C1912" i="2"/>
  <c r="B1912" i="2"/>
  <c r="D1911" i="2"/>
  <c r="C1911" i="2"/>
  <c r="B1911" i="2"/>
  <c r="D1910" i="2"/>
  <c r="C1910" i="2"/>
  <c r="B1910" i="2"/>
  <c r="D1909" i="2"/>
  <c r="C1909" i="2"/>
  <c r="B1909" i="2"/>
  <c r="D1908" i="2"/>
  <c r="C1908" i="2"/>
  <c r="B1908" i="2"/>
  <c r="D1907" i="2"/>
  <c r="C1907" i="2"/>
  <c r="B1907" i="2"/>
  <c r="D1906" i="2"/>
  <c r="C1906" i="2"/>
  <c r="B1906" i="2"/>
  <c r="D1905" i="2"/>
  <c r="C1905" i="2"/>
  <c r="B1905" i="2"/>
  <c r="D1904" i="2"/>
  <c r="C1904" i="2"/>
  <c r="B1904" i="2"/>
  <c r="D1903" i="2"/>
  <c r="C1903" i="2"/>
  <c r="B1903" i="2"/>
  <c r="D1902" i="2"/>
  <c r="C1902" i="2"/>
  <c r="B1902" i="2"/>
  <c r="D1901" i="2"/>
  <c r="C1901" i="2"/>
  <c r="B1901" i="2"/>
  <c r="D1900" i="2"/>
  <c r="C1900" i="2"/>
  <c r="B1900" i="2"/>
  <c r="D1899" i="2"/>
  <c r="C1899" i="2"/>
  <c r="B1899" i="2"/>
  <c r="D1898" i="2"/>
  <c r="C1898" i="2"/>
  <c r="B1898" i="2"/>
  <c r="D1897" i="2"/>
  <c r="C1897" i="2"/>
  <c r="B1897" i="2"/>
  <c r="D1896" i="2"/>
  <c r="C1896" i="2"/>
  <c r="B1896" i="2"/>
  <c r="D1895" i="2"/>
  <c r="C1895" i="2"/>
  <c r="B1895" i="2"/>
  <c r="D1894" i="2"/>
  <c r="C1894" i="2"/>
  <c r="B1894" i="2"/>
  <c r="D1893" i="2"/>
  <c r="C1893" i="2"/>
  <c r="B1893" i="2"/>
  <c r="D1892" i="2"/>
  <c r="C1892" i="2"/>
  <c r="B1892" i="2"/>
  <c r="D1891" i="2"/>
  <c r="C1891" i="2"/>
  <c r="B1891" i="2"/>
  <c r="D1890" i="2"/>
  <c r="C1890" i="2"/>
  <c r="B1890" i="2"/>
  <c r="D1889" i="2"/>
  <c r="C1889" i="2"/>
  <c r="B1889" i="2"/>
  <c r="D1888" i="2"/>
  <c r="C1888" i="2"/>
  <c r="B1888" i="2"/>
  <c r="D1887" i="2"/>
  <c r="C1887" i="2"/>
  <c r="B1887" i="2"/>
  <c r="D1886" i="2"/>
  <c r="C1886" i="2"/>
  <c r="B1886" i="2"/>
  <c r="D1885" i="2"/>
  <c r="C1885" i="2"/>
  <c r="B1885" i="2"/>
  <c r="D1884" i="2"/>
  <c r="C1884" i="2"/>
  <c r="B1884" i="2"/>
  <c r="D1883" i="2"/>
  <c r="C1883" i="2"/>
  <c r="B1883" i="2"/>
  <c r="D1882" i="2"/>
  <c r="C1882" i="2"/>
  <c r="B1882" i="2"/>
  <c r="D1881" i="2"/>
  <c r="C1881" i="2"/>
  <c r="B1881" i="2"/>
  <c r="D1880" i="2"/>
  <c r="C1880" i="2"/>
  <c r="B1880" i="2"/>
  <c r="D1879" i="2"/>
  <c r="C1879" i="2"/>
  <c r="B1879" i="2"/>
  <c r="D1878" i="2"/>
  <c r="C1878" i="2"/>
  <c r="B1878" i="2"/>
  <c r="D1877" i="2"/>
  <c r="C1877" i="2"/>
  <c r="B1877" i="2"/>
  <c r="D1876" i="2"/>
  <c r="C1876" i="2"/>
  <c r="B1876" i="2"/>
  <c r="D1875" i="2"/>
  <c r="C1875" i="2"/>
  <c r="B1875" i="2"/>
  <c r="D1874" i="2"/>
  <c r="C1874" i="2"/>
  <c r="B1874" i="2"/>
  <c r="D1873" i="2"/>
  <c r="C1873" i="2"/>
  <c r="B1873" i="2"/>
  <c r="D1872" i="2"/>
  <c r="C1872" i="2"/>
  <c r="B1872" i="2"/>
  <c r="D1871" i="2"/>
  <c r="C1871" i="2"/>
  <c r="B1871" i="2"/>
  <c r="D1870" i="2"/>
  <c r="C1870" i="2"/>
  <c r="B1870" i="2"/>
  <c r="D1869" i="2"/>
  <c r="C1869" i="2"/>
  <c r="B1869" i="2"/>
  <c r="D1868" i="2"/>
  <c r="C1868" i="2"/>
  <c r="B1868" i="2"/>
  <c r="D1867" i="2"/>
  <c r="C1867" i="2"/>
  <c r="B1867" i="2"/>
  <c r="D1866" i="2"/>
  <c r="C1866" i="2"/>
  <c r="B1866" i="2"/>
  <c r="D1865" i="2"/>
  <c r="C1865" i="2"/>
  <c r="B1865" i="2"/>
  <c r="D1864" i="2"/>
  <c r="C1864" i="2"/>
  <c r="B1864" i="2"/>
  <c r="D1863" i="2"/>
  <c r="C1863" i="2"/>
  <c r="B1863" i="2"/>
  <c r="D1862" i="2"/>
  <c r="C1862" i="2"/>
  <c r="B1862" i="2"/>
  <c r="D1861" i="2"/>
  <c r="C1861" i="2"/>
  <c r="B1861" i="2"/>
  <c r="D1860" i="2"/>
  <c r="C1860" i="2"/>
  <c r="B1860" i="2"/>
  <c r="D1859" i="2"/>
  <c r="C1859" i="2"/>
  <c r="B1859" i="2"/>
  <c r="D1858" i="2"/>
  <c r="C1858" i="2"/>
  <c r="B1858" i="2"/>
  <c r="D1857" i="2"/>
  <c r="C1857" i="2"/>
  <c r="B1857" i="2"/>
  <c r="D1856" i="2"/>
  <c r="C1856" i="2"/>
  <c r="B1856" i="2"/>
  <c r="D1855" i="2"/>
  <c r="C1855" i="2"/>
  <c r="B1855" i="2"/>
  <c r="D1854" i="2"/>
  <c r="C1854" i="2"/>
  <c r="B1854" i="2"/>
  <c r="D1853" i="2"/>
  <c r="C1853" i="2"/>
  <c r="B1853" i="2"/>
  <c r="D1852" i="2"/>
  <c r="C1852" i="2"/>
  <c r="B1852" i="2"/>
  <c r="D1851" i="2"/>
  <c r="C1851" i="2"/>
  <c r="B1851" i="2"/>
  <c r="D1850" i="2"/>
  <c r="C1850" i="2"/>
  <c r="B1850" i="2"/>
  <c r="D1849" i="2"/>
  <c r="C1849" i="2"/>
  <c r="B1849" i="2"/>
  <c r="D1848" i="2"/>
  <c r="C1848" i="2"/>
  <c r="B1848" i="2"/>
  <c r="D1847" i="2"/>
  <c r="C1847" i="2"/>
  <c r="B1847" i="2"/>
  <c r="D1846" i="2"/>
  <c r="C1846" i="2"/>
  <c r="B1846" i="2"/>
  <c r="D1845" i="2"/>
  <c r="C1845" i="2"/>
  <c r="B1845" i="2"/>
  <c r="D1844" i="2"/>
  <c r="C1844" i="2"/>
  <c r="B1844" i="2"/>
  <c r="D1843" i="2"/>
  <c r="C1843" i="2"/>
  <c r="B1843" i="2"/>
  <c r="D1842" i="2"/>
  <c r="C1842" i="2"/>
  <c r="B1842" i="2"/>
  <c r="D1841" i="2"/>
  <c r="C1841" i="2"/>
  <c r="B1841" i="2"/>
  <c r="D1840" i="2"/>
  <c r="C1840" i="2"/>
  <c r="B1840" i="2"/>
  <c r="D1839" i="2"/>
  <c r="C1839" i="2"/>
  <c r="B1839" i="2"/>
  <c r="D1838" i="2"/>
  <c r="C1838" i="2"/>
  <c r="B1838" i="2"/>
  <c r="D1837" i="2"/>
  <c r="C1837" i="2"/>
  <c r="B1837" i="2"/>
  <c r="D1836" i="2"/>
  <c r="C1836" i="2"/>
  <c r="B1836" i="2"/>
  <c r="D1835" i="2"/>
  <c r="C1835" i="2"/>
  <c r="B1835" i="2"/>
  <c r="D1834" i="2"/>
  <c r="C1834" i="2"/>
  <c r="B1834" i="2"/>
  <c r="D1833" i="2"/>
  <c r="C1833" i="2"/>
  <c r="B1833" i="2"/>
  <c r="D1832" i="2"/>
  <c r="C1832" i="2"/>
  <c r="B1832" i="2"/>
  <c r="D1831" i="2"/>
  <c r="C1831" i="2"/>
  <c r="B1831" i="2"/>
  <c r="D1830" i="2"/>
  <c r="C1830" i="2"/>
  <c r="B1830" i="2"/>
  <c r="D1829" i="2"/>
  <c r="C1829" i="2"/>
  <c r="B1829" i="2"/>
  <c r="D1828" i="2"/>
  <c r="C1828" i="2"/>
  <c r="B1828" i="2"/>
  <c r="D1827" i="2"/>
  <c r="C1827" i="2"/>
  <c r="B1827" i="2"/>
  <c r="D1826" i="2"/>
  <c r="C1826" i="2"/>
  <c r="B1826" i="2"/>
  <c r="D1825" i="2"/>
  <c r="C1825" i="2"/>
  <c r="B1825" i="2"/>
  <c r="D1824" i="2"/>
  <c r="C1824" i="2"/>
  <c r="B1824" i="2"/>
  <c r="D1823" i="2"/>
  <c r="C1823" i="2"/>
  <c r="B1823" i="2"/>
  <c r="D1822" i="2"/>
  <c r="C1822" i="2"/>
  <c r="B1822" i="2"/>
  <c r="D1821" i="2"/>
  <c r="C1821" i="2"/>
  <c r="B1821" i="2"/>
  <c r="D1820" i="2"/>
  <c r="C1820" i="2"/>
  <c r="B1820" i="2"/>
  <c r="D1819" i="2"/>
  <c r="C1819" i="2"/>
  <c r="B1819" i="2"/>
  <c r="D1818" i="2"/>
  <c r="C1818" i="2"/>
  <c r="B1818" i="2"/>
  <c r="D1817" i="2"/>
  <c r="C1817" i="2"/>
  <c r="B1817" i="2"/>
  <c r="D1816" i="2"/>
  <c r="C1816" i="2"/>
  <c r="B1816" i="2"/>
  <c r="D1815" i="2"/>
  <c r="C1815" i="2"/>
  <c r="B1815" i="2"/>
  <c r="D1814" i="2"/>
  <c r="C1814" i="2"/>
  <c r="B1814" i="2"/>
  <c r="D1813" i="2"/>
  <c r="C1813" i="2"/>
  <c r="B1813" i="2"/>
  <c r="D1812" i="2"/>
  <c r="C1812" i="2"/>
  <c r="B1812" i="2"/>
  <c r="D1811" i="2"/>
  <c r="C1811" i="2"/>
  <c r="B1811" i="2"/>
  <c r="D1810" i="2"/>
  <c r="C1810" i="2"/>
  <c r="B1810" i="2"/>
  <c r="D1809" i="2"/>
  <c r="C1809" i="2"/>
  <c r="B1809" i="2"/>
  <c r="D1808" i="2"/>
  <c r="C1808" i="2"/>
  <c r="B1808" i="2"/>
  <c r="D1807" i="2"/>
  <c r="C1807" i="2"/>
  <c r="B1807" i="2"/>
  <c r="D1806" i="2"/>
  <c r="C1806" i="2"/>
  <c r="B1806" i="2"/>
  <c r="D1805" i="2"/>
  <c r="C1805" i="2"/>
  <c r="B1805" i="2"/>
  <c r="D1804" i="2"/>
  <c r="C1804" i="2"/>
  <c r="B1804" i="2"/>
  <c r="D1803" i="2"/>
  <c r="C1803" i="2"/>
  <c r="B1803" i="2"/>
  <c r="D1802" i="2"/>
  <c r="C1802" i="2"/>
  <c r="B1802" i="2"/>
  <c r="D1801" i="2"/>
  <c r="C1801" i="2"/>
  <c r="B1801" i="2"/>
  <c r="D1800" i="2"/>
  <c r="C1800" i="2"/>
  <c r="B1800" i="2"/>
  <c r="D1799" i="2"/>
  <c r="C1799" i="2"/>
  <c r="B1799" i="2"/>
  <c r="D1798" i="2"/>
  <c r="C1798" i="2"/>
  <c r="B1798" i="2"/>
  <c r="D1797" i="2"/>
  <c r="C1797" i="2"/>
  <c r="B1797" i="2"/>
  <c r="D1796" i="2"/>
  <c r="C1796" i="2"/>
  <c r="B1796" i="2"/>
  <c r="D1795" i="2"/>
  <c r="C1795" i="2"/>
  <c r="B1795" i="2"/>
  <c r="D1794" i="2"/>
  <c r="C1794" i="2"/>
  <c r="B1794" i="2"/>
  <c r="D1793" i="2"/>
  <c r="C1793" i="2"/>
  <c r="B1793" i="2"/>
  <c r="D1792" i="2"/>
  <c r="C1792" i="2"/>
  <c r="B1792" i="2"/>
  <c r="D1791" i="2"/>
  <c r="C1791" i="2"/>
  <c r="B1791" i="2"/>
  <c r="D1790" i="2"/>
  <c r="C1790" i="2"/>
  <c r="B1790" i="2"/>
  <c r="D1789" i="2"/>
  <c r="C1789" i="2"/>
  <c r="B1789" i="2"/>
  <c r="D1788" i="2"/>
  <c r="C1788" i="2"/>
  <c r="B1788" i="2"/>
  <c r="D1787" i="2"/>
  <c r="C1787" i="2"/>
  <c r="B1787" i="2"/>
  <c r="D1786" i="2"/>
  <c r="C1786" i="2"/>
  <c r="B1786" i="2"/>
  <c r="D1785" i="2"/>
  <c r="C1785" i="2"/>
  <c r="B1785" i="2"/>
  <c r="D1784" i="2"/>
  <c r="C1784" i="2"/>
  <c r="B1784" i="2"/>
  <c r="D1783" i="2"/>
  <c r="C1783" i="2"/>
  <c r="B1783" i="2"/>
  <c r="D1782" i="2"/>
  <c r="C1782" i="2"/>
  <c r="B1782" i="2"/>
  <c r="D1781" i="2"/>
  <c r="C1781" i="2"/>
  <c r="B1781" i="2"/>
  <c r="D1780" i="2"/>
  <c r="C1780" i="2"/>
  <c r="B1780" i="2"/>
  <c r="D1779" i="2"/>
  <c r="C1779" i="2"/>
  <c r="B1779" i="2"/>
  <c r="D1778" i="2"/>
  <c r="C1778" i="2"/>
  <c r="B1778" i="2"/>
  <c r="D1777" i="2"/>
  <c r="C1777" i="2"/>
  <c r="B1777" i="2"/>
  <c r="D1776" i="2"/>
  <c r="C1776" i="2"/>
  <c r="B1776" i="2"/>
  <c r="D1775" i="2"/>
  <c r="C1775" i="2"/>
  <c r="B1775" i="2"/>
  <c r="D1774" i="2"/>
  <c r="C1774" i="2"/>
  <c r="B1774" i="2"/>
  <c r="D1773" i="2"/>
  <c r="C1773" i="2"/>
  <c r="B1773" i="2"/>
  <c r="D1772" i="2"/>
  <c r="C1772" i="2"/>
  <c r="B1772" i="2"/>
  <c r="D1771" i="2"/>
  <c r="C1771" i="2"/>
  <c r="B1771" i="2"/>
  <c r="D1770" i="2"/>
  <c r="C1770" i="2"/>
  <c r="B1770" i="2"/>
  <c r="D1769" i="2"/>
  <c r="C1769" i="2"/>
  <c r="B1769" i="2"/>
  <c r="D1768" i="2"/>
  <c r="C1768" i="2"/>
  <c r="B1768" i="2"/>
  <c r="D1767" i="2"/>
  <c r="C1767" i="2"/>
  <c r="B1767" i="2"/>
  <c r="D1766" i="2"/>
  <c r="C1766" i="2"/>
  <c r="B1766" i="2"/>
  <c r="D1765" i="2"/>
  <c r="C1765" i="2"/>
  <c r="B1765" i="2"/>
  <c r="D1764" i="2"/>
  <c r="C1764" i="2"/>
  <c r="B1764" i="2"/>
  <c r="D1763" i="2"/>
  <c r="C1763" i="2"/>
  <c r="B1763" i="2"/>
  <c r="D1762" i="2"/>
  <c r="C1762" i="2"/>
  <c r="B1762" i="2"/>
  <c r="D1761" i="2"/>
  <c r="C1761" i="2"/>
  <c r="B1761" i="2"/>
  <c r="D1760" i="2"/>
  <c r="C1760" i="2"/>
  <c r="B1760" i="2"/>
  <c r="D1759" i="2"/>
  <c r="C1759" i="2"/>
  <c r="B1759" i="2"/>
  <c r="D1758" i="2"/>
  <c r="C1758" i="2"/>
  <c r="B1758" i="2"/>
  <c r="D1757" i="2"/>
  <c r="C1757" i="2"/>
  <c r="B1757" i="2"/>
  <c r="D1756" i="2"/>
  <c r="C1756" i="2"/>
  <c r="B1756" i="2"/>
  <c r="D1755" i="2"/>
  <c r="C1755" i="2"/>
  <c r="B1755" i="2"/>
  <c r="D1754" i="2"/>
  <c r="C1754" i="2"/>
  <c r="B1754" i="2"/>
  <c r="D1753" i="2"/>
  <c r="C1753" i="2"/>
  <c r="B1753" i="2"/>
  <c r="D1752" i="2"/>
  <c r="C1752" i="2"/>
  <c r="B1752" i="2"/>
  <c r="D1751" i="2"/>
  <c r="C1751" i="2"/>
  <c r="B1751" i="2"/>
  <c r="D1750" i="2"/>
  <c r="C1750" i="2"/>
  <c r="B1750" i="2"/>
  <c r="D1749" i="2"/>
  <c r="C1749" i="2"/>
  <c r="B1749" i="2"/>
  <c r="D1748" i="2"/>
  <c r="C1748" i="2"/>
  <c r="B1748" i="2"/>
  <c r="D1747" i="2"/>
  <c r="C1747" i="2"/>
  <c r="B1747" i="2"/>
  <c r="D1746" i="2"/>
  <c r="C1746" i="2"/>
  <c r="B1746" i="2"/>
  <c r="D1745" i="2"/>
  <c r="C1745" i="2"/>
  <c r="B1745" i="2"/>
  <c r="D1744" i="2"/>
  <c r="C1744" i="2"/>
  <c r="B1744" i="2"/>
  <c r="D1743" i="2"/>
  <c r="C1743" i="2"/>
  <c r="B1743" i="2"/>
  <c r="D1742" i="2"/>
  <c r="C1742" i="2"/>
  <c r="B1742" i="2"/>
  <c r="D1741" i="2"/>
  <c r="C1741" i="2"/>
  <c r="B1741" i="2"/>
  <c r="D1740" i="2"/>
  <c r="C1740" i="2"/>
  <c r="B1740" i="2"/>
  <c r="D1739" i="2"/>
  <c r="C1739" i="2"/>
  <c r="B1739" i="2"/>
  <c r="D1738" i="2"/>
  <c r="C1738" i="2"/>
  <c r="B1738" i="2"/>
  <c r="D1737" i="2"/>
  <c r="C1737" i="2"/>
  <c r="B1737" i="2"/>
  <c r="D1736" i="2"/>
  <c r="C1736" i="2"/>
  <c r="B1736" i="2"/>
  <c r="D1735" i="2"/>
  <c r="C1735" i="2"/>
  <c r="B1735" i="2"/>
  <c r="D1734" i="2"/>
  <c r="C1734" i="2"/>
  <c r="B1734" i="2"/>
  <c r="D1733" i="2"/>
  <c r="C1733" i="2"/>
  <c r="B1733" i="2"/>
  <c r="D1732" i="2"/>
  <c r="C1732" i="2"/>
  <c r="B1732" i="2"/>
  <c r="D1731" i="2"/>
  <c r="C1731" i="2"/>
  <c r="B1731" i="2"/>
  <c r="D1730" i="2"/>
  <c r="C1730" i="2"/>
  <c r="B1730" i="2"/>
  <c r="D1729" i="2"/>
  <c r="C1729" i="2"/>
  <c r="B1729" i="2"/>
  <c r="D1728" i="2"/>
  <c r="C1728" i="2"/>
  <c r="B1728" i="2"/>
  <c r="D1727" i="2"/>
  <c r="C1727" i="2"/>
  <c r="B1727" i="2"/>
  <c r="D1726" i="2"/>
  <c r="C1726" i="2"/>
  <c r="B1726" i="2"/>
  <c r="D1725" i="2"/>
  <c r="C1725" i="2"/>
  <c r="B1725" i="2"/>
  <c r="D1724" i="2"/>
  <c r="C1724" i="2"/>
  <c r="B1724" i="2"/>
  <c r="D1723" i="2"/>
  <c r="C1723" i="2"/>
  <c r="B1723" i="2"/>
  <c r="D1722" i="2"/>
  <c r="C1722" i="2"/>
  <c r="B1722" i="2"/>
  <c r="D1721" i="2"/>
  <c r="C1721" i="2"/>
  <c r="B1721" i="2"/>
  <c r="D1720" i="2"/>
  <c r="C1720" i="2"/>
  <c r="B1720" i="2"/>
  <c r="D1719" i="2"/>
  <c r="C1719" i="2"/>
  <c r="B1719" i="2"/>
  <c r="D1718" i="2"/>
  <c r="C1718" i="2"/>
  <c r="B1718" i="2"/>
  <c r="D1717" i="2"/>
  <c r="C1717" i="2"/>
  <c r="B1717" i="2"/>
  <c r="D1716" i="2"/>
  <c r="C1716" i="2"/>
  <c r="B1716" i="2"/>
  <c r="D1715" i="2"/>
  <c r="C1715" i="2"/>
  <c r="B1715" i="2"/>
  <c r="D1714" i="2"/>
  <c r="C1714" i="2"/>
  <c r="B1714" i="2"/>
  <c r="D1713" i="2"/>
  <c r="C1713" i="2"/>
  <c r="B1713" i="2"/>
  <c r="D1712" i="2"/>
  <c r="C1712" i="2"/>
  <c r="B1712" i="2"/>
  <c r="D1711" i="2"/>
  <c r="C1711" i="2"/>
  <c r="B1711" i="2"/>
  <c r="D1710" i="2"/>
  <c r="C1710" i="2"/>
  <c r="B1710" i="2"/>
  <c r="D1709" i="2"/>
  <c r="C1709" i="2"/>
  <c r="B1709" i="2"/>
  <c r="D1708" i="2"/>
  <c r="C1708" i="2"/>
  <c r="B1708" i="2"/>
  <c r="D1707" i="2"/>
  <c r="C1707" i="2"/>
  <c r="B1707" i="2"/>
  <c r="D1706" i="2"/>
  <c r="C1706" i="2"/>
  <c r="B1706" i="2"/>
  <c r="D1705" i="2"/>
  <c r="C1705" i="2"/>
  <c r="B1705" i="2"/>
  <c r="D1704" i="2"/>
  <c r="C1704" i="2"/>
  <c r="B1704" i="2"/>
  <c r="D1703" i="2"/>
  <c r="C1703" i="2"/>
  <c r="B1703" i="2"/>
  <c r="D1702" i="2"/>
  <c r="C1702" i="2"/>
  <c r="B1702" i="2"/>
  <c r="D1701" i="2"/>
  <c r="C1701" i="2"/>
  <c r="B1701" i="2"/>
  <c r="D1700" i="2"/>
  <c r="C1700" i="2"/>
  <c r="B1700" i="2"/>
  <c r="D1699" i="2"/>
  <c r="C1699" i="2"/>
  <c r="B1699" i="2"/>
  <c r="D1698" i="2"/>
  <c r="C1698" i="2"/>
  <c r="B1698" i="2"/>
  <c r="D1697" i="2"/>
  <c r="C1697" i="2"/>
  <c r="B1697" i="2"/>
  <c r="D1696" i="2"/>
  <c r="C1696" i="2"/>
  <c r="B1696" i="2"/>
  <c r="D1695" i="2"/>
  <c r="C1695" i="2"/>
  <c r="B1695" i="2"/>
  <c r="D1694" i="2"/>
  <c r="C1694" i="2"/>
  <c r="B1694" i="2"/>
  <c r="D1693" i="2"/>
  <c r="C1693" i="2"/>
  <c r="B1693" i="2"/>
  <c r="D1692" i="2"/>
  <c r="C1692" i="2"/>
  <c r="B1692" i="2"/>
  <c r="D1691" i="2"/>
  <c r="C1691" i="2"/>
  <c r="B1691" i="2"/>
  <c r="D1690" i="2"/>
  <c r="C1690" i="2"/>
  <c r="B1690" i="2"/>
  <c r="D1689" i="2"/>
  <c r="C1689" i="2"/>
  <c r="B1689" i="2"/>
  <c r="D1688" i="2"/>
  <c r="C1688" i="2"/>
  <c r="B1688" i="2"/>
  <c r="D1687" i="2"/>
  <c r="C1687" i="2"/>
  <c r="B1687" i="2"/>
  <c r="D1686" i="2"/>
  <c r="C1686" i="2"/>
  <c r="B1686" i="2"/>
  <c r="D1685" i="2"/>
  <c r="C1685" i="2"/>
  <c r="B1685" i="2"/>
  <c r="D1684" i="2"/>
  <c r="C1684" i="2"/>
  <c r="B1684" i="2"/>
  <c r="D1683" i="2"/>
  <c r="C1683" i="2"/>
  <c r="B1683" i="2"/>
  <c r="D1682" i="2"/>
  <c r="C1682" i="2"/>
  <c r="B1682" i="2"/>
  <c r="D1681" i="2"/>
  <c r="C1681" i="2"/>
  <c r="B1681" i="2"/>
  <c r="D1680" i="2"/>
  <c r="C1680" i="2"/>
  <c r="B1680" i="2"/>
  <c r="D1679" i="2"/>
  <c r="C1679" i="2"/>
  <c r="B1679" i="2"/>
  <c r="D1678" i="2"/>
  <c r="C1678" i="2"/>
  <c r="B1678" i="2"/>
  <c r="D1677" i="2"/>
  <c r="C1677" i="2"/>
  <c r="B1677" i="2"/>
  <c r="D1676" i="2"/>
  <c r="C1676" i="2"/>
  <c r="B1676" i="2"/>
  <c r="D1675" i="2"/>
  <c r="C1675" i="2"/>
  <c r="B1675" i="2"/>
  <c r="D1674" i="2"/>
  <c r="C1674" i="2"/>
  <c r="B1674" i="2"/>
  <c r="D1673" i="2"/>
  <c r="C1673" i="2"/>
  <c r="B1673" i="2"/>
  <c r="D1672" i="2"/>
  <c r="C1672" i="2"/>
  <c r="B1672" i="2"/>
  <c r="D1671" i="2"/>
  <c r="C1671" i="2"/>
  <c r="B1671" i="2"/>
  <c r="D1670" i="2"/>
  <c r="C1670" i="2"/>
  <c r="B1670" i="2"/>
  <c r="D1669" i="2"/>
  <c r="C1669" i="2"/>
  <c r="B1669" i="2"/>
  <c r="D1668" i="2"/>
  <c r="C1668" i="2"/>
  <c r="B1668" i="2"/>
  <c r="D1667" i="2"/>
  <c r="C1667" i="2"/>
  <c r="B1667" i="2"/>
  <c r="D1666" i="2"/>
  <c r="C1666" i="2"/>
  <c r="B1666" i="2"/>
  <c r="D1665" i="2"/>
  <c r="C1665" i="2"/>
  <c r="B1665" i="2"/>
  <c r="D1664" i="2"/>
  <c r="C1664" i="2"/>
  <c r="B1664" i="2"/>
  <c r="D1663" i="2"/>
  <c r="C1663" i="2"/>
  <c r="B1663" i="2"/>
  <c r="D1662" i="2"/>
  <c r="C1662" i="2"/>
  <c r="B1662" i="2"/>
  <c r="D1661" i="2"/>
  <c r="C1661" i="2"/>
  <c r="B1661" i="2"/>
  <c r="D1660" i="2"/>
  <c r="C1660" i="2"/>
  <c r="B1660" i="2"/>
  <c r="D1659" i="2"/>
  <c r="C1659" i="2"/>
  <c r="B1659" i="2"/>
  <c r="D1658" i="2"/>
  <c r="C1658" i="2"/>
  <c r="B1658" i="2"/>
  <c r="D1657" i="2"/>
  <c r="C1657" i="2"/>
  <c r="B1657" i="2"/>
  <c r="D1656" i="2"/>
  <c r="C1656" i="2"/>
  <c r="B1656" i="2"/>
  <c r="D1655" i="2"/>
  <c r="C1655" i="2"/>
  <c r="B1655" i="2"/>
  <c r="D1654" i="2"/>
  <c r="C1654" i="2"/>
  <c r="B1654" i="2"/>
  <c r="D1653" i="2"/>
  <c r="C1653" i="2"/>
  <c r="B1653" i="2"/>
  <c r="D1652" i="2"/>
  <c r="C1652" i="2"/>
  <c r="B1652" i="2"/>
  <c r="D1651" i="2"/>
  <c r="C1651" i="2"/>
  <c r="B1651" i="2"/>
  <c r="D1650" i="2"/>
  <c r="C1650" i="2"/>
  <c r="B1650" i="2"/>
  <c r="D1649" i="2"/>
  <c r="C1649" i="2"/>
  <c r="B1649" i="2"/>
  <c r="D1648" i="2"/>
  <c r="C1648" i="2"/>
  <c r="B1648" i="2"/>
  <c r="D1647" i="2"/>
  <c r="C1647" i="2"/>
  <c r="B1647" i="2"/>
  <c r="D1646" i="2"/>
  <c r="C1646" i="2"/>
  <c r="B1646" i="2"/>
  <c r="D1645" i="2"/>
  <c r="C1645" i="2"/>
  <c r="B1645" i="2"/>
  <c r="D1644" i="2"/>
  <c r="C1644" i="2"/>
  <c r="B1644" i="2"/>
  <c r="D1643" i="2"/>
  <c r="C1643" i="2"/>
  <c r="B1643" i="2"/>
  <c r="D1642" i="2"/>
  <c r="C1642" i="2"/>
  <c r="B1642" i="2"/>
  <c r="D1641" i="2"/>
  <c r="C1641" i="2"/>
  <c r="B1641" i="2"/>
  <c r="D1640" i="2"/>
  <c r="C1640" i="2"/>
  <c r="B1640" i="2"/>
  <c r="D1639" i="2"/>
  <c r="C1639" i="2"/>
  <c r="B1639" i="2"/>
  <c r="D1638" i="2"/>
  <c r="C1638" i="2"/>
  <c r="B1638" i="2"/>
  <c r="D1637" i="2"/>
  <c r="C1637" i="2"/>
  <c r="B1637" i="2"/>
  <c r="D1636" i="2"/>
  <c r="C1636" i="2"/>
  <c r="B1636" i="2"/>
  <c r="D1635" i="2"/>
  <c r="C1635" i="2"/>
  <c r="B1635" i="2"/>
  <c r="D1634" i="2"/>
  <c r="C1634" i="2"/>
  <c r="B1634" i="2"/>
  <c r="D1633" i="2"/>
  <c r="C1633" i="2"/>
  <c r="B1633" i="2"/>
  <c r="D1632" i="2"/>
  <c r="C1632" i="2"/>
  <c r="B1632" i="2"/>
  <c r="D1631" i="2"/>
  <c r="C1631" i="2"/>
  <c r="B1631" i="2"/>
  <c r="D1630" i="2"/>
  <c r="C1630" i="2"/>
  <c r="B1630" i="2"/>
  <c r="D1629" i="2"/>
  <c r="C1629" i="2"/>
  <c r="B1629" i="2"/>
  <c r="D1628" i="2"/>
  <c r="C1628" i="2"/>
  <c r="B1628" i="2"/>
  <c r="D1627" i="2"/>
  <c r="C1627" i="2"/>
  <c r="B1627" i="2"/>
  <c r="D1626" i="2"/>
  <c r="C1626" i="2"/>
  <c r="B1626" i="2"/>
  <c r="D1625" i="2"/>
  <c r="C1625" i="2"/>
  <c r="B1625" i="2"/>
  <c r="D1624" i="2"/>
  <c r="C1624" i="2"/>
  <c r="B1624" i="2"/>
  <c r="D1623" i="2"/>
  <c r="C1623" i="2"/>
  <c r="B1623" i="2"/>
  <c r="D1622" i="2"/>
  <c r="C1622" i="2"/>
  <c r="B1622" i="2"/>
  <c r="D1621" i="2"/>
  <c r="C1621" i="2"/>
  <c r="B1621" i="2"/>
  <c r="D1620" i="2"/>
  <c r="C1620" i="2"/>
  <c r="B1620" i="2"/>
  <c r="D1619" i="2"/>
  <c r="C1619" i="2"/>
  <c r="B1619" i="2"/>
  <c r="D1618" i="2"/>
  <c r="C1618" i="2"/>
  <c r="B1618" i="2"/>
  <c r="D1617" i="2"/>
  <c r="C1617" i="2"/>
  <c r="B1617" i="2"/>
  <c r="D1616" i="2"/>
  <c r="C1616" i="2"/>
  <c r="B1616" i="2"/>
  <c r="D1615" i="2"/>
  <c r="C1615" i="2"/>
  <c r="B1615" i="2"/>
  <c r="D1614" i="2"/>
  <c r="C1614" i="2"/>
  <c r="B1614" i="2"/>
  <c r="D1613" i="2"/>
  <c r="C1613" i="2"/>
  <c r="B1613" i="2"/>
  <c r="D1612" i="2"/>
  <c r="C1612" i="2"/>
  <c r="B1612" i="2"/>
  <c r="D1611" i="2"/>
  <c r="C1611" i="2"/>
  <c r="B1611" i="2"/>
  <c r="D1610" i="2"/>
  <c r="C1610" i="2"/>
  <c r="B1610" i="2"/>
  <c r="D1609" i="2"/>
  <c r="C1609" i="2"/>
  <c r="B1609" i="2"/>
  <c r="D1608" i="2"/>
  <c r="C1608" i="2"/>
  <c r="B1608" i="2"/>
  <c r="D1607" i="2"/>
  <c r="C1607" i="2"/>
  <c r="B1607" i="2"/>
  <c r="D1606" i="2"/>
  <c r="C1606" i="2"/>
  <c r="B1606" i="2"/>
  <c r="D1605" i="2"/>
  <c r="C1605" i="2"/>
  <c r="B1605" i="2"/>
  <c r="D1604" i="2"/>
  <c r="C1604" i="2"/>
  <c r="B1604" i="2"/>
  <c r="D1603" i="2"/>
  <c r="C1603" i="2"/>
  <c r="B1603" i="2"/>
  <c r="D1602" i="2"/>
  <c r="C1602" i="2"/>
  <c r="B1602" i="2"/>
  <c r="D1601" i="2"/>
  <c r="C1601" i="2"/>
  <c r="B1601" i="2"/>
  <c r="D1600" i="2"/>
  <c r="C1600" i="2"/>
  <c r="B1600" i="2"/>
  <c r="D1599" i="2"/>
  <c r="C1599" i="2"/>
  <c r="B1599" i="2"/>
  <c r="D1598" i="2"/>
  <c r="C1598" i="2"/>
  <c r="B1598" i="2"/>
  <c r="D1597" i="2"/>
  <c r="C1597" i="2"/>
  <c r="B1597" i="2"/>
  <c r="D1596" i="2"/>
  <c r="C1596" i="2"/>
  <c r="B1596" i="2"/>
  <c r="D1595" i="2"/>
  <c r="C1595" i="2"/>
  <c r="B1595" i="2"/>
  <c r="D1594" i="2"/>
  <c r="C1594" i="2"/>
  <c r="B1594" i="2"/>
  <c r="D1593" i="2"/>
  <c r="C1593" i="2"/>
  <c r="B1593" i="2"/>
  <c r="D1592" i="2"/>
  <c r="C1592" i="2"/>
  <c r="B1592" i="2"/>
  <c r="D1591" i="2"/>
  <c r="C1591" i="2"/>
  <c r="B1591" i="2"/>
  <c r="D1590" i="2"/>
  <c r="C1590" i="2"/>
  <c r="B1590" i="2"/>
  <c r="D1589" i="2"/>
  <c r="C1589" i="2"/>
  <c r="B1589" i="2"/>
  <c r="D1588" i="2"/>
  <c r="C1588" i="2"/>
  <c r="B1588" i="2"/>
  <c r="D1587" i="2"/>
  <c r="C1587" i="2"/>
  <c r="B1587" i="2"/>
  <c r="D1586" i="2"/>
  <c r="C1586" i="2"/>
  <c r="B1586" i="2"/>
  <c r="D1585" i="2"/>
  <c r="C1585" i="2"/>
  <c r="B1585" i="2"/>
  <c r="D1584" i="2"/>
  <c r="C1584" i="2"/>
  <c r="B1584" i="2"/>
  <c r="D1583" i="2"/>
  <c r="C1583" i="2"/>
  <c r="B1583" i="2"/>
  <c r="D1582" i="2"/>
  <c r="C1582" i="2"/>
  <c r="B1582" i="2"/>
  <c r="D1581" i="2"/>
  <c r="C1581" i="2"/>
  <c r="B1581" i="2"/>
  <c r="D1580" i="2"/>
  <c r="C1580" i="2"/>
  <c r="B1580" i="2"/>
  <c r="D1579" i="2"/>
  <c r="C1579" i="2"/>
  <c r="B1579" i="2"/>
  <c r="D1578" i="2"/>
  <c r="C1578" i="2"/>
  <c r="B1578" i="2"/>
  <c r="D1577" i="2"/>
  <c r="C1577" i="2"/>
  <c r="B1577" i="2"/>
  <c r="D1576" i="2"/>
  <c r="C1576" i="2"/>
  <c r="B1576" i="2"/>
  <c r="D1575" i="2"/>
  <c r="C1575" i="2"/>
  <c r="B1575" i="2"/>
  <c r="D1574" i="2"/>
  <c r="C1574" i="2"/>
  <c r="B1574" i="2"/>
  <c r="D1573" i="2"/>
  <c r="C1573" i="2"/>
  <c r="B1573" i="2"/>
  <c r="D1572" i="2"/>
  <c r="C1572" i="2"/>
  <c r="B1572" i="2"/>
  <c r="D1571" i="2"/>
  <c r="C1571" i="2"/>
  <c r="B1571" i="2"/>
  <c r="D1570" i="2"/>
  <c r="C1570" i="2"/>
  <c r="B1570" i="2"/>
  <c r="D1569" i="2"/>
  <c r="C1569" i="2"/>
  <c r="B1569" i="2"/>
  <c r="D1568" i="2"/>
  <c r="C1568" i="2"/>
  <c r="B1568" i="2"/>
  <c r="D1567" i="2"/>
  <c r="C1567" i="2"/>
  <c r="B1567" i="2"/>
  <c r="D1566" i="2"/>
  <c r="C1566" i="2"/>
  <c r="B1566" i="2"/>
  <c r="D1565" i="2"/>
  <c r="C1565" i="2"/>
  <c r="B1565" i="2"/>
  <c r="D1564" i="2"/>
  <c r="C1564" i="2"/>
  <c r="B1564" i="2"/>
  <c r="D1563" i="2"/>
  <c r="C1563" i="2"/>
  <c r="B1563" i="2"/>
  <c r="D1562" i="2"/>
  <c r="C1562" i="2"/>
  <c r="B1562" i="2"/>
  <c r="D1561" i="2"/>
  <c r="C1561" i="2"/>
  <c r="B1561" i="2"/>
  <c r="D1560" i="2"/>
  <c r="C1560" i="2"/>
  <c r="B1560" i="2"/>
  <c r="D1559" i="2"/>
  <c r="C1559" i="2"/>
  <c r="B1559" i="2"/>
  <c r="D1558" i="2"/>
  <c r="C1558" i="2"/>
  <c r="B1558" i="2"/>
  <c r="D1557" i="2"/>
  <c r="C1557" i="2"/>
  <c r="B1557" i="2"/>
  <c r="D1556" i="2"/>
  <c r="C1556" i="2"/>
  <c r="B1556" i="2"/>
  <c r="D1555" i="2"/>
  <c r="C1555" i="2"/>
  <c r="B1555" i="2"/>
  <c r="D1554" i="2"/>
  <c r="C1554" i="2"/>
  <c r="B1554" i="2"/>
  <c r="D1553" i="2"/>
  <c r="C1553" i="2"/>
  <c r="B1553" i="2"/>
  <c r="D1552" i="2"/>
  <c r="C1552" i="2"/>
  <c r="B1552" i="2"/>
  <c r="D1551" i="2"/>
  <c r="C1551" i="2"/>
  <c r="B1551" i="2"/>
  <c r="D1550" i="2"/>
  <c r="C1550" i="2"/>
  <c r="B1550" i="2"/>
  <c r="D1549" i="2"/>
  <c r="C1549" i="2"/>
  <c r="B1549" i="2"/>
  <c r="D1548" i="2"/>
  <c r="C1548" i="2"/>
  <c r="B1548" i="2"/>
  <c r="D1547" i="2"/>
  <c r="C1547" i="2"/>
  <c r="B1547" i="2"/>
  <c r="D1546" i="2"/>
  <c r="C1546" i="2"/>
  <c r="B1546" i="2"/>
  <c r="D1545" i="2"/>
  <c r="C1545" i="2"/>
  <c r="B1545" i="2"/>
  <c r="D1544" i="2"/>
  <c r="C1544" i="2"/>
  <c r="B1544" i="2"/>
  <c r="D1543" i="2"/>
  <c r="C1543" i="2"/>
  <c r="B1543" i="2"/>
  <c r="D1542" i="2"/>
  <c r="C1542" i="2"/>
  <c r="B1542" i="2"/>
  <c r="D1541" i="2"/>
  <c r="C1541" i="2"/>
  <c r="B1541" i="2"/>
  <c r="D1540" i="2"/>
  <c r="C1540" i="2"/>
  <c r="B1540" i="2"/>
  <c r="D1539" i="2"/>
  <c r="C1539" i="2"/>
  <c r="B1539" i="2"/>
  <c r="D1538" i="2"/>
  <c r="C1538" i="2"/>
  <c r="B1538" i="2"/>
  <c r="D1537" i="2"/>
  <c r="C1537" i="2"/>
  <c r="B1537" i="2"/>
  <c r="D1536" i="2"/>
  <c r="C1536" i="2"/>
  <c r="B1536" i="2"/>
  <c r="D1535" i="2"/>
  <c r="C1535" i="2"/>
  <c r="B1535" i="2"/>
  <c r="D1534" i="2"/>
  <c r="C1534" i="2"/>
  <c r="B1534" i="2"/>
  <c r="D1533" i="2"/>
  <c r="C1533" i="2"/>
  <c r="B1533" i="2"/>
  <c r="D1532" i="2"/>
  <c r="C1532" i="2"/>
  <c r="B1532" i="2"/>
  <c r="D1531" i="2"/>
  <c r="C1531" i="2"/>
  <c r="B1531" i="2"/>
  <c r="D1530" i="2"/>
  <c r="C1530" i="2"/>
  <c r="B1530" i="2"/>
  <c r="D1529" i="2"/>
  <c r="C1529" i="2"/>
  <c r="B1529" i="2"/>
  <c r="D1528" i="2"/>
  <c r="C1528" i="2"/>
  <c r="B1528" i="2"/>
  <c r="D1527" i="2"/>
  <c r="C1527" i="2"/>
  <c r="B1527" i="2"/>
  <c r="D1526" i="2"/>
  <c r="C1526" i="2"/>
  <c r="B1526" i="2"/>
  <c r="D1525" i="2"/>
  <c r="C1525" i="2"/>
  <c r="B1525" i="2"/>
  <c r="D1524" i="2"/>
  <c r="C1524" i="2"/>
  <c r="B1524" i="2"/>
  <c r="D1523" i="2"/>
  <c r="C1523" i="2"/>
  <c r="B1523" i="2"/>
  <c r="D1522" i="2"/>
  <c r="C1522" i="2"/>
  <c r="B1522" i="2"/>
  <c r="D1521" i="2"/>
  <c r="C1521" i="2"/>
  <c r="B1521" i="2"/>
  <c r="D1520" i="2"/>
  <c r="C1520" i="2"/>
  <c r="B1520" i="2"/>
  <c r="D1519" i="2"/>
  <c r="C1519" i="2"/>
  <c r="B1519" i="2"/>
  <c r="D1518" i="2"/>
  <c r="C1518" i="2"/>
  <c r="B1518" i="2"/>
  <c r="D1517" i="2"/>
  <c r="C1517" i="2"/>
  <c r="B1517" i="2"/>
  <c r="D1516" i="2"/>
  <c r="C1516" i="2"/>
  <c r="B1516" i="2"/>
  <c r="D1515" i="2"/>
  <c r="C1515" i="2"/>
  <c r="B1515" i="2"/>
  <c r="D1514" i="2"/>
  <c r="C1514" i="2"/>
  <c r="B1514" i="2"/>
  <c r="D1513" i="2"/>
  <c r="C1513" i="2"/>
  <c r="B1513" i="2"/>
  <c r="D1512" i="2"/>
  <c r="C1512" i="2"/>
  <c r="B1512" i="2"/>
  <c r="D1511" i="2"/>
  <c r="C1511" i="2"/>
  <c r="B1511" i="2"/>
  <c r="D1510" i="2"/>
  <c r="C1510" i="2"/>
  <c r="B1510" i="2"/>
  <c r="D1509" i="2"/>
  <c r="C1509" i="2"/>
  <c r="B1509" i="2"/>
  <c r="D1508" i="2"/>
  <c r="C1508" i="2"/>
  <c r="B1508" i="2"/>
  <c r="D1507" i="2"/>
  <c r="C1507" i="2"/>
  <c r="B1507" i="2"/>
  <c r="D1506" i="2"/>
  <c r="C1506" i="2"/>
  <c r="B1506" i="2"/>
  <c r="D1505" i="2"/>
  <c r="C1505" i="2"/>
  <c r="B1505" i="2"/>
  <c r="D1504" i="2"/>
  <c r="C1504" i="2"/>
  <c r="B1504" i="2"/>
  <c r="D1503" i="2"/>
  <c r="C1503" i="2"/>
  <c r="B1503" i="2"/>
  <c r="D1502" i="2"/>
  <c r="C1502" i="2"/>
  <c r="B1502" i="2"/>
  <c r="D1501" i="2"/>
  <c r="C1501" i="2"/>
  <c r="B1501" i="2"/>
  <c r="D1500" i="2"/>
  <c r="C1500" i="2"/>
  <c r="B1500" i="2"/>
  <c r="D1499" i="2"/>
  <c r="C1499" i="2"/>
  <c r="B1499" i="2"/>
  <c r="D1498" i="2"/>
  <c r="C1498" i="2"/>
  <c r="B1498" i="2"/>
  <c r="D1497" i="2"/>
  <c r="C1497" i="2"/>
  <c r="B1497" i="2"/>
  <c r="D1496" i="2"/>
  <c r="C1496" i="2"/>
  <c r="B1496" i="2"/>
  <c r="D1495" i="2"/>
  <c r="C1495" i="2"/>
  <c r="B1495" i="2"/>
  <c r="D1494" i="2"/>
  <c r="C1494" i="2"/>
  <c r="B1494" i="2"/>
  <c r="D1493" i="2"/>
  <c r="C1493" i="2"/>
  <c r="B1493" i="2"/>
  <c r="D1492" i="2"/>
  <c r="C1492" i="2"/>
  <c r="B1492" i="2"/>
  <c r="D1491" i="2"/>
  <c r="C1491" i="2"/>
  <c r="B1491" i="2"/>
  <c r="D1490" i="2"/>
  <c r="C1490" i="2"/>
  <c r="B1490" i="2"/>
  <c r="D1489" i="2"/>
  <c r="C1489" i="2"/>
  <c r="B1489" i="2"/>
  <c r="D1488" i="2"/>
  <c r="C1488" i="2"/>
  <c r="B1488" i="2"/>
  <c r="D1487" i="2"/>
  <c r="C1487" i="2"/>
  <c r="B1487" i="2"/>
  <c r="D1486" i="2"/>
  <c r="C1486" i="2"/>
  <c r="B1486" i="2"/>
  <c r="D1485" i="2"/>
  <c r="C1485" i="2"/>
  <c r="B1485" i="2"/>
  <c r="D1484" i="2"/>
  <c r="C1484" i="2"/>
  <c r="B1484" i="2"/>
  <c r="D1483" i="2"/>
  <c r="C1483" i="2"/>
  <c r="B1483" i="2"/>
  <c r="D1482" i="2"/>
  <c r="C1482" i="2"/>
  <c r="B1482" i="2"/>
  <c r="D1481" i="2"/>
  <c r="C1481" i="2"/>
  <c r="B1481" i="2"/>
  <c r="D1480" i="2"/>
  <c r="C1480" i="2"/>
  <c r="B1480" i="2"/>
  <c r="D1479" i="2"/>
  <c r="C1479" i="2"/>
  <c r="B1479" i="2"/>
  <c r="D1478" i="2"/>
  <c r="C1478" i="2"/>
  <c r="B1478" i="2"/>
  <c r="D1477" i="2"/>
  <c r="C1477" i="2"/>
  <c r="B1477" i="2"/>
  <c r="D1476" i="2"/>
  <c r="C1476" i="2"/>
  <c r="B1476" i="2"/>
  <c r="D1475" i="2"/>
  <c r="C1475" i="2"/>
  <c r="B1475" i="2"/>
  <c r="D1474" i="2"/>
  <c r="C1474" i="2"/>
  <c r="B1474" i="2"/>
  <c r="D1473" i="2"/>
  <c r="C1473" i="2"/>
  <c r="B1473" i="2"/>
  <c r="D1472" i="2"/>
  <c r="C1472" i="2"/>
  <c r="B1472" i="2"/>
  <c r="D1471" i="2"/>
  <c r="C1471" i="2"/>
  <c r="B1471" i="2"/>
  <c r="D1470" i="2"/>
  <c r="C1470" i="2"/>
  <c r="B1470" i="2"/>
  <c r="D1469" i="2"/>
  <c r="C1469" i="2"/>
  <c r="B1469" i="2"/>
  <c r="D1468" i="2"/>
  <c r="C1468" i="2"/>
  <c r="B1468" i="2"/>
  <c r="D1467" i="2"/>
  <c r="C1467" i="2"/>
  <c r="B1467" i="2"/>
  <c r="D1466" i="2"/>
  <c r="C1466" i="2"/>
  <c r="B1466" i="2"/>
  <c r="D1465" i="2"/>
  <c r="C1465" i="2"/>
  <c r="B1465" i="2"/>
  <c r="D1464" i="2"/>
  <c r="C1464" i="2"/>
  <c r="B1464" i="2"/>
  <c r="D1463" i="2"/>
  <c r="C1463" i="2"/>
  <c r="B1463" i="2"/>
  <c r="D1462" i="2"/>
  <c r="C1462" i="2"/>
  <c r="B1462" i="2"/>
  <c r="D1461" i="2"/>
  <c r="C1461" i="2"/>
  <c r="B1461" i="2"/>
  <c r="D1460" i="2"/>
  <c r="C1460" i="2"/>
  <c r="B1460" i="2"/>
  <c r="D1459" i="2"/>
  <c r="C1459" i="2"/>
  <c r="B1459" i="2"/>
  <c r="D1458" i="2"/>
  <c r="C1458" i="2"/>
  <c r="B1458" i="2"/>
  <c r="D1457" i="2"/>
  <c r="C1457" i="2"/>
  <c r="B1457" i="2"/>
  <c r="D1456" i="2"/>
  <c r="C1456" i="2"/>
  <c r="B1456" i="2"/>
  <c r="D1455" i="2"/>
  <c r="C1455" i="2"/>
  <c r="B1455" i="2"/>
  <c r="D1454" i="2"/>
  <c r="C1454" i="2"/>
  <c r="B1454" i="2"/>
  <c r="D1453" i="2"/>
  <c r="C1453" i="2"/>
  <c r="B1453" i="2"/>
  <c r="D1452" i="2"/>
  <c r="C1452" i="2"/>
  <c r="B1452" i="2"/>
  <c r="D1451" i="2"/>
  <c r="C1451" i="2"/>
  <c r="B1451" i="2"/>
  <c r="D1450" i="2"/>
  <c r="C1450" i="2"/>
  <c r="B1450" i="2"/>
  <c r="D1449" i="2"/>
  <c r="C1449" i="2"/>
  <c r="B1449" i="2"/>
  <c r="D1448" i="2"/>
  <c r="C1448" i="2"/>
  <c r="B1448" i="2"/>
  <c r="D1447" i="2"/>
  <c r="C1447" i="2"/>
  <c r="B1447" i="2"/>
  <c r="D1446" i="2"/>
  <c r="C1446" i="2"/>
  <c r="B1446" i="2"/>
  <c r="D1445" i="2"/>
  <c r="C1445" i="2"/>
  <c r="B1445" i="2"/>
  <c r="D1444" i="2"/>
  <c r="C1444" i="2"/>
  <c r="B1444" i="2"/>
  <c r="D1443" i="2"/>
  <c r="C1443" i="2"/>
  <c r="B1443" i="2"/>
  <c r="D1442" i="2"/>
  <c r="C1442" i="2"/>
  <c r="B1442" i="2"/>
  <c r="D1441" i="2"/>
  <c r="C1441" i="2"/>
  <c r="B1441" i="2"/>
  <c r="D1440" i="2"/>
  <c r="C1440" i="2"/>
  <c r="B1440" i="2"/>
  <c r="D1439" i="2"/>
  <c r="C1439" i="2"/>
  <c r="B1439" i="2"/>
  <c r="D1438" i="2"/>
  <c r="C1438" i="2"/>
  <c r="B1438" i="2"/>
  <c r="D1437" i="2"/>
  <c r="C1437" i="2"/>
  <c r="B1437" i="2"/>
  <c r="D1436" i="2"/>
  <c r="C1436" i="2"/>
  <c r="B1436" i="2"/>
  <c r="D1435" i="2"/>
  <c r="C1435" i="2"/>
  <c r="B1435" i="2"/>
  <c r="D1434" i="2"/>
  <c r="C1434" i="2"/>
  <c r="B1434" i="2"/>
  <c r="D1433" i="2"/>
  <c r="C1433" i="2"/>
  <c r="B1433" i="2"/>
  <c r="D1432" i="2"/>
  <c r="C1432" i="2"/>
  <c r="B1432" i="2"/>
  <c r="D1431" i="2"/>
  <c r="C1431" i="2"/>
  <c r="B1431" i="2"/>
  <c r="D1430" i="2"/>
  <c r="C1430" i="2"/>
  <c r="B1430" i="2"/>
  <c r="D1429" i="2"/>
  <c r="C1429" i="2"/>
  <c r="B1429" i="2"/>
  <c r="D1428" i="2"/>
  <c r="C1428" i="2"/>
  <c r="B1428" i="2"/>
  <c r="D1427" i="2"/>
  <c r="C1427" i="2"/>
  <c r="B1427" i="2"/>
  <c r="D1426" i="2"/>
  <c r="C1426" i="2"/>
  <c r="B1426" i="2"/>
  <c r="D1425" i="2"/>
  <c r="C1425" i="2"/>
  <c r="B1425" i="2"/>
  <c r="D1424" i="2"/>
  <c r="C1424" i="2"/>
  <c r="B1424" i="2"/>
  <c r="D1423" i="2"/>
  <c r="C1423" i="2"/>
  <c r="B1423" i="2"/>
  <c r="D1422" i="2"/>
  <c r="C1422" i="2"/>
  <c r="B1422" i="2"/>
  <c r="D1421" i="2"/>
  <c r="C1421" i="2"/>
  <c r="B1421" i="2"/>
  <c r="D1420" i="2"/>
  <c r="C1420" i="2"/>
  <c r="B1420" i="2"/>
  <c r="D1419" i="2"/>
  <c r="C1419" i="2"/>
  <c r="B1419" i="2"/>
  <c r="D1418" i="2"/>
  <c r="C1418" i="2"/>
  <c r="B1418" i="2"/>
  <c r="D1417" i="2"/>
  <c r="C1417" i="2"/>
  <c r="B1417" i="2"/>
  <c r="D1416" i="2"/>
  <c r="C1416" i="2"/>
  <c r="B1416" i="2"/>
  <c r="D1415" i="2"/>
  <c r="C1415" i="2"/>
  <c r="B1415" i="2"/>
  <c r="D1414" i="2"/>
  <c r="C1414" i="2"/>
  <c r="B1414" i="2"/>
  <c r="D1413" i="2"/>
  <c r="C1413" i="2"/>
  <c r="B1413" i="2"/>
  <c r="D1412" i="2"/>
  <c r="C1412" i="2"/>
  <c r="B1412" i="2"/>
  <c r="D1411" i="2"/>
  <c r="C1411" i="2"/>
  <c r="B1411" i="2"/>
  <c r="D1410" i="2"/>
  <c r="C1410" i="2"/>
  <c r="B1410" i="2"/>
  <c r="D1409" i="2"/>
  <c r="C1409" i="2"/>
  <c r="B1409" i="2"/>
  <c r="D1408" i="2"/>
  <c r="C1408" i="2"/>
  <c r="B1408" i="2"/>
  <c r="D1407" i="2"/>
  <c r="C1407" i="2"/>
  <c r="B1407" i="2"/>
  <c r="D1406" i="2"/>
  <c r="C1406" i="2"/>
  <c r="B1406" i="2"/>
  <c r="D1405" i="2"/>
  <c r="C1405" i="2"/>
  <c r="B1405" i="2"/>
  <c r="D1404" i="2"/>
  <c r="C1404" i="2"/>
  <c r="B1404" i="2"/>
  <c r="D1403" i="2"/>
  <c r="C1403" i="2"/>
  <c r="B1403" i="2"/>
  <c r="D1402" i="2"/>
  <c r="C1402" i="2"/>
  <c r="B1402" i="2"/>
  <c r="D1401" i="2"/>
  <c r="C1401" i="2"/>
  <c r="B1401" i="2"/>
  <c r="D1400" i="2"/>
  <c r="C1400" i="2"/>
  <c r="B1400" i="2"/>
  <c r="D1399" i="2"/>
  <c r="C1399" i="2"/>
  <c r="B1399" i="2"/>
  <c r="D1398" i="2"/>
  <c r="C1398" i="2"/>
  <c r="B1398" i="2"/>
  <c r="D1397" i="2"/>
  <c r="C1397" i="2"/>
  <c r="B1397" i="2"/>
  <c r="D1396" i="2"/>
  <c r="C1396" i="2"/>
  <c r="B1396" i="2"/>
  <c r="D1395" i="2"/>
  <c r="C1395" i="2"/>
  <c r="B1395" i="2"/>
  <c r="D1394" i="2"/>
  <c r="C1394" i="2"/>
  <c r="B1394" i="2"/>
  <c r="D1393" i="2"/>
  <c r="C1393" i="2"/>
  <c r="B1393" i="2"/>
  <c r="D1392" i="2"/>
  <c r="C1392" i="2"/>
  <c r="B1392" i="2"/>
  <c r="D1391" i="2"/>
  <c r="C1391" i="2"/>
  <c r="B1391" i="2"/>
  <c r="D1390" i="2"/>
  <c r="C1390" i="2"/>
  <c r="B1390" i="2"/>
  <c r="D1389" i="2"/>
  <c r="C1389" i="2"/>
  <c r="B1389" i="2"/>
  <c r="D1388" i="2"/>
  <c r="C1388" i="2"/>
  <c r="B1388" i="2"/>
  <c r="D1387" i="2"/>
  <c r="C1387" i="2"/>
  <c r="B1387" i="2"/>
  <c r="D1386" i="2"/>
  <c r="C1386" i="2"/>
  <c r="B1386" i="2"/>
  <c r="D1385" i="2"/>
  <c r="C1385" i="2"/>
  <c r="B1385" i="2"/>
  <c r="D1384" i="2"/>
  <c r="C1384" i="2"/>
  <c r="B1384" i="2"/>
  <c r="D1383" i="2"/>
  <c r="C1383" i="2"/>
  <c r="B1383" i="2"/>
  <c r="D1382" i="2"/>
  <c r="C1382" i="2"/>
  <c r="B1382" i="2"/>
  <c r="D1381" i="2"/>
  <c r="C1381" i="2"/>
  <c r="B1381" i="2"/>
  <c r="D1380" i="2"/>
  <c r="C1380" i="2"/>
  <c r="B1380" i="2"/>
  <c r="D1379" i="2"/>
  <c r="C1379" i="2"/>
  <c r="B1379" i="2"/>
  <c r="D1378" i="2"/>
  <c r="C1378" i="2"/>
  <c r="B1378" i="2"/>
  <c r="D1377" i="2"/>
  <c r="C1377" i="2"/>
  <c r="B1377" i="2"/>
  <c r="D1376" i="2"/>
  <c r="C1376" i="2"/>
  <c r="B1376" i="2"/>
  <c r="D1375" i="2"/>
  <c r="C1375" i="2"/>
  <c r="B1375" i="2"/>
  <c r="D1374" i="2"/>
  <c r="C1374" i="2"/>
  <c r="B1374" i="2"/>
  <c r="D1373" i="2"/>
  <c r="C1373" i="2"/>
  <c r="B1373" i="2"/>
  <c r="D1372" i="2"/>
  <c r="C1372" i="2"/>
  <c r="B1372" i="2"/>
  <c r="D1371" i="2"/>
  <c r="C1371" i="2"/>
  <c r="B1371" i="2"/>
  <c r="D1370" i="2"/>
  <c r="C1370" i="2"/>
  <c r="B1370" i="2"/>
  <c r="D1369" i="2"/>
  <c r="C1369" i="2"/>
  <c r="B1369" i="2"/>
  <c r="D1368" i="2"/>
  <c r="C1368" i="2"/>
  <c r="B1368" i="2"/>
  <c r="D1367" i="2"/>
  <c r="C1367" i="2"/>
  <c r="B1367" i="2"/>
  <c r="D1366" i="2"/>
  <c r="C1366" i="2"/>
  <c r="B1366" i="2"/>
  <c r="D1365" i="2"/>
  <c r="C1365" i="2"/>
  <c r="B1365" i="2"/>
  <c r="D1364" i="2"/>
  <c r="C1364" i="2"/>
  <c r="B1364" i="2"/>
  <c r="D1363" i="2"/>
  <c r="C1363" i="2"/>
  <c r="B1363" i="2"/>
  <c r="D1362" i="2"/>
  <c r="C1362" i="2"/>
  <c r="B1362" i="2"/>
  <c r="D1361" i="2"/>
  <c r="C1361" i="2"/>
  <c r="B1361" i="2"/>
  <c r="D1360" i="2"/>
  <c r="C1360" i="2"/>
  <c r="B1360" i="2"/>
  <c r="D1359" i="2"/>
  <c r="C1359" i="2"/>
  <c r="B1359" i="2"/>
  <c r="D1358" i="2"/>
  <c r="C1358" i="2"/>
  <c r="B1358" i="2"/>
  <c r="D1357" i="2"/>
  <c r="C1357" i="2"/>
  <c r="B1357" i="2"/>
  <c r="D1356" i="2"/>
  <c r="C1356" i="2"/>
  <c r="B1356" i="2"/>
  <c r="D1355" i="2"/>
  <c r="C1355" i="2"/>
  <c r="B1355" i="2"/>
  <c r="D1354" i="2"/>
  <c r="C1354" i="2"/>
  <c r="B1354" i="2"/>
  <c r="D1353" i="2"/>
  <c r="C1353" i="2"/>
  <c r="B1353" i="2"/>
  <c r="D1352" i="2"/>
  <c r="C1352" i="2"/>
  <c r="B1352" i="2"/>
  <c r="D1351" i="2"/>
  <c r="C1351" i="2"/>
  <c r="B1351" i="2"/>
  <c r="D1350" i="2"/>
  <c r="C1350" i="2"/>
  <c r="B1350" i="2"/>
  <c r="D1349" i="2"/>
  <c r="C1349" i="2"/>
  <c r="B1349" i="2"/>
  <c r="D1348" i="2"/>
  <c r="C1348" i="2"/>
  <c r="B1348" i="2"/>
  <c r="D1347" i="2"/>
  <c r="C1347" i="2"/>
  <c r="B1347" i="2"/>
  <c r="D1346" i="2"/>
  <c r="C1346" i="2"/>
  <c r="B1346" i="2"/>
  <c r="D1345" i="2"/>
  <c r="C1345" i="2"/>
  <c r="B1345" i="2"/>
  <c r="D1344" i="2"/>
  <c r="C1344" i="2"/>
  <c r="B1344" i="2"/>
  <c r="D1343" i="2"/>
  <c r="C1343" i="2"/>
  <c r="B1343" i="2"/>
  <c r="D1342" i="2"/>
  <c r="C1342" i="2"/>
  <c r="B1342" i="2"/>
  <c r="D1341" i="2"/>
  <c r="C1341" i="2"/>
  <c r="B1341" i="2"/>
  <c r="D1340" i="2"/>
  <c r="C1340" i="2"/>
  <c r="B1340" i="2"/>
  <c r="D1339" i="2"/>
  <c r="C1339" i="2"/>
  <c r="B1339" i="2"/>
  <c r="D1338" i="2"/>
  <c r="C1338" i="2"/>
  <c r="B1338" i="2"/>
  <c r="D1337" i="2"/>
  <c r="C1337" i="2"/>
  <c r="B1337" i="2"/>
  <c r="D1336" i="2"/>
  <c r="C1336" i="2"/>
  <c r="B1336" i="2"/>
  <c r="D1335" i="2"/>
  <c r="C1335" i="2"/>
  <c r="B1335" i="2"/>
  <c r="D1334" i="2"/>
  <c r="C1334" i="2"/>
  <c r="B1334" i="2"/>
  <c r="D1333" i="2"/>
  <c r="C1333" i="2"/>
  <c r="B1333" i="2"/>
  <c r="D1332" i="2"/>
  <c r="C1332" i="2"/>
  <c r="B1332" i="2"/>
  <c r="D1331" i="2"/>
  <c r="C1331" i="2"/>
  <c r="B1331" i="2"/>
  <c r="D1330" i="2"/>
  <c r="C1330" i="2"/>
  <c r="B1330" i="2"/>
  <c r="D1329" i="2"/>
  <c r="C1329" i="2"/>
  <c r="B1329" i="2"/>
  <c r="D1328" i="2"/>
  <c r="C1328" i="2"/>
  <c r="B1328" i="2"/>
  <c r="D1327" i="2"/>
  <c r="C1327" i="2"/>
  <c r="B1327" i="2"/>
  <c r="D1326" i="2"/>
  <c r="C1326" i="2"/>
  <c r="B1326" i="2"/>
  <c r="D1325" i="2"/>
  <c r="C1325" i="2"/>
  <c r="B1325" i="2"/>
  <c r="D1324" i="2"/>
  <c r="C1324" i="2"/>
  <c r="B1324" i="2"/>
  <c r="D1323" i="2"/>
  <c r="C1323" i="2"/>
  <c r="B1323" i="2"/>
  <c r="D1322" i="2"/>
  <c r="C1322" i="2"/>
  <c r="B1322" i="2"/>
  <c r="D1321" i="2"/>
  <c r="C1321" i="2"/>
  <c r="B1321" i="2"/>
  <c r="D1320" i="2"/>
  <c r="C1320" i="2"/>
  <c r="B1320" i="2"/>
  <c r="D1319" i="2"/>
  <c r="C1319" i="2"/>
  <c r="B1319" i="2"/>
  <c r="D1318" i="2"/>
  <c r="C1318" i="2"/>
  <c r="B1318" i="2"/>
  <c r="D1317" i="2"/>
  <c r="C1317" i="2"/>
  <c r="B1317" i="2"/>
  <c r="D1316" i="2"/>
  <c r="C1316" i="2"/>
  <c r="B1316" i="2"/>
  <c r="D1315" i="2"/>
  <c r="C1315" i="2"/>
  <c r="B1315" i="2"/>
  <c r="D1314" i="2"/>
  <c r="C1314" i="2"/>
  <c r="B1314" i="2"/>
  <c r="D1313" i="2"/>
  <c r="C1313" i="2"/>
  <c r="B1313" i="2"/>
  <c r="D1312" i="2"/>
  <c r="C1312" i="2"/>
  <c r="B1312" i="2"/>
  <c r="D1311" i="2"/>
  <c r="C1311" i="2"/>
  <c r="B1311" i="2"/>
  <c r="D1310" i="2"/>
  <c r="C1310" i="2"/>
  <c r="B1310" i="2"/>
  <c r="D1309" i="2"/>
  <c r="C1309" i="2"/>
  <c r="B1309" i="2"/>
  <c r="D1308" i="2"/>
  <c r="C1308" i="2"/>
  <c r="B1308" i="2"/>
  <c r="D1307" i="2"/>
  <c r="C1307" i="2"/>
  <c r="B1307" i="2"/>
  <c r="D1306" i="2"/>
  <c r="C1306" i="2"/>
  <c r="B1306" i="2"/>
  <c r="D1305" i="2"/>
  <c r="C1305" i="2"/>
  <c r="B1305" i="2"/>
  <c r="D1304" i="2"/>
  <c r="C1304" i="2"/>
  <c r="B1304" i="2"/>
  <c r="D1303" i="2"/>
  <c r="C1303" i="2"/>
  <c r="B1303" i="2"/>
  <c r="D1302" i="2"/>
  <c r="C1302" i="2"/>
  <c r="B1302" i="2"/>
  <c r="D1301" i="2"/>
  <c r="C1301" i="2"/>
  <c r="B1301" i="2"/>
  <c r="D1300" i="2"/>
  <c r="C1300" i="2"/>
  <c r="B1300" i="2"/>
  <c r="D1299" i="2"/>
  <c r="C1299" i="2"/>
  <c r="B1299" i="2"/>
  <c r="D1298" i="2"/>
  <c r="C1298" i="2"/>
  <c r="B1298" i="2"/>
  <c r="D1297" i="2"/>
  <c r="C1297" i="2"/>
  <c r="B1297" i="2"/>
  <c r="D1296" i="2"/>
  <c r="C1296" i="2"/>
  <c r="B1296" i="2"/>
  <c r="D1295" i="2"/>
  <c r="C1295" i="2"/>
  <c r="B1295" i="2"/>
  <c r="D1294" i="2"/>
  <c r="C1294" i="2"/>
  <c r="B1294" i="2"/>
  <c r="D1293" i="2"/>
  <c r="C1293" i="2"/>
  <c r="B1293" i="2"/>
  <c r="D1292" i="2"/>
  <c r="C1292" i="2"/>
  <c r="B1292" i="2"/>
  <c r="D1291" i="2"/>
  <c r="C1291" i="2"/>
  <c r="B1291" i="2"/>
  <c r="D1290" i="2"/>
  <c r="C1290" i="2"/>
  <c r="B1290" i="2"/>
  <c r="D1289" i="2"/>
  <c r="C1289" i="2"/>
  <c r="B1289" i="2"/>
  <c r="D1288" i="2"/>
  <c r="C1288" i="2"/>
  <c r="B1288" i="2"/>
  <c r="D1287" i="2"/>
  <c r="C1287" i="2"/>
  <c r="B1287" i="2"/>
  <c r="D1286" i="2"/>
  <c r="C1286" i="2"/>
  <c r="B1286" i="2"/>
  <c r="D1285" i="2"/>
  <c r="C1285" i="2"/>
  <c r="B1285" i="2"/>
  <c r="D1284" i="2"/>
  <c r="C1284" i="2"/>
  <c r="B1284" i="2"/>
  <c r="D1283" i="2"/>
  <c r="C1283" i="2"/>
  <c r="B1283" i="2"/>
  <c r="D1282" i="2"/>
  <c r="C1282" i="2"/>
  <c r="B1282" i="2"/>
  <c r="D1281" i="2"/>
  <c r="C1281" i="2"/>
  <c r="B1281" i="2"/>
  <c r="D1280" i="2"/>
  <c r="C1280" i="2"/>
  <c r="B1280" i="2"/>
  <c r="D1279" i="2"/>
  <c r="C1279" i="2"/>
  <c r="B1279" i="2"/>
  <c r="D1278" i="2"/>
  <c r="C1278" i="2"/>
  <c r="B1278" i="2"/>
  <c r="D1277" i="2"/>
  <c r="C1277" i="2"/>
  <c r="B1277" i="2"/>
  <c r="D1276" i="2"/>
  <c r="C1276" i="2"/>
  <c r="B1276" i="2"/>
  <c r="D1275" i="2"/>
  <c r="C1275" i="2"/>
  <c r="B1275" i="2"/>
  <c r="D1274" i="2"/>
  <c r="C1274" i="2"/>
  <c r="B1274" i="2"/>
  <c r="D1273" i="2"/>
  <c r="C1273" i="2"/>
  <c r="B1273" i="2"/>
  <c r="D1272" i="2"/>
  <c r="C1272" i="2"/>
  <c r="B1272" i="2"/>
  <c r="D1271" i="2"/>
  <c r="C1271" i="2"/>
  <c r="B1271" i="2"/>
  <c r="D1270" i="2"/>
  <c r="C1270" i="2"/>
  <c r="B1270" i="2"/>
  <c r="D1269" i="2"/>
  <c r="C1269" i="2"/>
  <c r="B1269" i="2"/>
  <c r="D1268" i="2"/>
  <c r="C1268" i="2"/>
  <c r="B1268" i="2"/>
  <c r="D1267" i="2"/>
  <c r="C1267" i="2"/>
  <c r="B1267" i="2"/>
  <c r="D1266" i="2"/>
  <c r="C1266" i="2"/>
  <c r="B1266" i="2"/>
  <c r="D1265" i="2"/>
  <c r="C1265" i="2"/>
  <c r="B1265" i="2"/>
  <c r="D1264" i="2"/>
  <c r="C1264" i="2"/>
  <c r="B1264" i="2"/>
  <c r="D1263" i="2"/>
  <c r="C1263" i="2"/>
  <c r="B1263" i="2"/>
  <c r="D1262" i="2"/>
  <c r="C1262" i="2"/>
  <c r="B1262" i="2"/>
  <c r="D1261" i="2"/>
  <c r="C1261" i="2"/>
  <c r="B1261" i="2"/>
  <c r="D1260" i="2"/>
  <c r="C1260" i="2"/>
  <c r="B1260" i="2"/>
  <c r="D1259" i="2"/>
  <c r="C1259" i="2"/>
  <c r="B1259" i="2"/>
  <c r="D1258" i="2"/>
  <c r="C1258" i="2"/>
  <c r="B1258" i="2"/>
  <c r="D1257" i="2"/>
  <c r="C1257" i="2"/>
  <c r="B1257" i="2"/>
  <c r="D1256" i="2"/>
  <c r="C1256" i="2"/>
  <c r="B1256" i="2"/>
  <c r="D1255" i="2"/>
  <c r="C1255" i="2"/>
  <c r="B1255" i="2"/>
  <c r="D1254" i="2"/>
  <c r="C1254" i="2"/>
  <c r="B1254" i="2"/>
  <c r="D1253" i="2"/>
  <c r="C1253" i="2"/>
  <c r="B1253" i="2"/>
  <c r="D1252" i="2"/>
  <c r="C1252" i="2"/>
  <c r="B1252" i="2"/>
  <c r="D1251" i="2"/>
  <c r="C1251" i="2"/>
  <c r="B1251" i="2"/>
  <c r="D1250" i="2"/>
  <c r="C1250" i="2"/>
  <c r="B1250" i="2"/>
  <c r="D1249" i="2"/>
  <c r="C1249" i="2"/>
  <c r="B1249" i="2"/>
  <c r="D1248" i="2"/>
  <c r="C1248" i="2"/>
  <c r="B1248" i="2"/>
  <c r="D1247" i="2"/>
  <c r="C1247" i="2"/>
  <c r="B1247" i="2"/>
  <c r="D1246" i="2"/>
  <c r="C1246" i="2"/>
  <c r="B1246" i="2"/>
  <c r="D1245" i="2"/>
  <c r="C1245" i="2"/>
  <c r="B1245" i="2"/>
  <c r="D1244" i="2"/>
  <c r="C1244" i="2"/>
  <c r="B1244" i="2"/>
  <c r="D1243" i="2"/>
  <c r="C1243" i="2"/>
  <c r="B1243" i="2"/>
  <c r="D1242" i="2"/>
  <c r="C1242" i="2"/>
  <c r="B1242" i="2"/>
  <c r="D1241" i="2"/>
  <c r="C1241" i="2"/>
  <c r="B1241" i="2"/>
  <c r="D1240" i="2"/>
  <c r="C1240" i="2"/>
  <c r="B1240" i="2"/>
  <c r="D1239" i="2"/>
  <c r="C1239" i="2"/>
  <c r="B1239" i="2"/>
  <c r="D1238" i="2"/>
  <c r="C1238" i="2"/>
  <c r="B1238" i="2"/>
  <c r="D1237" i="2"/>
  <c r="C1237" i="2"/>
  <c r="B1237" i="2"/>
  <c r="D1236" i="2"/>
  <c r="C1236" i="2"/>
  <c r="B1236" i="2"/>
  <c r="D1235" i="2"/>
  <c r="C1235" i="2"/>
  <c r="B1235" i="2"/>
  <c r="D1234" i="2"/>
  <c r="C1234" i="2"/>
  <c r="B1234" i="2"/>
  <c r="D1233" i="2"/>
  <c r="C1233" i="2"/>
  <c r="B1233" i="2"/>
  <c r="D1232" i="2"/>
  <c r="C1232" i="2"/>
  <c r="B1232" i="2"/>
  <c r="D1231" i="2"/>
  <c r="C1231" i="2"/>
  <c r="B1231" i="2"/>
  <c r="D1230" i="2"/>
  <c r="C1230" i="2"/>
  <c r="B1230" i="2"/>
  <c r="D1229" i="2"/>
  <c r="C1229" i="2"/>
  <c r="B1229" i="2"/>
  <c r="D1228" i="2"/>
  <c r="C1228" i="2"/>
  <c r="B1228" i="2"/>
  <c r="D1227" i="2"/>
  <c r="C1227" i="2"/>
  <c r="B1227" i="2"/>
  <c r="D1226" i="2"/>
  <c r="C1226" i="2"/>
  <c r="B1226" i="2"/>
  <c r="D1225" i="2"/>
  <c r="C1225" i="2"/>
  <c r="B1225" i="2"/>
  <c r="D1224" i="2"/>
  <c r="C1224" i="2"/>
  <c r="B1224" i="2"/>
  <c r="D1223" i="2"/>
  <c r="C1223" i="2"/>
  <c r="B1223" i="2"/>
  <c r="D1222" i="2"/>
  <c r="C1222" i="2"/>
  <c r="B1222" i="2"/>
  <c r="D1221" i="2"/>
  <c r="C1221" i="2"/>
  <c r="B1221" i="2"/>
  <c r="D1220" i="2"/>
  <c r="C1220" i="2"/>
  <c r="B1220" i="2"/>
  <c r="D1219" i="2"/>
  <c r="C1219" i="2"/>
  <c r="B1219" i="2"/>
  <c r="D1218" i="2"/>
  <c r="C1218" i="2"/>
  <c r="B1218" i="2"/>
  <c r="D1217" i="2"/>
  <c r="C1217" i="2"/>
  <c r="B1217" i="2"/>
  <c r="D1216" i="2"/>
  <c r="C1216" i="2"/>
  <c r="B1216" i="2"/>
  <c r="D1215" i="2"/>
  <c r="C1215" i="2"/>
  <c r="B1215" i="2"/>
  <c r="D1214" i="2"/>
  <c r="C1214" i="2"/>
  <c r="B1214" i="2"/>
  <c r="D1213" i="2"/>
  <c r="C1213" i="2"/>
  <c r="B1213" i="2"/>
  <c r="D1212" i="2"/>
  <c r="C1212" i="2"/>
  <c r="B1212" i="2"/>
  <c r="D1211" i="2"/>
  <c r="C1211" i="2"/>
  <c r="B1211" i="2"/>
  <c r="D1210" i="2"/>
  <c r="C1210" i="2"/>
  <c r="B1210" i="2"/>
  <c r="D1209" i="2"/>
  <c r="C1209" i="2"/>
  <c r="B1209" i="2"/>
  <c r="D1208" i="2"/>
  <c r="C1208" i="2"/>
  <c r="B1208" i="2"/>
  <c r="D1207" i="2"/>
  <c r="C1207" i="2"/>
  <c r="B1207" i="2"/>
  <c r="D1206" i="2"/>
  <c r="C1206" i="2"/>
  <c r="B1206" i="2"/>
  <c r="D1205" i="2"/>
  <c r="C1205" i="2"/>
  <c r="B1205" i="2"/>
  <c r="D1204" i="2"/>
  <c r="C1204" i="2"/>
  <c r="B1204" i="2"/>
  <c r="D1203" i="2"/>
  <c r="C1203" i="2"/>
  <c r="B1203" i="2"/>
  <c r="D1202" i="2"/>
  <c r="C1202" i="2"/>
  <c r="B1202" i="2"/>
  <c r="D1201" i="2"/>
  <c r="C1201" i="2"/>
  <c r="B1201" i="2"/>
  <c r="D1200" i="2"/>
  <c r="C1200" i="2"/>
  <c r="B1200" i="2"/>
  <c r="D1199" i="2"/>
  <c r="C1199" i="2"/>
  <c r="B1199" i="2"/>
  <c r="D1198" i="2"/>
  <c r="C1198" i="2"/>
  <c r="B1198" i="2"/>
  <c r="D1197" i="2"/>
  <c r="C1197" i="2"/>
  <c r="B1197" i="2"/>
  <c r="D1196" i="2"/>
  <c r="C1196" i="2"/>
  <c r="B1196" i="2"/>
  <c r="D1195" i="2"/>
  <c r="C1195" i="2"/>
  <c r="B1195" i="2"/>
  <c r="D1194" i="2"/>
  <c r="C1194" i="2"/>
  <c r="B1194" i="2"/>
  <c r="D1193" i="2"/>
  <c r="C1193" i="2"/>
  <c r="B1193" i="2"/>
  <c r="D1192" i="2"/>
  <c r="C1192" i="2"/>
  <c r="B1192" i="2"/>
  <c r="D1191" i="2"/>
  <c r="C1191" i="2"/>
  <c r="B1191" i="2"/>
  <c r="D1190" i="2"/>
  <c r="C1190" i="2"/>
  <c r="B1190" i="2"/>
  <c r="D1189" i="2"/>
  <c r="C1189" i="2"/>
  <c r="B1189" i="2"/>
  <c r="D1188" i="2"/>
  <c r="C1188" i="2"/>
  <c r="B1188" i="2"/>
  <c r="D1187" i="2"/>
  <c r="C1187" i="2"/>
  <c r="B1187" i="2"/>
  <c r="D1186" i="2"/>
  <c r="C1186" i="2"/>
  <c r="B1186" i="2"/>
  <c r="D1185" i="2"/>
  <c r="C1185" i="2"/>
  <c r="B1185" i="2"/>
  <c r="D1184" i="2"/>
  <c r="C1184" i="2"/>
  <c r="B1184" i="2"/>
  <c r="D1183" i="2"/>
  <c r="C1183" i="2"/>
  <c r="B1183" i="2"/>
  <c r="D1182" i="2"/>
  <c r="C1182" i="2"/>
  <c r="B1182" i="2"/>
  <c r="D1181" i="2"/>
  <c r="C1181" i="2"/>
  <c r="B1181" i="2"/>
  <c r="D1180" i="2"/>
  <c r="C1180" i="2"/>
  <c r="B1180" i="2"/>
  <c r="D1179" i="2"/>
  <c r="C1179" i="2"/>
  <c r="B1179" i="2"/>
  <c r="D1178" i="2"/>
  <c r="C1178" i="2"/>
  <c r="B1178" i="2"/>
  <c r="D1177" i="2"/>
  <c r="C1177" i="2"/>
  <c r="B1177" i="2"/>
  <c r="D1176" i="2"/>
  <c r="C1176" i="2"/>
  <c r="B1176" i="2"/>
  <c r="D1175" i="2"/>
  <c r="C1175" i="2"/>
  <c r="B1175" i="2"/>
  <c r="D1174" i="2"/>
  <c r="C1174" i="2"/>
  <c r="B1174" i="2"/>
  <c r="D1173" i="2"/>
  <c r="C1173" i="2"/>
  <c r="B1173" i="2"/>
  <c r="D1172" i="2"/>
  <c r="C1172" i="2"/>
  <c r="B1172" i="2"/>
  <c r="D1171" i="2"/>
  <c r="C1171" i="2"/>
  <c r="B1171" i="2"/>
  <c r="D1170" i="2"/>
  <c r="C1170" i="2"/>
  <c r="B1170" i="2"/>
  <c r="D1169" i="2"/>
  <c r="C1169" i="2"/>
  <c r="B1169" i="2"/>
  <c r="D1168" i="2"/>
  <c r="C1168" i="2"/>
  <c r="B1168" i="2"/>
  <c r="D1167" i="2"/>
  <c r="C1167" i="2"/>
  <c r="B1167" i="2"/>
  <c r="D1166" i="2"/>
  <c r="C1166" i="2"/>
  <c r="B1166" i="2"/>
  <c r="D1165" i="2"/>
  <c r="C1165" i="2"/>
  <c r="B1165" i="2"/>
  <c r="D1164" i="2"/>
  <c r="C1164" i="2"/>
  <c r="B1164" i="2"/>
  <c r="D1163" i="2"/>
  <c r="C1163" i="2"/>
  <c r="B1163" i="2"/>
  <c r="D1162" i="2"/>
  <c r="C1162" i="2"/>
  <c r="B1162" i="2"/>
  <c r="D1161" i="2"/>
  <c r="C1161" i="2"/>
  <c r="B1161" i="2"/>
  <c r="D1160" i="2"/>
  <c r="C1160" i="2"/>
  <c r="B1160" i="2"/>
  <c r="D1159" i="2"/>
  <c r="C1159" i="2"/>
  <c r="B1159" i="2"/>
  <c r="D1158" i="2"/>
  <c r="C1158" i="2"/>
  <c r="B1158" i="2"/>
  <c r="D1157" i="2"/>
  <c r="C1157" i="2"/>
  <c r="B1157" i="2"/>
  <c r="D1156" i="2"/>
  <c r="C1156" i="2"/>
  <c r="B1156" i="2"/>
  <c r="D1155" i="2"/>
  <c r="C1155" i="2"/>
  <c r="B1155" i="2"/>
  <c r="D1154" i="2"/>
  <c r="C1154" i="2"/>
  <c r="B1154" i="2"/>
  <c r="D1153" i="2"/>
  <c r="C1153" i="2"/>
  <c r="B1153" i="2"/>
  <c r="D1152" i="2"/>
  <c r="C1152" i="2"/>
  <c r="B1152" i="2"/>
  <c r="D1151" i="2"/>
  <c r="C1151" i="2"/>
  <c r="B1151" i="2"/>
  <c r="D1150" i="2"/>
  <c r="C1150" i="2"/>
  <c r="B1150" i="2"/>
  <c r="D1149" i="2"/>
  <c r="C1149" i="2"/>
  <c r="B1149" i="2"/>
  <c r="D1148" i="2"/>
  <c r="C1148" i="2"/>
  <c r="B1148" i="2"/>
  <c r="D1147" i="2"/>
  <c r="C1147" i="2"/>
  <c r="B1147" i="2"/>
  <c r="D1146" i="2"/>
  <c r="C1146" i="2"/>
  <c r="B1146" i="2"/>
  <c r="D1145" i="2"/>
  <c r="C1145" i="2"/>
  <c r="B1145" i="2"/>
  <c r="D1144" i="2"/>
  <c r="C1144" i="2"/>
  <c r="B1144" i="2"/>
  <c r="D1143" i="2"/>
  <c r="C1143" i="2"/>
  <c r="B1143" i="2"/>
  <c r="D1142" i="2"/>
  <c r="C1142" i="2"/>
  <c r="B1142" i="2"/>
  <c r="D1141" i="2"/>
  <c r="C1141" i="2"/>
  <c r="B1141" i="2"/>
  <c r="D1140" i="2"/>
  <c r="C1140" i="2"/>
  <c r="B1140" i="2"/>
  <c r="D1139" i="2"/>
  <c r="C1139" i="2"/>
  <c r="B1139" i="2"/>
  <c r="D1138" i="2"/>
  <c r="C1138" i="2"/>
  <c r="B1138" i="2"/>
  <c r="D1137" i="2"/>
  <c r="C1137" i="2"/>
  <c r="B1137" i="2"/>
  <c r="D1136" i="2"/>
  <c r="C1136" i="2"/>
  <c r="B1136" i="2"/>
  <c r="D1135" i="2"/>
  <c r="C1135" i="2"/>
  <c r="B1135" i="2"/>
  <c r="D1134" i="2"/>
  <c r="C1134" i="2"/>
  <c r="B1134" i="2"/>
  <c r="D1133" i="2"/>
  <c r="C1133" i="2"/>
  <c r="B1133" i="2"/>
  <c r="D1132" i="2"/>
  <c r="C1132" i="2"/>
  <c r="B1132" i="2"/>
  <c r="D1131" i="2"/>
  <c r="C1131" i="2"/>
  <c r="B1131" i="2"/>
  <c r="D1130" i="2"/>
  <c r="C1130" i="2"/>
  <c r="B1130" i="2"/>
  <c r="D1129" i="2"/>
  <c r="C1129" i="2"/>
  <c r="B1129" i="2"/>
  <c r="D1128" i="2"/>
  <c r="C1128" i="2"/>
  <c r="B1128" i="2"/>
  <c r="D1127" i="2"/>
  <c r="C1127" i="2"/>
  <c r="B1127" i="2"/>
  <c r="D1126" i="2"/>
  <c r="C1126" i="2"/>
  <c r="B1126" i="2"/>
  <c r="D1125" i="2"/>
  <c r="C1125" i="2"/>
  <c r="B1125" i="2"/>
  <c r="D1124" i="2"/>
  <c r="C1124" i="2"/>
  <c r="B1124" i="2"/>
  <c r="D1123" i="2"/>
  <c r="C1123" i="2"/>
  <c r="B1123" i="2"/>
  <c r="D1122" i="2"/>
  <c r="C1122" i="2"/>
  <c r="B1122" i="2"/>
  <c r="D1121" i="2"/>
  <c r="C1121" i="2"/>
  <c r="B1121" i="2"/>
  <c r="D1120" i="2"/>
  <c r="C1120" i="2"/>
  <c r="B1120" i="2"/>
  <c r="D1119" i="2"/>
  <c r="C1119" i="2"/>
  <c r="B1119" i="2"/>
  <c r="D1118" i="2"/>
  <c r="C1118" i="2"/>
  <c r="B1118" i="2"/>
  <c r="D1117" i="2"/>
  <c r="C1117" i="2"/>
  <c r="B1117" i="2"/>
  <c r="D1116" i="2"/>
  <c r="C1116" i="2"/>
  <c r="B1116" i="2"/>
  <c r="D1115" i="2"/>
  <c r="C1115" i="2"/>
  <c r="B1115" i="2"/>
  <c r="D1114" i="2"/>
  <c r="C1114" i="2"/>
  <c r="B1114" i="2"/>
  <c r="D1113" i="2"/>
  <c r="C1113" i="2"/>
  <c r="B1113" i="2"/>
  <c r="D1112" i="2"/>
  <c r="C1112" i="2"/>
  <c r="B1112" i="2"/>
  <c r="D1111" i="2"/>
  <c r="C1111" i="2"/>
  <c r="B1111" i="2"/>
  <c r="D1110" i="2"/>
  <c r="C1110" i="2"/>
  <c r="B1110" i="2"/>
  <c r="D1109" i="2"/>
  <c r="C1109" i="2"/>
  <c r="B1109" i="2"/>
  <c r="D1108" i="2"/>
  <c r="C1108" i="2"/>
  <c r="B1108" i="2"/>
  <c r="D1107" i="2"/>
  <c r="C1107" i="2"/>
  <c r="B1107" i="2"/>
  <c r="D1106" i="2"/>
  <c r="C1106" i="2"/>
  <c r="B1106" i="2"/>
  <c r="D1105" i="2"/>
  <c r="C1105" i="2"/>
  <c r="B1105" i="2"/>
  <c r="D1104" i="2"/>
  <c r="C1104" i="2"/>
  <c r="B1104" i="2"/>
  <c r="D1103" i="2"/>
  <c r="C1103" i="2"/>
  <c r="B1103" i="2"/>
  <c r="D1102" i="2"/>
  <c r="C1102" i="2"/>
  <c r="B1102" i="2"/>
  <c r="D1101" i="2"/>
  <c r="C1101" i="2"/>
  <c r="B1101" i="2"/>
  <c r="D1100" i="2"/>
  <c r="C1100" i="2"/>
  <c r="B1100" i="2"/>
  <c r="D1099" i="2"/>
  <c r="C1099" i="2"/>
  <c r="B1099" i="2"/>
  <c r="D1098" i="2"/>
  <c r="C1098" i="2"/>
  <c r="B1098" i="2"/>
  <c r="D1097" i="2"/>
  <c r="C1097" i="2"/>
  <c r="B1097" i="2"/>
  <c r="D1096" i="2"/>
  <c r="C1096" i="2"/>
  <c r="B1096" i="2"/>
  <c r="D1095" i="2"/>
  <c r="C1095" i="2"/>
  <c r="B1095" i="2"/>
  <c r="D1094" i="2"/>
  <c r="C1094" i="2"/>
  <c r="B1094" i="2"/>
  <c r="D1093" i="2"/>
  <c r="C1093" i="2"/>
  <c r="B1093" i="2"/>
  <c r="D1092" i="2"/>
  <c r="C1092" i="2"/>
  <c r="B1092" i="2"/>
  <c r="D1091" i="2"/>
  <c r="C1091" i="2"/>
  <c r="B1091" i="2"/>
  <c r="D1090" i="2"/>
  <c r="C1090" i="2"/>
  <c r="B1090" i="2"/>
  <c r="D1089" i="2"/>
  <c r="C1089" i="2"/>
  <c r="B1089" i="2"/>
  <c r="D1088" i="2"/>
  <c r="C1088" i="2"/>
  <c r="B1088" i="2"/>
  <c r="D1087" i="2"/>
  <c r="C1087" i="2"/>
  <c r="B1087" i="2"/>
  <c r="D1086" i="2"/>
  <c r="C1086" i="2"/>
  <c r="B1086" i="2"/>
  <c r="D1085" i="2"/>
  <c r="C1085" i="2"/>
  <c r="B1085" i="2"/>
  <c r="D1084" i="2"/>
  <c r="C1084" i="2"/>
  <c r="B1084" i="2"/>
  <c r="D1083" i="2"/>
  <c r="C1083" i="2"/>
  <c r="B1083" i="2"/>
  <c r="D1082" i="2"/>
  <c r="C1082" i="2"/>
  <c r="B1082" i="2"/>
  <c r="D1081" i="2"/>
  <c r="C1081" i="2"/>
  <c r="B1081" i="2"/>
  <c r="D1080" i="2"/>
  <c r="C1080" i="2"/>
  <c r="B1080" i="2"/>
  <c r="D1079" i="2"/>
  <c r="C1079" i="2"/>
  <c r="B1079" i="2"/>
  <c r="D1078" i="2"/>
  <c r="C1078" i="2"/>
  <c r="B1078" i="2"/>
  <c r="D1077" i="2"/>
  <c r="C1077" i="2"/>
  <c r="B1077" i="2"/>
  <c r="D1076" i="2"/>
  <c r="C1076" i="2"/>
  <c r="B1076" i="2"/>
  <c r="D1075" i="2"/>
  <c r="C1075" i="2"/>
  <c r="B1075" i="2"/>
  <c r="D1074" i="2"/>
  <c r="C1074" i="2"/>
  <c r="B1074" i="2"/>
  <c r="D1073" i="2"/>
  <c r="C1073" i="2"/>
  <c r="B1073" i="2"/>
  <c r="D1072" i="2"/>
  <c r="C1072" i="2"/>
  <c r="B1072" i="2"/>
  <c r="D1071" i="2"/>
  <c r="C1071" i="2"/>
  <c r="B1071" i="2"/>
  <c r="D1070" i="2"/>
  <c r="C1070" i="2"/>
  <c r="B1070" i="2"/>
  <c r="D1069" i="2"/>
  <c r="C1069" i="2"/>
  <c r="B1069" i="2"/>
  <c r="D1068" i="2"/>
  <c r="C1068" i="2"/>
  <c r="B1068" i="2"/>
  <c r="D1067" i="2"/>
  <c r="C1067" i="2"/>
  <c r="B1067" i="2"/>
  <c r="D1066" i="2"/>
  <c r="C1066" i="2"/>
  <c r="B1066" i="2"/>
  <c r="D1065" i="2"/>
  <c r="C1065" i="2"/>
  <c r="B1065" i="2"/>
  <c r="D1064" i="2"/>
  <c r="C1064" i="2"/>
  <c r="B1064" i="2"/>
  <c r="D1063" i="2"/>
  <c r="C1063" i="2"/>
  <c r="B1063" i="2"/>
  <c r="D1062" i="2"/>
  <c r="C1062" i="2"/>
  <c r="B1062" i="2"/>
  <c r="D1061" i="2"/>
  <c r="C1061" i="2"/>
  <c r="B1061" i="2"/>
  <c r="D1060" i="2"/>
  <c r="C1060" i="2"/>
  <c r="B1060" i="2"/>
  <c r="D1059" i="2"/>
  <c r="C1059" i="2"/>
  <c r="B1059" i="2"/>
  <c r="D1058" i="2"/>
  <c r="C1058" i="2"/>
  <c r="B1058" i="2"/>
  <c r="D1057" i="2"/>
  <c r="C1057" i="2"/>
  <c r="B1057" i="2"/>
  <c r="D1056" i="2"/>
  <c r="C1056" i="2"/>
  <c r="B1056" i="2"/>
  <c r="D1055" i="2"/>
  <c r="C1055" i="2"/>
  <c r="B1055" i="2"/>
  <c r="D1054" i="2"/>
  <c r="C1054" i="2"/>
  <c r="B1054" i="2"/>
  <c r="D1053" i="2"/>
  <c r="C1053" i="2"/>
  <c r="B1053" i="2"/>
  <c r="D1052" i="2"/>
  <c r="C1052" i="2"/>
  <c r="B1052" i="2"/>
  <c r="D1051" i="2"/>
  <c r="C1051" i="2"/>
  <c r="B1051" i="2"/>
  <c r="D1050" i="2"/>
  <c r="C1050" i="2"/>
  <c r="B1050" i="2"/>
  <c r="D1049" i="2"/>
  <c r="C1049" i="2"/>
  <c r="B1049" i="2"/>
  <c r="D1048" i="2"/>
  <c r="C1048" i="2"/>
  <c r="B1048" i="2"/>
  <c r="D1047" i="2"/>
  <c r="C1047" i="2"/>
  <c r="B1047" i="2"/>
  <c r="D1046" i="2"/>
  <c r="C1046" i="2"/>
  <c r="B1046" i="2"/>
  <c r="D1045" i="2"/>
  <c r="C1045" i="2"/>
  <c r="B1045" i="2"/>
  <c r="D1044" i="2"/>
  <c r="C1044" i="2"/>
  <c r="B1044" i="2"/>
  <c r="D1043" i="2"/>
  <c r="C1043" i="2"/>
  <c r="B1043" i="2"/>
  <c r="D1042" i="2"/>
  <c r="C1042" i="2"/>
  <c r="B1042" i="2"/>
  <c r="D1041" i="2"/>
  <c r="C1041" i="2"/>
  <c r="B1041" i="2"/>
  <c r="D1040" i="2"/>
  <c r="C1040" i="2"/>
  <c r="B1040" i="2"/>
  <c r="D1039" i="2"/>
  <c r="C1039" i="2"/>
  <c r="B1039" i="2"/>
  <c r="D1038" i="2"/>
  <c r="C1038" i="2"/>
  <c r="B1038" i="2"/>
  <c r="D1037" i="2"/>
  <c r="C1037" i="2"/>
  <c r="B1037" i="2"/>
  <c r="D1036" i="2"/>
  <c r="C1036" i="2"/>
  <c r="B1036" i="2"/>
  <c r="D1035" i="2"/>
  <c r="C1035" i="2"/>
  <c r="B1035" i="2"/>
  <c r="D1034" i="2"/>
  <c r="C1034" i="2"/>
  <c r="B1034" i="2"/>
  <c r="D1033" i="2"/>
  <c r="C1033" i="2"/>
  <c r="B1033" i="2"/>
  <c r="D1032" i="2"/>
  <c r="C1032" i="2"/>
  <c r="B1032" i="2"/>
  <c r="D1031" i="2"/>
  <c r="C1031" i="2"/>
  <c r="B1031" i="2"/>
  <c r="D1030" i="2"/>
  <c r="C1030" i="2"/>
  <c r="B1030" i="2"/>
  <c r="D1029" i="2"/>
  <c r="C1029" i="2"/>
  <c r="B1029" i="2"/>
  <c r="D1028" i="2"/>
  <c r="C1028" i="2"/>
  <c r="B1028" i="2"/>
  <c r="D1027" i="2"/>
  <c r="C1027" i="2"/>
  <c r="B1027" i="2"/>
  <c r="D1026" i="2"/>
  <c r="C1026" i="2"/>
  <c r="B1026" i="2"/>
  <c r="D1025" i="2"/>
  <c r="C1025" i="2"/>
  <c r="B1025" i="2"/>
  <c r="D1024" i="2"/>
  <c r="C1024" i="2"/>
  <c r="B1024" i="2"/>
  <c r="D1023" i="2"/>
  <c r="C1023" i="2"/>
  <c r="B1023" i="2"/>
  <c r="D1022" i="2"/>
  <c r="C1022" i="2"/>
  <c r="B1022" i="2"/>
  <c r="D1021" i="2"/>
  <c r="C1021" i="2"/>
  <c r="B1021" i="2"/>
  <c r="D1020" i="2"/>
  <c r="C1020" i="2"/>
  <c r="B1020" i="2"/>
  <c r="D1019" i="2"/>
  <c r="C1019" i="2"/>
  <c r="B1019" i="2"/>
  <c r="D1018" i="2"/>
  <c r="C1018" i="2"/>
  <c r="B1018" i="2"/>
  <c r="D1017" i="2"/>
  <c r="C1017" i="2"/>
  <c r="B1017" i="2"/>
  <c r="D1016" i="2"/>
  <c r="C1016" i="2"/>
  <c r="B1016" i="2"/>
  <c r="D1015" i="2"/>
  <c r="C1015" i="2"/>
  <c r="B1015" i="2"/>
  <c r="D1014" i="2"/>
  <c r="C1014" i="2"/>
  <c r="B1014" i="2"/>
  <c r="D1013" i="2"/>
  <c r="C1013" i="2"/>
  <c r="B1013" i="2"/>
  <c r="D1012" i="2"/>
  <c r="C1012" i="2"/>
  <c r="B1012" i="2"/>
  <c r="D1011" i="2"/>
  <c r="C1011" i="2"/>
  <c r="B1011" i="2"/>
  <c r="D1010" i="2"/>
  <c r="C1010" i="2"/>
  <c r="B1010" i="2"/>
  <c r="D1009" i="2"/>
  <c r="C1009" i="2"/>
  <c r="B1009" i="2"/>
  <c r="D1008" i="2"/>
  <c r="C1008" i="2"/>
  <c r="B1008" i="2"/>
  <c r="D1007" i="2"/>
  <c r="C1007" i="2"/>
  <c r="B1007" i="2"/>
  <c r="D1006" i="2"/>
  <c r="C1006" i="2"/>
  <c r="B1006" i="2"/>
  <c r="D1005" i="2"/>
  <c r="C1005" i="2"/>
  <c r="B1005" i="2"/>
  <c r="D1004" i="2"/>
  <c r="C1004" i="2"/>
  <c r="B1004" i="2"/>
  <c r="D1003" i="2"/>
  <c r="C1003" i="2"/>
  <c r="B1003" i="2"/>
  <c r="D1002" i="2"/>
  <c r="C1002" i="2"/>
  <c r="B1002" i="2"/>
  <c r="D1001" i="2"/>
  <c r="C1001" i="2"/>
  <c r="B1001" i="2"/>
  <c r="D1000" i="2"/>
  <c r="C1000" i="2"/>
  <c r="B1000" i="2"/>
  <c r="D999" i="2"/>
  <c r="C999" i="2"/>
  <c r="B999" i="2"/>
  <c r="D998" i="2"/>
  <c r="C998" i="2"/>
  <c r="B998" i="2"/>
  <c r="D997" i="2"/>
  <c r="C997" i="2"/>
  <c r="B997" i="2"/>
  <c r="D996" i="2"/>
  <c r="C996" i="2"/>
  <c r="B996" i="2"/>
  <c r="D995" i="2"/>
  <c r="C995" i="2"/>
  <c r="B995" i="2"/>
  <c r="D994" i="2"/>
  <c r="C994" i="2"/>
  <c r="B994" i="2"/>
  <c r="D993" i="2"/>
  <c r="C993" i="2"/>
  <c r="B993" i="2"/>
  <c r="D992" i="2"/>
  <c r="C992" i="2"/>
  <c r="B992" i="2"/>
  <c r="D991" i="2"/>
  <c r="C991" i="2"/>
  <c r="B991" i="2"/>
  <c r="D990" i="2"/>
  <c r="C990" i="2"/>
  <c r="B990" i="2"/>
  <c r="D989" i="2"/>
  <c r="C989" i="2"/>
  <c r="B989" i="2"/>
  <c r="D988" i="2"/>
  <c r="C988" i="2"/>
  <c r="B988" i="2"/>
  <c r="D987" i="2"/>
  <c r="C987" i="2"/>
  <c r="B987" i="2"/>
  <c r="D986" i="2"/>
  <c r="C986" i="2"/>
  <c r="B986" i="2"/>
  <c r="D985" i="2"/>
  <c r="C985" i="2"/>
  <c r="B985" i="2"/>
  <c r="D984" i="2"/>
  <c r="C984" i="2"/>
  <c r="B984" i="2"/>
  <c r="D983" i="2"/>
  <c r="C983" i="2"/>
  <c r="B983" i="2"/>
  <c r="D982" i="2"/>
  <c r="C982" i="2"/>
  <c r="B982" i="2"/>
  <c r="D981" i="2"/>
  <c r="C981" i="2"/>
  <c r="B981" i="2"/>
  <c r="D980" i="2"/>
  <c r="C980" i="2"/>
  <c r="B980" i="2"/>
  <c r="D979" i="2"/>
  <c r="C979" i="2"/>
  <c r="B979" i="2"/>
  <c r="D978" i="2"/>
  <c r="C978" i="2"/>
  <c r="B978" i="2"/>
  <c r="D977" i="2"/>
  <c r="C977" i="2"/>
  <c r="B977" i="2"/>
  <c r="D976" i="2"/>
  <c r="C976" i="2"/>
  <c r="B976" i="2"/>
  <c r="D975" i="2"/>
  <c r="C975" i="2"/>
  <c r="B975" i="2"/>
  <c r="D974" i="2"/>
  <c r="C974" i="2"/>
  <c r="B974" i="2"/>
  <c r="D973" i="2"/>
  <c r="C973" i="2"/>
  <c r="B973" i="2"/>
  <c r="D972" i="2"/>
  <c r="C972" i="2"/>
  <c r="B972" i="2"/>
  <c r="D971" i="2"/>
  <c r="C971" i="2"/>
  <c r="B971" i="2"/>
  <c r="D970" i="2"/>
  <c r="C970" i="2"/>
  <c r="B970" i="2"/>
  <c r="D969" i="2"/>
  <c r="C969" i="2"/>
  <c r="B969" i="2"/>
  <c r="D968" i="2"/>
  <c r="C968" i="2"/>
  <c r="B968" i="2"/>
  <c r="D967" i="2"/>
  <c r="C967" i="2"/>
  <c r="B967" i="2"/>
  <c r="D966" i="2"/>
  <c r="C966" i="2"/>
  <c r="B966" i="2"/>
  <c r="D965" i="2"/>
  <c r="C965" i="2"/>
  <c r="B965" i="2"/>
  <c r="D964" i="2"/>
  <c r="C964" i="2"/>
  <c r="B964" i="2"/>
  <c r="D963" i="2"/>
  <c r="C963" i="2"/>
  <c r="B963" i="2"/>
  <c r="D962" i="2"/>
  <c r="C962" i="2"/>
  <c r="B962" i="2"/>
  <c r="D961" i="2"/>
  <c r="C961" i="2"/>
  <c r="B961" i="2"/>
  <c r="D960" i="2"/>
  <c r="C960" i="2"/>
  <c r="B960" i="2"/>
  <c r="D959" i="2"/>
  <c r="C959" i="2"/>
  <c r="B959" i="2"/>
  <c r="D958" i="2"/>
  <c r="C958" i="2"/>
  <c r="B958" i="2"/>
  <c r="D957" i="2"/>
  <c r="C957" i="2"/>
  <c r="B957" i="2"/>
  <c r="D956" i="2"/>
  <c r="C956" i="2"/>
  <c r="B956" i="2"/>
  <c r="D955" i="2"/>
  <c r="C955" i="2"/>
  <c r="B955" i="2"/>
  <c r="D954" i="2"/>
  <c r="C954" i="2"/>
  <c r="B954" i="2"/>
  <c r="D953" i="2"/>
  <c r="C953" i="2"/>
  <c r="B953" i="2"/>
  <c r="D952" i="2"/>
  <c r="C952" i="2"/>
  <c r="B952" i="2"/>
  <c r="D951" i="2"/>
  <c r="C951" i="2"/>
  <c r="B951" i="2"/>
  <c r="D950" i="2"/>
  <c r="C950" i="2"/>
  <c r="B950" i="2"/>
  <c r="D949" i="2"/>
  <c r="C949" i="2"/>
  <c r="B949" i="2"/>
  <c r="D948" i="2"/>
  <c r="C948" i="2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B939" i="2"/>
  <c r="D938" i="2"/>
  <c r="C938" i="2"/>
  <c r="B938" i="2"/>
  <c r="D937" i="2"/>
  <c r="C937" i="2"/>
  <c r="B937" i="2"/>
  <c r="D936" i="2"/>
  <c r="C936" i="2"/>
  <c r="B936" i="2"/>
  <c r="D935" i="2"/>
  <c r="C935" i="2"/>
  <c r="B935" i="2"/>
  <c r="D934" i="2"/>
  <c r="C934" i="2"/>
  <c r="B934" i="2"/>
  <c r="D933" i="2"/>
  <c r="C933" i="2"/>
  <c r="B933" i="2"/>
  <c r="D932" i="2"/>
  <c r="C932" i="2"/>
  <c r="B932" i="2"/>
  <c r="D931" i="2"/>
  <c r="C931" i="2"/>
  <c r="B931" i="2"/>
  <c r="D930" i="2"/>
  <c r="C930" i="2"/>
  <c r="B930" i="2"/>
  <c r="D929" i="2"/>
  <c r="C929" i="2"/>
  <c r="B929" i="2"/>
  <c r="D928" i="2"/>
  <c r="C928" i="2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B922" i="2"/>
  <c r="D921" i="2"/>
  <c r="C921" i="2"/>
  <c r="B921" i="2"/>
  <c r="D920" i="2"/>
  <c r="C920" i="2"/>
  <c r="B920" i="2"/>
  <c r="D919" i="2"/>
  <c r="C919" i="2"/>
  <c r="B919" i="2"/>
  <c r="D918" i="2"/>
  <c r="C918" i="2"/>
  <c r="B918" i="2"/>
  <c r="D917" i="2"/>
  <c r="C917" i="2"/>
  <c r="B917" i="2"/>
  <c r="D916" i="2"/>
  <c r="C916" i="2"/>
  <c r="B916" i="2"/>
  <c r="D915" i="2"/>
  <c r="C915" i="2"/>
  <c r="B915" i="2"/>
  <c r="D914" i="2"/>
  <c r="C914" i="2"/>
  <c r="B914" i="2"/>
  <c r="D913" i="2"/>
  <c r="C913" i="2"/>
  <c r="B913" i="2"/>
  <c r="D912" i="2"/>
  <c r="C912" i="2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/>
  <c r="B904" i="2"/>
  <c r="D903" i="2"/>
  <c r="C903" i="2"/>
  <c r="B903" i="2"/>
  <c r="D902" i="2"/>
  <c r="C902" i="2"/>
  <c r="B902" i="2"/>
  <c r="D901" i="2"/>
  <c r="C901" i="2"/>
  <c r="B901" i="2"/>
  <c r="D900" i="2"/>
  <c r="C900" i="2"/>
  <c r="B900" i="2"/>
  <c r="D899" i="2"/>
  <c r="C899" i="2"/>
  <c r="B899" i="2"/>
  <c r="D898" i="2"/>
  <c r="C898" i="2"/>
  <c r="B898" i="2"/>
  <c r="D897" i="2"/>
  <c r="C897" i="2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B890" i="2"/>
  <c r="D889" i="2"/>
  <c r="C889" i="2"/>
  <c r="B889" i="2"/>
  <c r="D888" i="2"/>
  <c r="C888" i="2"/>
  <c r="B888" i="2"/>
  <c r="D887" i="2"/>
  <c r="C887" i="2"/>
  <c r="B887" i="2"/>
  <c r="D886" i="2"/>
  <c r="C886" i="2"/>
  <c r="B886" i="2"/>
  <c r="D885" i="2"/>
  <c r="C885" i="2"/>
  <c r="B885" i="2"/>
  <c r="D884" i="2"/>
  <c r="C884" i="2"/>
  <c r="B884" i="2"/>
  <c r="D883" i="2"/>
  <c r="C883" i="2"/>
  <c r="B883" i="2"/>
  <c r="D882" i="2"/>
  <c r="C882" i="2"/>
  <c r="B882" i="2"/>
  <c r="D881" i="2"/>
  <c r="C881" i="2"/>
  <c r="B881" i="2"/>
  <c r="D880" i="2"/>
  <c r="C880" i="2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B868" i="2"/>
  <c r="D867" i="2"/>
  <c r="C867" i="2"/>
  <c r="B867" i="2"/>
  <c r="D866" i="2"/>
  <c r="C866" i="2"/>
  <c r="B866" i="2"/>
  <c r="D865" i="2"/>
  <c r="C865" i="2"/>
  <c r="B865" i="2"/>
  <c r="D864" i="2"/>
  <c r="C864" i="2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B858" i="2"/>
  <c r="D857" i="2"/>
  <c r="C857" i="2"/>
  <c r="B857" i="2"/>
  <c r="D856" i="2"/>
  <c r="C856" i="2"/>
  <c r="B856" i="2"/>
  <c r="D855" i="2"/>
  <c r="C855" i="2"/>
  <c r="B855" i="2"/>
  <c r="D854" i="2"/>
  <c r="C854" i="2"/>
  <c r="B854" i="2"/>
  <c r="D853" i="2"/>
  <c r="C853" i="2"/>
  <c r="B853" i="2"/>
  <c r="D852" i="2"/>
  <c r="C852" i="2"/>
  <c r="B852" i="2"/>
  <c r="D851" i="2"/>
  <c r="C851" i="2"/>
  <c r="B851" i="2"/>
  <c r="D850" i="2"/>
  <c r="C850" i="2"/>
  <c r="B850" i="2"/>
  <c r="D849" i="2"/>
  <c r="C849" i="2"/>
  <c r="B849" i="2"/>
  <c r="D848" i="2"/>
  <c r="C848" i="2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B842" i="2"/>
  <c r="D841" i="2"/>
  <c r="C841" i="2"/>
  <c r="B841" i="2"/>
  <c r="D840" i="2"/>
  <c r="C840" i="2"/>
  <c r="B840" i="2"/>
  <c r="D839" i="2"/>
  <c r="C839" i="2"/>
  <c r="B839" i="2"/>
  <c r="D838" i="2"/>
  <c r="C838" i="2"/>
  <c r="B838" i="2"/>
  <c r="D837" i="2"/>
  <c r="C837" i="2"/>
  <c r="B837" i="2"/>
  <c r="D836" i="2"/>
  <c r="C836" i="2"/>
  <c r="B836" i="2"/>
  <c r="D835" i="2"/>
  <c r="C835" i="2"/>
  <c r="B835" i="2"/>
  <c r="D834" i="2"/>
  <c r="C834" i="2"/>
  <c r="B834" i="2"/>
  <c r="D833" i="2"/>
  <c r="C833" i="2"/>
  <c r="B833" i="2"/>
  <c r="D832" i="2"/>
  <c r="C832" i="2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B826" i="2"/>
  <c r="D825" i="2"/>
  <c r="C825" i="2"/>
  <c r="B825" i="2"/>
  <c r="D824" i="2"/>
  <c r="C824" i="2"/>
  <c r="B824" i="2"/>
  <c r="D823" i="2"/>
  <c r="C823" i="2"/>
  <c r="B823" i="2"/>
  <c r="D822" i="2"/>
  <c r="C822" i="2"/>
  <c r="B822" i="2"/>
  <c r="D821" i="2"/>
  <c r="C821" i="2"/>
  <c r="B821" i="2"/>
  <c r="D820" i="2"/>
  <c r="C820" i="2"/>
  <c r="B820" i="2"/>
  <c r="D819" i="2"/>
  <c r="C819" i="2"/>
  <c r="B819" i="2"/>
  <c r="D818" i="2"/>
  <c r="C818" i="2"/>
  <c r="B818" i="2"/>
  <c r="D817" i="2"/>
  <c r="C817" i="2"/>
  <c r="B817" i="2"/>
  <c r="D816" i="2"/>
  <c r="C816" i="2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B810" i="2"/>
  <c r="D809" i="2"/>
  <c r="C809" i="2"/>
  <c r="B809" i="2"/>
  <c r="D808" i="2"/>
  <c r="C808" i="2"/>
  <c r="B808" i="2"/>
  <c r="D807" i="2"/>
  <c r="C807" i="2"/>
  <c r="B807" i="2"/>
  <c r="D806" i="2"/>
  <c r="C806" i="2"/>
  <c r="B806" i="2"/>
  <c r="D805" i="2"/>
  <c r="C805" i="2"/>
  <c r="B805" i="2"/>
  <c r="D804" i="2"/>
  <c r="C804" i="2"/>
  <c r="B804" i="2"/>
  <c r="D803" i="2"/>
  <c r="C803" i="2"/>
  <c r="B803" i="2"/>
  <c r="D802" i="2"/>
  <c r="C802" i="2"/>
  <c r="B802" i="2"/>
  <c r="D801" i="2"/>
  <c r="C801" i="2"/>
  <c r="B801" i="2"/>
  <c r="D800" i="2"/>
  <c r="C800" i="2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B772" i="2"/>
  <c r="D771" i="2"/>
  <c r="C771" i="2"/>
  <c r="B771" i="2"/>
  <c r="D770" i="2"/>
  <c r="C770" i="2"/>
  <c r="B770" i="2"/>
  <c r="D769" i="2"/>
  <c r="C769" i="2"/>
  <c r="B769" i="2"/>
  <c r="D768" i="2"/>
  <c r="C768" i="2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B762" i="2"/>
  <c r="D761" i="2"/>
  <c r="C761" i="2"/>
  <c r="B761" i="2"/>
  <c r="D760" i="2"/>
  <c r="C760" i="2"/>
  <c r="B760" i="2"/>
  <c r="D759" i="2"/>
  <c r="C759" i="2"/>
  <c r="B759" i="2"/>
  <c r="D758" i="2"/>
  <c r="C758" i="2"/>
  <c r="B758" i="2"/>
  <c r="D757" i="2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<sst xmlns="http://schemas.openxmlformats.org/spreadsheetml/2006/main" count="4" uniqueCount="4">
  <si>
    <t>Date</t>
  </si>
  <si>
    <t>V2X</t>
  </si>
  <si>
    <t>VIX</t>
  </si>
  <si>
    <t>JALSHVOL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</si>
</sst>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84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6" bestFit="1" customWidth="1"/>
    <col min="2" max="2" width="26.5" customWidth="1"/>
    <col min="3" max="3" width="58.83203125" customWidth="1"/>
    <col min="4" max="4" width="55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45160</v>
      </c>
      <c r="B2">
        <f>18.903</f>
        <v>18.902999999999999</v>
      </c>
      <c r="C2">
        <f>16.85</f>
        <v>16.850000000000001</v>
      </c>
      <c r="D2">
        <f>31.67</f>
        <v>31.67</v>
      </c>
    </row>
    <row r="3" spans="1:4" x14ac:dyDescent="0.2">
      <c r="A3" s="1">
        <v>45159</v>
      </c>
      <c r="B3">
        <f>19.8367</f>
        <v>19.8367</v>
      </c>
      <c r="C3">
        <f>17.13</f>
        <v>17.13</v>
      </c>
      <c r="D3">
        <f>212.29</f>
        <v>212.29</v>
      </c>
    </row>
    <row r="4" spans="1:4" x14ac:dyDescent="0.2">
      <c r="A4" s="1">
        <v>45156</v>
      </c>
      <c r="B4">
        <f>20.2456</f>
        <v>20.2456</v>
      </c>
      <c r="C4">
        <f>17.3</f>
        <v>17.3</v>
      </c>
      <c r="D4">
        <f>230.01</f>
        <v>230.01</v>
      </c>
    </row>
    <row r="5" spans="1:4" x14ac:dyDescent="0.2">
      <c r="A5" s="1">
        <v>45155</v>
      </c>
      <c r="B5">
        <f>20.3539</f>
        <v>20.353899999999999</v>
      </c>
      <c r="C5">
        <f>17.89</f>
        <v>17.89</v>
      </c>
      <c r="D5">
        <f>259.71</f>
        <v>259.70999999999998</v>
      </c>
    </row>
    <row r="6" spans="1:4" x14ac:dyDescent="0.2">
      <c r="A6" s="1">
        <v>45154</v>
      </c>
      <c r="B6">
        <f>18.551</f>
        <v>18.550999999999998</v>
      </c>
      <c r="C6">
        <f>16.78</f>
        <v>16.78</v>
      </c>
      <c r="D6">
        <f>202.3</f>
        <v>202.3</v>
      </c>
    </row>
    <row r="7" spans="1:4" x14ac:dyDescent="0.2">
      <c r="A7" s="1">
        <v>45153</v>
      </c>
      <c r="B7">
        <f>18.8579</f>
        <v>18.857900000000001</v>
      </c>
      <c r="C7">
        <f>16.46</f>
        <v>16.46</v>
      </c>
      <c r="D7">
        <f>180.98</f>
        <v>180.98</v>
      </c>
    </row>
    <row r="8" spans="1:4" x14ac:dyDescent="0.2">
      <c r="A8" s="1">
        <v>45152</v>
      </c>
      <c r="B8">
        <f>18.0529</f>
        <v>18.052900000000001</v>
      </c>
      <c r="C8">
        <f>14.82</f>
        <v>14.82</v>
      </c>
      <c r="D8">
        <f>217.02</f>
        <v>217.02</v>
      </c>
    </row>
    <row r="9" spans="1:4" x14ac:dyDescent="0.2">
      <c r="A9" s="1">
        <v>45149</v>
      </c>
      <c r="B9">
        <f>18.3746</f>
        <v>18.374600000000001</v>
      </c>
      <c r="C9">
        <f>14.84</f>
        <v>14.84</v>
      </c>
      <c r="D9">
        <f>165.06</f>
        <v>165.06</v>
      </c>
    </row>
    <row r="10" spans="1:4" x14ac:dyDescent="0.2">
      <c r="A10" s="1">
        <v>45148</v>
      </c>
      <c r="B10">
        <f>18.0764</f>
        <v>18.0764</v>
      </c>
      <c r="C10">
        <f>15.85</f>
        <v>15.85</v>
      </c>
      <c r="D10">
        <f>233.07</f>
        <v>233.07</v>
      </c>
    </row>
    <row r="11" spans="1:4" x14ac:dyDescent="0.2">
      <c r="A11" s="1">
        <v>45147</v>
      </c>
      <c r="B11">
        <f>18.9796</f>
        <v>18.979600000000001</v>
      </c>
      <c r="C11">
        <f>15.96</f>
        <v>15.96</v>
      </c>
      <c r="D11" t="e">
        <f>NA()</f>
        <v>#N/A</v>
      </c>
    </row>
    <row r="12" spans="1:4" x14ac:dyDescent="0.2">
      <c r="A12" s="1">
        <v>45146</v>
      </c>
      <c r="B12">
        <f>19.5393</f>
        <v>19.539300000000001</v>
      </c>
      <c r="C12">
        <f>15.99</f>
        <v>15.99</v>
      </c>
      <c r="D12">
        <f>253.58</f>
        <v>253.58</v>
      </c>
    </row>
    <row r="13" spans="1:4" x14ac:dyDescent="0.2">
      <c r="A13" s="1">
        <v>45145</v>
      </c>
      <c r="B13">
        <f>18.6231</f>
        <v>18.623100000000001</v>
      </c>
      <c r="C13">
        <f>15.77</f>
        <v>15.77</v>
      </c>
      <c r="D13">
        <f>154.49</f>
        <v>154.49</v>
      </c>
    </row>
    <row r="14" spans="1:4" x14ac:dyDescent="0.2">
      <c r="A14" s="1">
        <v>45142</v>
      </c>
      <c r="B14">
        <f>18.3516</f>
        <v>18.351600000000001</v>
      </c>
      <c r="C14">
        <f>17.1</f>
        <v>17.100000000000001</v>
      </c>
      <c r="D14">
        <f>210.43</f>
        <v>210.43</v>
      </c>
    </row>
    <row r="15" spans="1:4" x14ac:dyDescent="0.2">
      <c r="A15" s="1">
        <v>45141</v>
      </c>
      <c r="B15">
        <f>19.6507</f>
        <v>19.650700000000001</v>
      </c>
      <c r="C15">
        <f>15.92</f>
        <v>15.92</v>
      </c>
      <c r="D15">
        <f>261.65</f>
        <v>261.64999999999998</v>
      </c>
    </row>
    <row r="16" spans="1:4" x14ac:dyDescent="0.2">
      <c r="A16" s="1">
        <v>45140</v>
      </c>
      <c r="B16">
        <f>19.7059</f>
        <v>19.7059</v>
      </c>
      <c r="C16">
        <f>16.09</f>
        <v>16.09</v>
      </c>
      <c r="D16">
        <f>289.38</f>
        <v>289.38</v>
      </c>
    </row>
    <row r="17" spans="1:4" x14ac:dyDescent="0.2">
      <c r="A17" s="1">
        <v>45139</v>
      </c>
      <c r="B17">
        <f>17.1897</f>
        <v>17.189699999999998</v>
      </c>
      <c r="C17">
        <f>13.93</f>
        <v>13.93</v>
      </c>
      <c r="D17">
        <f>251.32</f>
        <v>251.32</v>
      </c>
    </row>
    <row r="18" spans="1:4" x14ac:dyDescent="0.2">
      <c r="A18" s="1">
        <v>45138</v>
      </c>
      <c r="B18">
        <f>16.2264</f>
        <v>16.226400000000002</v>
      </c>
      <c r="C18">
        <f>13.63</f>
        <v>13.63</v>
      </c>
      <c r="D18">
        <f>231.58</f>
        <v>231.58</v>
      </c>
    </row>
    <row r="19" spans="1:4" x14ac:dyDescent="0.2">
      <c r="A19" s="1">
        <v>45135</v>
      </c>
      <c r="B19">
        <f>15.2189</f>
        <v>15.2189</v>
      </c>
      <c r="C19">
        <f>13.33</f>
        <v>13.33</v>
      </c>
      <c r="D19">
        <f>207.99</f>
        <v>207.99</v>
      </c>
    </row>
    <row r="20" spans="1:4" x14ac:dyDescent="0.2">
      <c r="A20" s="1">
        <v>45134</v>
      </c>
      <c r="B20">
        <f>14.9653</f>
        <v>14.965299999999999</v>
      </c>
      <c r="C20">
        <f>14.41</f>
        <v>14.41</v>
      </c>
      <c r="D20">
        <f>342.02</f>
        <v>342.02</v>
      </c>
    </row>
    <row r="21" spans="1:4" x14ac:dyDescent="0.2">
      <c r="A21" s="1">
        <v>45133</v>
      </c>
      <c r="B21">
        <f>16.0997</f>
        <v>16.099699999999999</v>
      </c>
      <c r="C21">
        <f>13.19</f>
        <v>13.19</v>
      </c>
      <c r="D21">
        <f>212.89</f>
        <v>212.89</v>
      </c>
    </row>
    <row r="22" spans="1:4" x14ac:dyDescent="0.2">
      <c r="A22" s="1">
        <v>45132</v>
      </c>
      <c r="B22">
        <f>15.4793</f>
        <v>15.4793</v>
      </c>
      <c r="C22">
        <f>13.86</f>
        <v>13.86</v>
      </c>
      <c r="D22">
        <f>198.73</f>
        <v>198.73</v>
      </c>
    </row>
    <row r="23" spans="1:4" x14ac:dyDescent="0.2">
      <c r="A23" s="1">
        <v>45131</v>
      </c>
      <c r="B23">
        <f>15.534</f>
        <v>15.534000000000001</v>
      </c>
      <c r="C23">
        <f>13.91</f>
        <v>13.91</v>
      </c>
      <c r="D23">
        <f>155.27</f>
        <v>155.27000000000001</v>
      </c>
    </row>
    <row r="24" spans="1:4" x14ac:dyDescent="0.2">
      <c r="A24" s="1">
        <v>45128</v>
      </c>
      <c r="B24">
        <f>14.9422</f>
        <v>14.9422</v>
      </c>
      <c r="C24">
        <f>13.6</f>
        <v>13.6</v>
      </c>
      <c r="D24">
        <f>169.91</f>
        <v>169.91</v>
      </c>
    </row>
    <row r="25" spans="1:4" x14ac:dyDescent="0.2">
      <c r="A25" s="1">
        <v>45127</v>
      </c>
      <c r="B25">
        <f>15.6917</f>
        <v>15.691700000000001</v>
      </c>
      <c r="C25">
        <f>13.99</f>
        <v>13.99</v>
      </c>
      <c r="D25">
        <f>228.93</f>
        <v>228.93</v>
      </c>
    </row>
    <row r="26" spans="1:4" x14ac:dyDescent="0.2">
      <c r="A26" s="1">
        <v>45126</v>
      </c>
      <c r="B26">
        <f>15.9653</f>
        <v>15.965299999999999</v>
      </c>
      <c r="C26">
        <f>13.76</f>
        <v>13.76</v>
      </c>
      <c r="D26">
        <f>179.84</f>
        <v>179.84</v>
      </c>
    </row>
    <row r="27" spans="1:4" x14ac:dyDescent="0.2">
      <c r="A27" s="1">
        <v>45125</v>
      </c>
      <c r="B27">
        <f>15.506</f>
        <v>15.506</v>
      </c>
      <c r="C27">
        <f>13.3</f>
        <v>13.3</v>
      </c>
      <c r="D27">
        <f>217.1</f>
        <v>217.1</v>
      </c>
    </row>
    <row r="28" spans="1:4" x14ac:dyDescent="0.2">
      <c r="A28" s="1">
        <v>45124</v>
      </c>
      <c r="B28">
        <f>15.8316</f>
        <v>15.8316</v>
      </c>
      <c r="C28">
        <f>13.48</f>
        <v>13.48</v>
      </c>
      <c r="D28">
        <f>224.41</f>
        <v>224.41</v>
      </c>
    </row>
    <row r="29" spans="1:4" x14ac:dyDescent="0.2">
      <c r="A29" s="1">
        <v>45121</v>
      </c>
      <c r="B29">
        <f>14.7973</f>
        <v>14.7973</v>
      </c>
      <c r="C29">
        <f>13.34</f>
        <v>13.34</v>
      </c>
      <c r="D29">
        <f>191.23</f>
        <v>191.23</v>
      </c>
    </row>
    <row r="30" spans="1:4" x14ac:dyDescent="0.2">
      <c r="A30" s="1">
        <v>45120</v>
      </c>
      <c r="B30">
        <f>15.0485</f>
        <v>15.048500000000001</v>
      </c>
      <c r="C30">
        <f>13.61</f>
        <v>13.61</v>
      </c>
      <c r="D30">
        <f>250</f>
        <v>250</v>
      </c>
    </row>
    <row r="31" spans="1:4" x14ac:dyDescent="0.2">
      <c r="A31" s="1">
        <v>45119</v>
      </c>
      <c r="B31">
        <f>15.1849</f>
        <v>15.184900000000001</v>
      </c>
      <c r="C31">
        <f>13.54</f>
        <v>13.54</v>
      </c>
      <c r="D31">
        <f>212.47</f>
        <v>212.47</v>
      </c>
    </row>
    <row r="32" spans="1:4" x14ac:dyDescent="0.2">
      <c r="A32" s="1">
        <v>45118</v>
      </c>
      <c r="B32">
        <f>16.5671</f>
        <v>16.5671</v>
      </c>
      <c r="C32">
        <f>14.84</f>
        <v>14.84</v>
      </c>
      <c r="D32">
        <f>172.14</f>
        <v>172.14</v>
      </c>
    </row>
    <row r="33" spans="1:4" x14ac:dyDescent="0.2">
      <c r="A33" s="1">
        <v>45117</v>
      </c>
      <c r="B33">
        <f>17.5041</f>
        <v>17.504100000000001</v>
      </c>
      <c r="C33">
        <f>15.07</f>
        <v>15.07</v>
      </c>
      <c r="D33">
        <f>146.6</f>
        <v>146.6</v>
      </c>
    </row>
    <row r="34" spans="1:4" x14ac:dyDescent="0.2">
      <c r="A34" s="1">
        <v>45114</v>
      </c>
      <c r="B34">
        <f>17.5374</f>
        <v>17.537400000000002</v>
      </c>
      <c r="C34">
        <f>14.83</f>
        <v>14.83</v>
      </c>
      <c r="D34">
        <f>160.48</f>
        <v>160.47999999999999</v>
      </c>
    </row>
    <row r="35" spans="1:4" x14ac:dyDescent="0.2">
      <c r="A35" s="1">
        <v>45113</v>
      </c>
      <c r="B35">
        <f>19.2277</f>
        <v>19.227699999999999</v>
      </c>
      <c r="C35">
        <f>15.44</f>
        <v>15.44</v>
      </c>
      <c r="D35">
        <f>193.93</f>
        <v>193.93</v>
      </c>
    </row>
    <row r="36" spans="1:4" x14ac:dyDescent="0.2">
      <c r="A36" s="1">
        <v>45112</v>
      </c>
      <c r="B36">
        <f>15.2945</f>
        <v>15.294499999999999</v>
      </c>
      <c r="C36">
        <f>14.18</f>
        <v>14.18</v>
      </c>
      <c r="D36">
        <f>155.85</f>
        <v>155.85</v>
      </c>
    </row>
    <row r="37" spans="1:4" x14ac:dyDescent="0.2">
      <c r="A37" s="1">
        <v>45111</v>
      </c>
      <c r="B37">
        <f>14.1015</f>
        <v>14.1015</v>
      </c>
      <c r="C37">
        <f>13.7</f>
        <v>13.7</v>
      </c>
      <c r="D37">
        <f>152.37</f>
        <v>152.37</v>
      </c>
    </row>
    <row r="38" spans="1:4" x14ac:dyDescent="0.2">
      <c r="A38" s="1">
        <v>45110</v>
      </c>
      <c r="B38">
        <f>13.6529</f>
        <v>13.652900000000001</v>
      </c>
      <c r="C38">
        <f>13.57</f>
        <v>13.57</v>
      </c>
      <c r="D38">
        <f>183.29</f>
        <v>183.29</v>
      </c>
    </row>
    <row r="39" spans="1:4" x14ac:dyDescent="0.2">
      <c r="A39" s="1">
        <v>45107</v>
      </c>
      <c r="B39">
        <f>13.6139</f>
        <v>13.613899999999999</v>
      </c>
      <c r="C39">
        <f>13.59</f>
        <v>13.59</v>
      </c>
      <c r="D39">
        <f>210.1</f>
        <v>210.1</v>
      </c>
    </row>
    <row r="40" spans="1:4" x14ac:dyDescent="0.2">
      <c r="A40" s="1">
        <v>45106</v>
      </c>
      <c r="B40">
        <f>14.252</f>
        <v>14.252000000000001</v>
      </c>
      <c r="C40">
        <f>13.54</f>
        <v>13.54</v>
      </c>
      <c r="D40">
        <f>181.7</f>
        <v>181.7</v>
      </c>
    </row>
    <row r="41" spans="1:4" x14ac:dyDescent="0.2">
      <c r="A41" s="1">
        <v>45105</v>
      </c>
      <c r="B41">
        <f>14.213</f>
        <v>14.212999999999999</v>
      </c>
      <c r="C41">
        <f>13.43</f>
        <v>13.43</v>
      </c>
      <c r="D41">
        <f>182.9</f>
        <v>182.9</v>
      </c>
    </row>
    <row r="42" spans="1:4" x14ac:dyDescent="0.2">
      <c r="A42" s="1">
        <v>45104</v>
      </c>
      <c r="B42">
        <f>15.2039</f>
        <v>15.203900000000001</v>
      </c>
      <c r="C42">
        <f>13.74</f>
        <v>13.74</v>
      </c>
      <c r="D42">
        <f>220.17</f>
        <v>220.17</v>
      </c>
    </row>
    <row r="43" spans="1:4" x14ac:dyDescent="0.2">
      <c r="A43" s="1">
        <v>45103</v>
      </c>
      <c r="B43">
        <f>15.8789</f>
        <v>15.8789</v>
      </c>
      <c r="C43">
        <f>14.25</f>
        <v>14.25</v>
      </c>
      <c r="D43">
        <f>190.15</f>
        <v>190.15</v>
      </c>
    </row>
    <row r="44" spans="1:4" x14ac:dyDescent="0.2">
      <c r="A44" s="1">
        <v>45100</v>
      </c>
      <c r="B44">
        <f>15.3519</f>
        <v>15.351900000000001</v>
      </c>
      <c r="C44">
        <f>13.44</f>
        <v>13.44</v>
      </c>
      <c r="D44">
        <f>221.11</f>
        <v>221.11</v>
      </c>
    </row>
    <row r="45" spans="1:4" x14ac:dyDescent="0.2">
      <c r="A45" s="1">
        <v>45099</v>
      </c>
      <c r="B45">
        <f>14.8578</f>
        <v>14.857799999999999</v>
      </c>
      <c r="C45">
        <f>12.91</f>
        <v>12.91</v>
      </c>
      <c r="D45">
        <f>197.65</f>
        <v>197.65</v>
      </c>
    </row>
    <row r="46" spans="1:4" x14ac:dyDescent="0.2">
      <c r="A46" s="1">
        <v>45098</v>
      </c>
      <c r="B46">
        <f>14.3982</f>
        <v>14.398199999999999</v>
      </c>
      <c r="C46">
        <f>13.2</f>
        <v>13.2</v>
      </c>
      <c r="D46">
        <f>259.03</f>
        <v>259.02999999999997</v>
      </c>
    </row>
    <row r="47" spans="1:4" x14ac:dyDescent="0.2">
      <c r="A47" s="1">
        <v>45097</v>
      </c>
      <c r="B47">
        <f>14.6542</f>
        <v>14.654199999999999</v>
      </c>
      <c r="C47">
        <f>13.88</f>
        <v>13.88</v>
      </c>
      <c r="D47">
        <f>266.52</f>
        <v>266.52</v>
      </c>
    </row>
    <row r="48" spans="1:4" x14ac:dyDescent="0.2">
      <c r="A48" s="1">
        <v>45096</v>
      </c>
      <c r="B48">
        <f>14.2158</f>
        <v>14.2158</v>
      </c>
      <c r="C48">
        <f>14.19</f>
        <v>14.19</v>
      </c>
      <c r="D48">
        <f>216.88</f>
        <v>216.88</v>
      </c>
    </row>
    <row r="49" spans="1:4" x14ac:dyDescent="0.2">
      <c r="A49" s="1">
        <v>45093</v>
      </c>
      <c r="B49">
        <f>13.0737</f>
        <v>13.073700000000001</v>
      </c>
      <c r="C49">
        <f>13.54</f>
        <v>13.54</v>
      </c>
      <c r="D49" t="e">
        <f>NA()</f>
        <v>#N/A</v>
      </c>
    </row>
    <row r="50" spans="1:4" x14ac:dyDescent="0.2">
      <c r="A50" s="1">
        <v>45092</v>
      </c>
      <c r="B50">
        <f>13.7205</f>
        <v>13.720499999999999</v>
      </c>
      <c r="C50">
        <f>14.5</f>
        <v>14.5</v>
      </c>
      <c r="D50">
        <f>793.97</f>
        <v>793.97</v>
      </c>
    </row>
    <row r="51" spans="1:4" x14ac:dyDescent="0.2">
      <c r="A51" s="1">
        <v>45091</v>
      </c>
      <c r="B51">
        <f>14.2258</f>
        <v>14.2258</v>
      </c>
      <c r="C51">
        <f>13.88</f>
        <v>13.88</v>
      </c>
      <c r="D51">
        <f>251.8</f>
        <v>251.8</v>
      </c>
    </row>
    <row r="52" spans="1:4" x14ac:dyDescent="0.2">
      <c r="A52" s="1">
        <v>45090</v>
      </c>
      <c r="B52">
        <f>14.7763</f>
        <v>14.776300000000001</v>
      </c>
      <c r="C52">
        <f>14.61</f>
        <v>14.61</v>
      </c>
      <c r="D52">
        <f>258.8</f>
        <v>258.8</v>
      </c>
    </row>
    <row r="53" spans="1:4" x14ac:dyDescent="0.2">
      <c r="A53" s="1">
        <v>45089</v>
      </c>
      <c r="B53">
        <f>15.1847</f>
        <v>15.184699999999999</v>
      </c>
      <c r="C53">
        <f>15.01</f>
        <v>15.01</v>
      </c>
      <c r="D53">
        <f>242.65</f>
        <v>242.65</v>
      </c>
    </row>
    <row r="54" spans="1:4" x14ac:dyDescent="0.2">
      <c r="A54" s="1">
        <v>45086</v>
      </c>
      <c r="B54">
        <f>14.9894</f>
        <v>14.9894</v>
      </c>
      <c r="C54">
        <f>13.83</f>
        <v>13.83</v>
      </c>
      <c r="D54">
        <f>304.38</f>
        <v>304.38</v>
      </c>
    </row>
    <row r="55" spans="1:4" x14ac:dyDescent="0.2">
      <c r="A55" s="1">
        <v>45085</v>
      </c>
      <c r="B55">
        <f>15.0986</f>
        <v>15.098599999999999</v>
      </c>
      <c r="C55">
        <f>13.65</f>
        <v>13.65</v>
      </c>
      <c r="D55">
        <f>274.87</f>
        <v>274.87</v>
      </c>
    </row>
    <row r="56" spans="1:4" x14ac:dyDescent="0.2">
      <c r="A56" s="1">
        <v>45084</v>
      </c>
      <c r="B56">
        <f>15.3277</f>
        <v>15.3277</v>
      </c>
      <c r="C56">
        <f>13.94</f>
        <v>13.94</v>
      </c>
      <c r="D56">
        <f>298.42</f>
        <v>298.42</v>
      </c>
    </row>
    <row r="57" spans="1:4" x14ac:dyDescent="0.2">
      <c r="A57" s="1">
        <v>45083</v>
      </c>
      <c r="B57">
        <f>15.3988</f>
        <v>15.3988</v>
      </c>
      <c r="C57">
        <f>13.96</f>
        <v>13.96</v>
      </c>
      <c r="D57">
        <f>285.21</f>
        <v>285.20999999999998</v>
      </c>
    </row>
    <row r="58" spans="1:4" x14ac:dyDescent="0.2">
      <c r="A58" s="1">
        <v>45082</v>
      </c>
      <c r="B58">
        <f>16.1174</f>
        <v>16.1174</v>
      </c>
      <c r="C58">
        <f>14.73</f>
        <v>14.73</v>
      </c>
      <c r="D58">
        <f>218.48</f>
        <v>218.48</v>
      </c>
    </row>
    <row r="59" spans="1:4" x14ac:dyDescent="0.2">
      <c r="A59" s="1">
        <v>45079</v>
      </c>
      <c r="B59">
        <f>16.0329</f>
        <v>16.032900000000001</v>
      </c>
      <c r="C59">
        <f>14.6</f>
        <v>14.6</v>
      </c>
      <c r="D59">
        <f>258.41</f>
        <v>258.41000000000003</v>
      </c>
    </row>
    <row r="60" spans="1:4" x14ac:dyDescent="0.2">
      <c r="A60" s="1">
        <v>45078</v>
      </c>
      <c r="B60">
        <f>17.5469</f>
        <v>17.546900000000001</v>
      </c>
      <c r="C60">
        <f>15.65</f>
        <v>15.65</v>
      </c>
      <c r="D60">
        <f>263.09</f>
        <v>263.08999999999997</v>
      </c>
    </row>
    <row r="61" spans="1:4" x14ac:dyDescent="0.2">
      <c r="A61" s="1">
        <v>45077</v>
      </c>
      <c r="B61">
        <f>19.9817</f>
        <v>19.9817</v>
      </c>
      <c r="C61">
        <f>17.94</f>
        <v>17.940000000000001</v>
      </c>
      <c r="D61">
        <f>693.92</f>
        <v>693.92</v>
      </c>
    </row>
    <row r="62" spans="1:4" x14ac:dyDescent="0.2">
      <c r="A62" s="1">
        <v>45076</v>
      </c>
      <c r="B62">
        <f>17.9576</f>
        <v>17.957599999999999</v>
      </c>
      <c r="C62">
        <f>17.46</f>
        <v>17.46</v>
      </c>
      <c r="D62">
        <f>291.9</f>
        <v>291.89999999999998</v>
      </c>
    </row>
    <row r="63" spans="1:4" x14ac:dyDescent="0.2">
      <c r="A63" s="1">
        <v>45075</v>
      </c>
      <c r="B63">
        <f>17.868</f>
        <v>17.867999999999999</v>
      </c>
      <c r="C63">
        <f>17.46</f>
        <v>17.46</v>
      </c>
      <c r="D63">
        <f>169.48</f>
        <v>169.48</v>
      </c>
    </row>
    <row r="64" spans="1:4" x14ac:dyDescent="0.2">
      <c r="A64" s="1">
        <v>45072</v>
      </c>
      <c r="B64">
        <f>17.5971</f>
        <v>17.597100000000001</v>
      </c>
      <c r="C64">
        <f>17.95</f>
        <v>17.95</v>
      </c>
      <c r="D64">
        <f>224.51</f>
        <v>224.51</v>
      </c>
    </row>
    <row r="65" spans="1:4" x14ac:dyDescent="0.2">
      <c r="A65" s="1">
        <v>45071</v>
      </c>
      <c r="B65">
        <f>19.8595</f>
        <v>19.859500000000001</v>
      </c>
      <c r="C65">
        <f>19.14</f>
        <v>19.14</v>
      </c>
      <c r="D65">
        <f>255.51</f>
        <v>255.51</v>
      </c>
    </row>
    <row r="66" spans="1:4" x14ac:dyDescent="0.2">
      <c r="A66" s="1">
        <v>45070</v>
      </c>
      <c r="B66">
        <f>20.93</f>
        <v>20.93</v>
      </c>
      <c r="C66">
        <f>20.03</f>
        <v>20.03</v>
      </c>
      <c r="D66">
        <f>226.98</f>
        <v>226.98</v>
      </c>
    </row>
    <row r="67" spans="1:4" x14ac:dyDescent="0.2">
      <c r="A67" s="1">
        <v>45069</v>
      </c>
      <c r="B67">
        <f>17.6691</f>
        <v>17.6691</v>
      </c>
      <c r="C67">
        <f>18.53</f>
        <v>18.53</v>
      </c>
      <c r="D67">
        <f>209.07</f>
        <v>209.07</v>
      </c>
    </row>
    <row r="68" spans="1:4" x14ac:dyDescent="0.2">
      <c r="A68" s="1">
        <v>45068</v>
      </c>
      <c r="B68">
        <f>16.3133</f>
        <v>16.313300000000002</v>
      </c>
      <c r="C68">
        <f>17.21</f>
        <v>17.21</v>
      </c>
      <c r="D68">
        <f>227.35</f>
        <v>227.35</v>
      </c>
    </row>
    <row r="69" spans="1:4" x14ac:dyDescent="0.2">
      <c r="A69" s="1">
        <v>45065</v>
      </c>
      <c r="B69">
        <f>15.715</f>
        <v>15.715</v>
      </c>
      <c r="C69">
        <f>16.81</f>
        <v>16.809999999999999</v>
      </c>
      <c r="D69">
        <f>246.52</f>
        <v>246.52</v>
      </c>
    </row>
    <row r="70" spans="1:4" x14ac:dyDescent="0.2">
      <c r="A70" s="1">
        <v>45064</v>
      </c>
      <c r="B70">
        <f>15.6599</f>
        <v>15.6599</v>
      </c>
      <c r="C70">
        <f>16.05</f>
        <v>16.05</v>
      </c>
      <c r="D70">
        <f>259.04</f>
        <v>259.04000000000002</v>
      </c>
    </row>
    <row r="71" spans="1:4" x14ac:dyDescent="0.2">
      <c r="A71" s="1">
        <v>45063</v>
      </c>
      <c r="B71">
        <f>16.9505</f>
        <v>16.950500000000002</v>
      </c>
      <c r="C71">
        <f>16.87</f>
        <v>16.87</v>
      </c>
      <c r="D71">
        <f>218.65</f>
        <v>218.65</v>
      </c>
    </row>
    <row r="72" spans="1:4" x14ac:dyDescent="0.2">
      <c r="A72" s="1">
        <v>45062</v>
      </c>
      <c r="B72">
        <f>16.8808</f>
        <v>16.880800000000001</v>
      </c>
      <c r="C72">
        <f>17.99</f>
        <v>17.989999999999998</v>
      </c>
      <c r="D72">
        <f>191.95</f>
        <v>191.95</v>
      </c>
    </row>
    <row r="73" spans="1:4" x14ac:dyDescent="0.2">
      <c r="A73" s="1">
        <v>45061</v>
      </c>
      <c r="B73">
        <f>17.1689</f>
        <v>17.168900000000001</v>
      </c>
      <c r="C73">
        <f>17.12</f>
        <v>17.12</v>
      </c>
      <c r="D73">
        <f>210.67</f>
        <v>210.67</v>
      </c>
    </row>
    <row r="74" spans="1:4" x14ac:dyDescent="0.2">
      <c r="A74" s="1">
        <v>45058</v>
      </c>
      <c r="B74">
        <f>17.0094</f>
        <v>17.009399999999999</v>
      </c>
      <c r="C74">
        <f>17.03</f>
        <v>17.03</v>
      </c>
      <c r="D74">
        <f>306.04</f>
        <v>306.04000000000002</v>
      </c>
    </row>
    <row r="75" spans="1:4" x14ac:dyDescent="0.2">
      <c r="A75" s="1">
        <v>45057</v>
      </c>
      <c r="B75">
        <f>18.5578</f>
        <v>18.5578</v>
      </c>
      <c r="C75">
        <f>16.93</f>
        <v>16.93</v>
      </c>
      <c r="D75">
        <f>350.6</f>
        <v>350.6</v>
      </c>
    </row>
    <row r="76" spans="1:4" x14ac:dyDescent="0.2">
      <c r="A76" s="1">
        <v>45056</v>
      </c>
      <c r="B76">
        <f>18.6652</f>
        <v>18.665199999999999</v>
      </c>
      <c r="C76">
        <f>16.94</f>
        <v>16.940000000000001</v>
      </c>
      <c r="D76">
        <f>306.55</f>
        <v>306.55</v>
      </c>
    </row>
    <row r="77" spans="1:4" x14ac:dyDescent="0.2">
      <c r="A77" s="1">
        <v>45055</v>
      </c>
      <c r="B77">
        <f>18.9217</f>
        <v>18.921700000000001</v>
      </c>
      <c r="C77">
        <f>17.71</f>
        <v>17.71</v>
      </c>
      <c r="D77">
        <f>225.45</f>
        <v>225.45</v>
      </c>
    </row>
    <row r="78" spans="1:4" x14ac:dyDescent="0.2">
      <c r="A78" s="1">
        <v>45054</v>
      </c>
      <c r="B78">
        <f>18.0706</f>
        <v>18.070599999999999</v>
      </c>
      <c r="C78">
        <f>16.98</f>
        <v>16.98</v>
      </c>
      <c r="D78">
        <f>221.54</f>
        <v>221.54</v>
      </c>
    </row>
    <row r="79" spans="1:4" x14ac:dyDescent="0.2">
      <c r="A79" s="1">
        <v>45051</v>
      </c>
      <c r="B79">
        <f>18.2847</f>
        <v>18.284700000000001</v>
      </c>
      <c r="C79">
        <f>17.19</f>
        <v>17.190000000000001</v>
      </c>
      <c r="D79">
        <f>235.2</f>
        <v>235.2</v>
      </c>
    </row>
    <row r="80" spans="1:4" x14ac:dyDescent="0.2">
      <c r="A80" s="1">
        <v>45050</v>
      </c>
      <c r="B80">
        <f>20.8326</f>
        <v>20.832599999999999</v>
      </c>
      <c r="C80">
        <f>20.09</f>
        <v>20.09</v>
      </c>
      <c r="D80">
        <f>263.44</f>
        <v>263.44</v>
      </c>
    </row>
    <row r="81" spans="1:4" x14ac:dyDescent="0.2">
      <c r="A81" s="1">
        <v>45049</v>
      </c>
      <c r="B81">
        <f>19.9433</f>
        <v>19.943300000000001</v>
      </c>
      <c r="C81">
        <f>18.34</f>
        <v>18.34</v>
      </c>
      <c r="D81">
        <f>232.79</f>
        <v>232.79</v>
      </c>
    </row>
    <row r="82" spans="1:4" x14ac:dyDescent="0.2">
      <c r="A82" s="1">
        <v>45048</v>
      </c>
      <c r="B82">
        <f>20.5692</f>
        <v>20.569199999999999</v>
      </c>
      <c r="C82">
        <f>17.78</f>
        <v>17.78</v>
      </c>
      <c r="D82">
        <f>266.79</f>
        <v>266.79000000000002</v>
      </c>
    </row>
    <row r="83" spans="1:4" x14ac:dyDescent="0.2">
      <c r="A83" s="1">
        <v>45047</v>
      </c>
      <c r="B83" t="e">
        <f>NA()</f>
        <v>#N/A</v>
      </c>
      <c r="C83">
        <f>16.08</f>
        <v>16.079999999999998</v>
      </c>
      <c r="D83" t="e">
        <f>NA()</f>
        <v>#N/A</v>
      </c>
    </row>
    <row r="84" spans="1:4" x14ac:dyDescent="0.2">
      <c r="A84" s="1">
        <v>45044</v>
      </c>
      <c r="B84">
        <f>17.4304</f>
        <v>17.430399999999999</v>
      </c>
      <c r="C84">
        <f>15.78</f>
        <v>15.78</v>
      </c>
      <c r="D84">
        <f>202.22</f>
        <v>202.22</v>
      </c>
    </row>
    <row r="85" spans="1:4" x14ac:dyDescent="0.2">
      <c r="A85" s="1">
        <v>45043</v>
      </c>
      <c r="B85">
        <f>18.1786</f>
        <v>18.178599999999999</v>
      </c>
      <c r="C85">
        <f>17.03</f>
        <v>17.03</v>
      </c>
      <c r="D85" t="e">
        <f>NA()</f>
        <v>#N/A</v>
      </c>
    </row>
    <row r="86" spans="1:4" x14ac:dyDescent="0.2">
      <c r="A86" s="1">
        <v>45042</v>
      </c>
      <c r="B86">
        <f>18.7788</f>
        <v>18.7788</v>
      </c>
      <c r="C86">
        <f>18.84</f>
        <v>18.84</v>
      </c>
      <c r="D86">
        <f>222.06</f>
        <v>222.06</v>
      </c>
    </row>
    <row r="87" spans="1:4" x14ac:dyDescent="0.2">
      <c r="A87" s="1">
        <v>45041</v>
      </c>
      <c r="B87">
        <f>17.9256</f>
        <v>17.925599999999999</v>
      </c>
      <c r="C87">
        <f>18.76</f>
        <v>18.760000000000002</v>
      </c>
      <c r="D87">
        <f>208.39</f>
        <v>208.39</v>
      </c>
    </row>
    <row r="88" spans="1:4" x14ac:dyDescent="0.2">
      <c r="A88" s="1">
        <v>45040</v>
      </c>
      <c r="B88">
        <f>17.1568</f>
        <v>17.1568</v>
      </c>
      <c r="C88">
        <f>16.89</f>
        <v>16.89</v>
      </c>
      <c r="D88">
        <f>184.43</f>
        <v>184.43</v>
      </c>
    </row>
    <row r="89" spans="1:4" x14ac:dyDescent="0.2">
      <c r="A89" s="1">
        <v>45037</v>
      </c>
      <c r="B89">
        <f>17.0847</f>
        <v>17.084700000000002</v>
      </c>
      <c r="C89">
        <f>16.77</f>
        <v>16.77</v>
      </c>
      <c r="D89">
        <f>225.07</f>
        <v>225.07</v>
      </c>
    </row>
    <row r="90" spans="1:4" x14ac:dyDescent="0.2">
      <c r="A90" s="1">
        <v>45036</v>
      </c>
      <c r="B90">
        <f>17.727</f>
        <v>17.727</v>
      </c>
      <c r="C90">
        <f>17.17</f>
        <v>17.170000000000002</v>
      </c>
      <c r="D90">
        <f>191.7</f>
        <v>191.7</v>
      </c>
    </row>
    <row r="91" spans="1:4" x14ac:dyDescent="0.2">
      <c r="A91" s="1">
        <v>45035</v>
      </c>
      <c r="B91">
        <f>16.9332</f>
        <v>16.933199999999999</v>
      </c>
      <c r="C91">
        <f>16.46</f>
        <v>16.46</v>
      </c>
      <c r="D91">
        <f>222.72</f>
        <v>222.72</v>
      </c>
    </row>
    <row r="92" spans="1:4" x14ac:dyDescent="0.2">
      <c r="A92" s="1">
        <v>45034</v>
      </c>
      <c r="B92">
        <f>16.8952</f>
        <v>16.895199999999999</v>
      </c>
      <c r="C92">
        <f>16.83</f>
        <v>16.829999999999998</v>
      </c>
      <c r="D92">
        <f>288.39</f>
        <v>288.39</v>
      </c>
    </row>
    <row r="93" spans="1:4" x14ac:dyDescent="0.2">
      <c r="A93" s="1">
        <v>45033</v>
      </c>
      <c r="B93">
        <f>17.4568</f>
        <v>17.456800000000001</v>
      </c>
      <c r="C93">
        <f>16.95</f>
        <v>16.95</v>
      </c>
      <c r="D93">
        <f>208.79</f>
        <v>208.79</v>
      </c>
    </row>
    <row r="94" spans="1:4" x14ac:dyDescent="0.2">
      <c r="A94" s="1">
        <v>45030</v>
      </c>
      <c r="B94">
        <f>16.4374</f>
        <v>16.4374</v>
      </c>
      <c r="C94">
        <f>17.07</f>
        <v>17.07</v>
      </c>
      <c r="D94">
        <f>211.48</f>
        <v>211.48</v>
      </c>
    </row>
    <row r="95" spans="1:4" x14ac:dyDescent="0.2">
      <c r="A95" s="1">
        <v>45029</v>
      </c>
      <c r="B95">
        <f>17.6441</f>
        <v>17.644100000000002</v>
      </c>
      <c r="C95">
        <f>17.8</f>
        <v>17.8</v>
      </c>
      <c r="D95">
        <f>274.34</f>
        <v>274.33999999999997</v>
      </c>
    </row>
    <row r="96" spans="1:4" x14ac:dyDescent="0.2">
      <c r="A96" s="1">
        <v>45028</v>
      </c>
      <c r="B96">
        <f>18.6254</f>
        <v>18.625399999999999</v>
      </c>
      <c r="C96">
        <f>19.09</f>
        <v>19.09</v>
      </c>
      <c r="D96">
        <f>277.93</f>
        <v>277.93</v>
      </c>
    </row>
    <row r="97" spans="1:4" x14ac:dyDescent="0.2">
      <c r="A97" s="1">
        <v>45027</v>
      </c>
      <c r="B97">
        <f>18.8152</f>
        <v>18.815200000000001</v>
      </c>
      <c r="C97">
        <f>19.1</f>
        <v>19.100000000000001</v>
      </c>
      <c r="D97">
        <f>267.5</f>
        <v>267.5</v>
      </c>
    </row>
    <row r="98" spans="1:4" x14ac:dyDescent="0.2">
      <c r="A98" s="1">
        <v>45026</v>
      </c>
      <c r="B98" t="e">
        <f>NA()</f>
        <v>#N/A</v>
      </c>
      <c r="C98">
        <f>18.97</f>
        <v>18.97</v>
      </c>
      <c r="D98" t="e">
        <f>NA()</f>
        <v>#N/A</v>
      </c>
    </row>
    <row r="99" spans="1:4" x14ac:dyDescent="0.2">
      <c r="A99" s="1">
        <v>45022</v>
      </c>
      <c r="B99">
        <f>19.123</f>
        <v>19.123000000000001</v>
      </c>
      <c r="C99">
        <f>18.4</f>
        <v>18.399999999999999</v>
      </c>
      <c r="D99">
        <f>171.11</f>
        <v>171.11</v>
      </c>
    </row>
    <row r="100" spans="1:4" x14ac:dyDescent="0.2">
      <c r="A100" s="1">
        <v>45021</v>
      </c>
      <c r="B100">
        <f>19.935</f>
        <v>19.934999999999999</v>
      </c>
      <c r="C100">
        <f>19.08</f>
        <v>19.079999999999998</v>
      </c>
      <c r="D100">
        <f>273.88</f>
        <v>273.88</v>
      </c>
    </row>
    <row r="101" spans="1:4" x14ac:dyDescent="0.2">
      <c r="A101" s="1">
        <v>45020</v>
      </c>
      <c r="B101">
        <f>19.0203</f>
        <v>19.020299999999999</v>
      </c>
      <c r="C101">
        <f>19</f>
        <v>19</v>
      </c>
      <c r="D101">
        <f>244.72</f>
        <v>244.72</v>
      </c>
    </row>
    <row r="102" spans="1:4" x14ac:dyDescent="0.2">
      <c r="A102" s="1">
        <v>45019</v>
      </c>
      <c r="B102">
        <f>19.0905</f>
        <v>19.090499999999999</v>
      </c>
      <c r="C102">
        <f>18.55</f>
        <v>18.55</v>
      </c>
      <c r="D102">
        <f>252.82</f>
        <v>252.82</v>
      </c>
    </row>
    <row r="103" spans="1:4" x14ac:dyDescent="0.2">
      <c r="A103" s="1">
        <v>45016</v>
      </c>
      <c r="B103">
        <f>19.4246</f>
        <v>19.424600000000002</v>
      </c>
      <c r="C103">
        <f>18.7</f>
        <v>18.7</v>
      </c>
      <c r="D103">
        <f>265.69</f>
        <v>265.69</v>
      </c>
    </row>
    <row r="104" spans="1:4" x14ac:dyDescent="0.2">
      <c r="A104" s="1">
        <v>45015</v>
      </c>
      <c r="B104">
        <f>19.7826</f>
        <v>19.782599999999999</v>
      </c>
      <c r="C104">
        <f>19.02</f>
        <v>19.02</v>
      </c>
      <c r="D104">
        <f>184.94</f>
        <v>184.94</v>
      </c>
    </row>
    <row r="105" spans="1:4" x14ac:dyDescent="0.2">
      <c r="A105" s="1">
        <v>45014</v>
      </c>
      <c r="B105">
        <f>20.4</f>
        <v>20.399999999999999</v>
      </c>
      <c r="C105">
        <f>19.12</f>
        <v>19.12</v>
      </c>
      <c r="D105">
        <f>268.36</f>
        <v>268.36</v>
      </c>
    </row>
    <row r="106" spans="1:4" x14ac:dyDescent="0.2">
      <c r="A106" s="1">
        <v>45013</v>
      </c>
      <c r="B106">
        <f>22.0865</f>
        <v>22.086500000000001</v>
      </c>
      <c r="C106">
        <f>19.97</f>
        <v>19.97</v>
      </c>
      <c r="D106">
        <f>259.63</f>
        <v>259.63</v>
      </c>
    </row>
    <row r="107" spans="1:4" x14ac:dyDescent="0.2">
      <c r="A107" s="1">
        <v>45012</v>
      </c>
      <c r="B107">
        <f>23.0631</f>
        <v>23.063099999999999</v>
      </c>
      <c r="C107">
        <f>20.6</f>
        <v>20.6</v>
      </c>
      <c r="D107">
        <f>199.19</f>
        <v>199.19</v>
      </c>
    </row>
    <row r="108" spans="1:4" x14ac:dyDescent="0.2">
      <c r="A108" s="1">
        <v>45009</v>
      </c>
      <c r="B108">
        <f>24.8849</f>
        <v>24.884899999999998</v>
      </c>
      <c r="C108">
        <f>21.74</f>
        <v>21.74</v>
      </c>
      <c r="D108">
        <f>244.39</f>
        <v>244.39</v>
      </c>
    </row>
    <row r="109" spans="1:4" x14ac:dyDescent="0.2">
      <c r="A109" s="1">
        <v>45008</v>
      </c>
      <c r="B109">
        <f>21.5715</f>
        <v>21.5715</v>
      </c>
      <c r="C109">
        <f>22.61</f>
        <v>22.61</v>
      </c>
      <c r="D109">
        <f>289.36</f>
        <v>289.36</v>
      </c>
    </row>
    <row r="110" spans="1:4" x14ac:dyDescent="0.2">
      <c r="A110" s="1">
        <v>45007</v>
      </c>
      <c r="B110">
        <f>22.246</f>
        <v>22.245999999999999</v>
      </c>
      <c r="C110">
        <f>22.26</f>
        <v>22.26</v>
      </c>
      <c r="D110">
        <f>309.46</f>
        <v>309.45999999999998</v>
      </c>
    </row>
    <row r="111" spans="1:4" x14ac:dyDescent="0.2">
      <c r="A111" s="1">
        <v>45006</v>
      </c>
      <c r="B111">
        <f>24.1126</f>
        <v>24.1126</v>
      </c>
      <c r="C111">
        <f>21.38</f>
        <v>21.38</v>
      </c>
      <c r="D111" t="e">
        <f>NA()</f>
        <v>#N/A</v>
      </c>
    </row>
    <row r="112" spans="1:4" x14ac:dyDescent="0.2">
      <c r="A112" s="1">
        <v>45005</v>
      </c>
      <c r="B112">
        <f>28.432</f>
        <v>28.431999999999999</v>
      </c>
      <c r="C112">
        <f>24.15</f>
        <v>24.15</v>
      </c>
      <c r="D112">
        <f>265.14</f>
        <v>265.14</v>
      </c>
    </row>
    <row r="113" spans="1:4" x14ac:dyDescent="0.2">
      <c r="A113" s="1">
        <v>45002</v>
      </c>
      <c r="B113">
        <f>30.0367</f>
        <v>30.0367</v>
      </c>
      <c r="C113">
        <f>25.51</f>
        <v>25.51</v>
      </c>
      <c r="D113">
        <f>872.94</f>
        <v>872.94</v>
      </c>
    </row>
    <row r="114" spans="1:4" x14ac:dyDescent="0.2">
      <c r="A114" s="1">
        <v>45001</v>
      </c>
      <c r="B114">
        <f>26.6513</f>
        <v>26.651299999999999</v>
      </c>
      <c r="C114">
        <f>22.99</f>
        <v>22.99</v>
      </c>
      <c r="D114">
        <f>647.42</f>
        <v>647.41999999999996</v>
      </c>
    </row>
    <row r="115" spans="1:4" x14ac:dyDescent="0.2">
      <c r="A115" s="1">
        <v>45000</v>
      </c>
      <c r="B115">
        <f>32.0183</f>
        <v>32.018300000000004</v>
      </c>
      <c r="C115">
        <f>26.14</f>
        <v>26.14</v>
      </c>
      <c r="D115">
        <f>403.08</f>
        <v>403.08</v>
      </c>
    </row>
    <row r="116" spans="1:4" x14ac:dyDescent="0.2">
      <c r="A116" s="1">
        <v>44999</v>
      </c>
      <c r="B116">
        <f>22.7609</f>
        <v>22.760899999999999</v>
      </c>
      <c r="C116">
        <f>23.73</f>
        <v>23.73</v>
      </c>
      <c r="D116">
        <f>377.93</f>
        <v>377.93</v>
      </c>
    </row>
    <row r="117" spans="1:4" x14ac:dyDescent="0.2">
      <c r="A117" s="1">
        <v>44998</v>
      </c>
      <c r="B117">
        <f>25.8606</f>
        <v>25.860600000000002</v>
      </c>
      <c r="C117">
        <f>26.52</f>
        <v>26.52</v>
      </c>
      <c r="D117">
        <f>372.56</f>
        <v>372.56</v>
      </c>
    </row>
    <row r="118" spans="1:4" x14ac:dyDescent="0.2">
      <c r="A118" s="1">
        <v>44995</v>
      </c>
      <c r="B118">
        <f>21.1745</f>
        <v>21.174499999999998</v>
      </c>
      <c r="C118">
        <f>24.8</f>
        <v>24.8</v>
      </c>
      <c r="D118">
        <f>242.25</f>
        <v>242.25</v>
      </c>
    </row>
    <row r="119" spans="1:4" x14ac:dyDescent="0.2">
      <c r="A119" s="1">
        <v>44994</v>
      </c>
      <c r="B119">
        <f>18.0178</f>
        <v>18.017800000000001</v>
      </c>
      <c r="C119">
        <f>22.61</f>
        <v>22.61</v>
      </c>
      <c r="D119">
        <f>276.71</f>
        <v>276.70999999999998</v>
      </c>
    </row>
    <row r="120" spans="1:4" x14ac:dyDescent="0.2">
      <c r="A120" s="1">
        <v>44993</v>
      </c>
      <c r="B120">
        <f>18.0586</f>
        <v>18.058599999999998</v>
      </c>
      <c r="C120">
        <f>19.11</f>
        <v>19.11</v>
      </c>
      <c r="D120">
        <f>265.97</f>
        <v>265.97000000000003</v>
      </c>
    </row>
    <row r="121" spans="1:4" x14ac:dyDescent="0.2">
      <c r="A121" s="1">
        <v>44992</v>
      </c>
      <c r="B121">
        <f>18.4278</f>
        <v>18.427800000000001</v>
      </c>
      <c r="C121">
        <f>19.59</f>
        <v>19.59</v>
      </c>
      <c r="D121">
        <f>221.13</f>
        <v>221.13</v>
      </c>
    </row>
    <row r="122" spans="1:4" x14ac:dyDescent="0.2">
      <c r="A122" s="1">
        <v>44991</v>
      </c>
      <c r="B122">
        <f>17.8713</f>
        <v>17.871300000000002</v>
      </c>
      <c r="C122">
        <f>18.61</f>
        <v>18.61</v>
      </c>
      <c r="D122">
        <f>199.02</f>
        <v>199.02</v>
      </c>
    </row>
    <row r="123" spans="1:4" x14ac:dyDescent="0.2">
      <c r="A123" s="1">
        <v>44988</v>
      </c>
      <c r="B123">
        <f>18.1167</f>
        <v>18.116700000000002</v>
      </c>
      <c r="C123">
        <f>18.49</f>
        <v>18.489999999999998</v>
      </c>
      <c r="D123">
        <f>238.27</f>
        <v>238.27</v>
      </c>
    </row>
    <row r="124" spans="1:4" x14ac:dyDescent="0.2">
      <c r="A124" s="1">
        <v>44987</v>
      </c>
      <c r="B124">
        <f>19.6692</f>
        <v>19.6692</v>
      </c>
      <c r="C124">
        <f>19.59</f>
        <v>19.59</v>
      </c>
      <c r="D124">
        <f>287.89</f>
        <v>287.89</v>
      </c>
    </row>
    <row r="125" spans="1:4" x14ac:dyDescent="0.2">
      <c r="A125" s="1">
        <v>44986</v>
      </c>
      <c r="B125">
        <f>20.108</f>
        <v>20.108000000000001</v>
      </c>
      <c r="C125">
        <f>20.58</f>
        <v>20.58</v>
      </c>
      <c r="D125">
        <f>285.52</f>
        <v>285.52</v>
      </c>
    </row>
    <row r="126" spans="1:4" x14ac:dyDescent="0.2">
      <c r="A126" s="1">
        <v>44985</v>
      </c>
      <c r="B126">
        <f>19.5007</f>
        <v>19.500699999999998</v>
      </c>
      <c r="C126">
        <f>20.7</f>
        <v>20.7</v>
      </c>
      <c r="D126">
        <f>536.84</f>
        <v>536.84</v>
      </c>
    </row>
    <row r="127" spans="1:4" x14ac:dyDescent="0.2">
      <c r="A127" s="1">
        <v>44984</v>
      </c>
      <c r="B127">
        <f>19.9638</f>
        <v>19.963799999999999</v>
      </c>
      <c r="C127">
        <f>20.95</f>
        <v>20.95</v>
      </c>
      <c r="D127">
        <f>221.92</f>
        <v>221.92</v>
      </c>
    </row>
    <row r="128" spans="1:4" x14ac:dyDescent="0.2">
      <c r="A128" s="1">
        <v>44981</v>
      </c>
      <c r="B128">
        <f>21.6716</f>
        <v>21.671600000000002</v>
      </c>
      <c r="C128">
        <f>21.67</f>
        <v>21.67</v>
      </c>
      <c r="D128">
        <f>257.39</f>
        <v>257.39</v>
      </c>
    </row>
    <row r="129" spans="1:4" x14ac:dyDescent="0.2">
      <c r="A129" s="1">
        <v>44980</v>
      </c>
      <c r="B129">
        <f>20.2369</f>
        <v>20.236899999999999</v>
      </c>
      <c r="C129">
        <f>21.14</f>
        <v>21.14</v>
      </c>
      <c r="D129">
        <f>264.29</f>
        <v>264.29000000000002</v>
      </c>
    </row>
    <row r="130" spans="1:4" x14ac:dyDescent="0.2">
      <c r="A130" s="1">
        <v>44979</v>
      </c>
      <c r="B130">
        <f>21.1761</f>
        <v>21.176100000000002</v>
      </c>
      <c r="C130">
        <f>22.29</f>
        <v>22.29</v>
      </c>
      <c r="D130">
        <f>242.4</f>
        <v>242.4</v>
      </c>
    </row>
    <row r="131" spans="1:4" x14ac:dyDescent="0.2">
      <c r="A131" s="1">
        <v>44978</v>
      </c>
      <c r="B131">
        <f>20.8943</f>
        <v>20.894300000000001</v>
      </c>
      <c r="C131">
        <f>22.87</f>
        <v>22.87</v>
      </c>
      <c r="D131">
        <f>276.55</f>
        <v>276.55</v>
      </c>
    </row>
    <row r="132" spans="1:4" x14ac:dyDescent="0.2">
      <c r="A132" s="1">
        <v>44977</v>
      </c>
      <c r="B132">
        <f>19.5282</f>
        <v>19.528199999999998</v>
      </c>
      <c r="C132">
        <f>21.23</f>
        <v>21.23</v>
      </c>
      <c r="D132">
        <f>191.06</f>
        <v>191.06</v>
      </c>
    </row>
    <row r="133" spans="1:4" x14ac:dyDescent="0.2">
      <c r="A133" s="1">
        <v>44974</v>
      </c>
      <c r="B133">
        <f>19.2298</f>
        <v>19.229800000000001</v>
      </c>
      <c r="C133">
        <f>20.02</f>
        <v>20.02</v>
      </c>
      <c r="D133">
        <f>199.24</f>
        <v>199.24</v>
      </c>
    </row>
    <row r="134" spans="1:4" x14ac:dyDescent="0.2">
      <c r="A134" s="1">
        <v>44973</v>
      </c>
      <c r="B134">
        <f>18.0518</f>
        <v>18.0518</v>
      </c>
      <c r="C134">
        <f>20.17</f>
        <v>20.170000000000002</v>
      </c>
      <c r="D134">
        <f>229.3</f>
        <v>229.3</v>
      </c>
    </row>
    <row r="135" spans="1:4" x14ac:dyDescent="0.2">
      <c r="A135" s="1">
        <v>44972</v>
      </c>
      <c r="B135">
        <f>17.6154</f>
        <v>17.615400000000001</v>
      </c>
      <c r="C135">
        <f>18.23</f>
        <v>18.23</v>
      </c>
      <c r="D135">
        <f>237.91</f>
        <v>237.91</v>
      </c>
    </row>
    <row r="136" spans="1:4" x14ac:dyDescent="0.2">
      <c r="A136" s="1">
        <v>44971</v>
      </c>
      <c r="B136">
        <f>18.8976</f>
        <v>18.897600000000001</v>
      </c>
      <c r="C136">
        <f>18.91</f>
        <v>18.91</v>
      </c>
      <c r="D136">
        <f>218.25</f>
        <v>218.25</v>
      </c>
    </row>
    <row r="137" spans="1:4" x14ac:dyDescent="0.2">
      <c r="A137" s="1">
        <v>44970</v>
      </c>
      <c r="B137">
        <f>19.7867</f>
        <v>19.7867</v>
      </c>
      <c r="C137">
        <f>20.34</f>
        <v>20.34</v>
      </c>
      <c r="D137">
        <f>210.22</f>
        <v>210.22</v>
      </c>
    </row>
    <row r="138" spans="1:4" x14ac:dyDescent="0.2">
      <c r="A138" s="1">
        <v>44967</v>
      </c>
      <c r="B138">
        <f>20.4681</f>
        <v>20.4681</v>
      </c>
      <c r="C138">
        <f>20.53</f>
        <v>20.53</v>
      </c>
      <c r="D138">
        <f>200.83</f>
        <v>200.83</v>
      </c>
    </row>
    <row r="139" spans="1:4" x14ac:dyDescent="0.2">
      <c r="A139" s="1">
        <v>44966</v>
      </c>
      <c r="B139">
        <f>18.1667</f>
        <v>18.166699999999999</v>
      </c>
      <c r="C139">
        <f>20.71</f>
        <v>20.71</v>
      </c>
      <c r="D139">
        <f>710.58</f>
        <v>710.58</v>
      </c>
    </row>
    <row r="140" spans="1:4" x14ac:dyDescent="0.2">
      <c r="A140" s="1">
        <v>44965</v>
      </c>
      <c r="B140">
        <f>18.7222</f>
        <v>18.722200000000001</v>
      </c>
      <c r="C140">
        <f>19.63</f>
        <v>19.63</v>
      </c>
      <c r="D140">
        <f>217.72</f>
        <v>217.72</v>
      </c>
    </row>
    <row r="141" spans="1:4" x14ac:dyDescent="0.2">
      <c r="A141" s="1">
        <v>44964</v>
      </c>
      <c r="B141">
        <f>18.7636</f>
        <v>18.7636</v>
      </c>
      <c r="C141">
        <f>18.66</f>
        <v>18.66</v>
      </c>
      <c r="D141">
        <f>256.84</f>
        <v>256.83999999999997</v>
      </c>
    </row>
    <row r="142" spans="1:4" x14ac:dyDescent="0.2">
      <c r="A142" s="1">
        <v>44963</v>
      </c>
      <c r="B142">
        <f>18.6439</f>
        <v>18.643899999999999</v>
      </c>
      <c r="C142">
        <f>19.43</f>
        <v>19.43</v>
      </c>
      <c r="D142">
        <f>197.97</f>
        <v>197.97</v>
      </c>
    </row>
    <row r="143" spans="1:4" x14ac:dyDescent="0.2">
      <c r="A143" s="1">
        <v>44960</v>
      </c>
      <c r="B143">
        <f>16.7598</f>
        <v>16.759799999999998</v>
      </c>
      <c r="C143">
        <f>18.33</f>
        <v>18.329999999999998</v>
      </c>
      <c r="D143">
        <f>220.11</f>
        <v>220.11</v>
      </c>
    </row>
    <row r="144" spans="1:4" x14ac:dyDescent="0.2">
      <c r="A144" s="1">
        <v>44959</v>
      </c>
      <c r="B144">
        <f>16.6712</f>
        <v>16.671199999999999</v>
      </c>
      <c r="C144">
        <f>18.73</f>
        <v>18.73</v>
      </c>
      <c r="D144">
        <f>294.48</f>
        <v>294.48</v>
      </c>
    </row>
    <row r="145" spans="1:4" x14ac:dyDescent="0.2">
      <c r="A145" s="1">
        <v>44958</v>
      </c>
      <c r="B145">
        <f>18.6992</f>
        <v>18.699200000000001</v>
      </c>
      <c r="C145">
        <f>17.87</f>
        <v>17.87</v>
      </c>
      <c r="D145">
        <f>259.49</f>
        <v>259.49</v>
      </c>
    </row>
    <row r="146" spans="1:4" x14ac:dyDescent="0.2">
      <c r="A146" s="1">
        <v>44957</v>
      </c>
      <c r="B146">
        <f>18.5683</f>
        <v>18.568300000000001</v>
      </c>
      <c r="C146">
        <f>19.4</f>
        <v>19.399999999999999</v>
      </c>
      <c r="D146">
        <f>290.42</f>
        <v>290.42</v>
      </c>
    </row>
    <row r="147" spans="1:4" x14ac:dyDescent="0.2">
      <c r="A147" s="1">
        <v>44956</v>
      </c>
      <c r="B147">
        <f>18.7467</f>
        <v>18.746700000000001</v>
      </c>
      <c r="C147">
        <f>19.94</f>
        <v>19.940000000000001</v>
      </c>
      <c r="D147">
        <f>192.39</f>
        <v>192.39</v>
      </c>
    </row>
    <row r="148" spans="1:4" x14ac:dyDescent="0.2">
      <c r="A148" s="1">
        <v>44953</v>
      </c>
      <c r="B148">
        <f>17.2871</f>
        <v>17.287099999999999</v>
      </c>
      <c r="C148">
        <f>18.51</f>
        <v>18.510000000000002</v>
      </c>
      <c r="D148">
        <f>210.85</f>
        <v>210.85</v>
      </c>
    </row>
    <row r="149" spans="1:4" x14ac:dyDescent="0.2">
      <c r="A149" s="1">
        <v>44952</v>
      </c>
      <c r="B149">
        <f>18.1732</f>
        <v>18.173200000000001</v>
      </c>
      <c r="C149">
        <f>18.73</f>
        <v>18.73</v>
      </c>
      <c r="D149">
        <f>220.93</f>
        <v>220.93</v>
      </c>
    </row>
    <row r="150" spans="1:4" x14ac:dyDescent="0.2">
      <c r="A150" s="1">
        <v>44951</v>
      </c>
      <c r="B150">
        <f>18.4243</f>
        <v>18.424299999999999</v>
      </c>
      <c r="C150">
        <f>19.08</f>
        <v>19.079999999999998</v>
      </c>
      <c r="D150">
        <f>178.4</f>
        <v>178.4</v>
      </c>
    </row>
    <row r="151" spans="1:4" x14ac:dyDescent="0.2">
      <c r="A151" s="1">
        <v>44950</v>
      </c>
      <c r="B151">
        <f>18.0648</f>
        <v>18.064800000000002</v>
      </c>
      <c r="C151">
        <f>19.2</f>
        <v>19.2</v>
      </c>
      <c r="D151">
        <f>196.56</f>
        <v>196.56</v>
      </c>
    </row>
    <row r="152" spans="1:4" x14ac:dyDescent="0.2">
      <c r="A152" s="1">
        <v>44949</v>
      </c>
      <c r="B152">
        <f>18.1635</f>
        <v>18.163499999999999</v>
      </c>
      <c r="C152">
        <f>19.81</f>
        <v>19.809999999999999</v>
      </c>
      <c r="D152">
        <f>160.18</f>
        <v>160.18</v>
      </c>
    </row>
    <row r="153" spans="1:4" x14ac:dyDescent="0.2">
      <c r="A153" s="1">
        <v>44946</v>
      </c>
      <c r="B153">
        <f>18.6836</f>
        <v>18.683599999999998</v>
      </c>
      <c r="C153">
        <f>19.85</f>
        <v>19.850000000000001</v>
      </c>
      <c r="D153">
        <f>205.39</f>
        <v>205.39</v>
      </c>
    </row>
    <row r="154" spans="1:4" x14ac:dyDescent="0.2">
      <c r="A154" s="1">
        <v>44945</v>
      </c>
      <c r="B154">
        <f>20.2982</f>
        <v>20.298200000000001</v>
      </c>
      <c r="C154">
        <f>20.52</f>
        <v>20.52</v>
      </c>
      <c r="D154">
        <f>242.24</f>
        <v>242.24</v>
      </c>
    </row>
    <row r="155" spans="1:4" x14ac:dyDescent="0.2">
      <c r="A155" s="1">
        <v>44944</v>
      </c>
      <c r="B155">
        <f>18.1208</f>
        <v>18.120799999999999</v>
      </c>
      <c r="C155">
        <f>20.34</f>
        <v>20.34</v>
      </c>
      <c r="D155">
        <f>219.33</f>
        <v>219.33</v>
      </c>
    </row>
    <row r="156" spans="1:4" x14ac:dyDescent="0.2">
      <c r="A156" s="1">
        <v>44943</v>
      </c>
      <c r="B156">
        <f>18.6197</f>
        <v>18.619700000000002</v>
      </c>
      <c r="C156">
        <f>19.36</f>
        <v>19.36</v>
      </c>
      <c r="D156">
        <f>258.36</f>
        <v>258.36</v>
      </c>
    </row>
    <row r="157" spans="1:4" x14ac:dyDescent="0.2">
      <c r="A157" s="1">
        <v>44942</v>
      </c>
      <c r="B157">
        <f>18.3479</f>
        <v>18.347899999999999</v>
      </c>
      <c r="C157">
        <f>19.49</f>
        <v>19.489999999999998</v>
      </c>
      <c r="D157">
        <f>173.19</f>
        <v>173.19</v>
      </c>
    </row>
    <row r="158" spans="1:4" x14ac:dyDescent="0.2">
      <c r="A158" s="1">
        <v>44939</v>
      </c>
      <c r="B158">
        <f>17.3437</f>
        <v>17.343699999999998</v>
      </c>
      <c r="C158">
        <f>18.35</f>
        <v>18.350000000000001</v>
      </c>
      <c r="D158">
        <f>188.41</f>
        <v>188.41</v>
      </c>
    </row>
    <row r="159" spans="1:4" x14ac:dyDescent="0.2">
      <c r="A159" s="1">
        <v>44938</v>
      </c>
      <c r="B159">
        <f>17.9438</f>
        <v>17.9438</v>
      </c>
      <c r="C159">
        <f>18.83</f>
        <v>18.829999999999998</v>
      </c>
      <c r="D159">
        <f>200.91</f>
        <v>200.91</v>
      </c>
    </row>
    <row r="160" spans="1:4" x14ac:dyDescent="0.2">
      <c r="A160" s="1">
        <v>44937</v>
      </c>
      <c r="B160">
        <f>19.34</f>
        <v>19.34</v>
      </c>
      <c r="C160">
        <f>21.09</f>
        <v>21.09</v>
      </c>
      <c r="D160">
        <f>189.06</f>
        <v>189.06</v>
      </c>
    </row>
    <row r="161" spans="1:4" x14ac:dyDescent="0.2">
      <c r="A161" s="1">
        <v>44936</v>
      </c>
      <c r="B161">
        <f>19.2537</f>
        <v>19.253699999999998</v>
      </c>
      <c r="C161">
        <f>20.58</f>
        <v>20.58</v>
      </c>
      <c r="D161">
        <f>163.4</f>
        <v>163.4</v>
      </c>
    </row>
    <row r="162" spans="1:4" x14ac:dyDescent="0.2">
      <c r="A162" s="1">
        <v>44935</v>
      </c>
      <c r="B162">
        <f>18.9985</f>
        <v>18.9985</v>
      </c>
      <c r="C162">
        <f>21.97</f>
        <v>21.97</v>
      </c>
      <c r="D162">
        <f>209.5</f>
        <v>209.5</v>
      </c>
    </row>
    <row r="163" spans="1:4" x14ac:dyDescent="0.2">
      <c r="A163" s="1">
        <v>44932</v>
      </c>
      <c r="B163">
        <f>18.4877</f>
        <v>18.4877</v>
      </c>
      <c r="C163">
        <f>21.13</f>
        <v>21.13</v>
      </c>
      <c r="D163">
        <f>142.62</f>
        <v>142.62</v>
      </c>
    </row>
    <row r="164" spans="1:4" x14ac:dyDescent="0.2">
      <c r="A164" s="1">
        <v>44931</v>
      </c>
      <c r="B164">
        <f>19.5317</f>
        <v>19.531700000000001</v>
      </c>
      <c r="C164">
        <f>22.46</f>
        <v>22.46</v>
      </c>
      <c r="D164">
        <f>176.51</f>
        <v>176.51</v>
      </c>
    </row>
    <row r="165" spans="1:4" x14ac:dyDescent="0.2">
      <c r="A165" s="1">
        <v>44930</v>
      </c>
      <c r="B165">
        <f>19.4454</f>
        <v>19.445399999999999</v>
      </c>
      <c r="C165">
        <f>22.01</f>
        <v>22.01</v>
      </c>
      <c r="D165">
        <f>158.23</f>
        <v>158.22999999999999</v>
      </c>
    </row>
    <row r="166" spans="1:4" x14ac:dyDescent="0.2">
      <c r="A166" s="1">
        <v>44929</v>
      </c>
      <c r="B166">
        <f>20.2765</f>
        <v>20.276499999999999</v>
      </c>
      <c r="C166">
        <f>22.9</f>
        <v>22.9</v>
      </c>
      <c r="D166">
        <f>130.39</f>
        <v>130.38999999999999</v>
      </c>
    </row>
    <row r="167" spans="1:4" x14ac:dyDescent="0.2">
      <c r="A167" s="1">
        <v>44928</v>
      </c>
      <c r="B167">
        <f>20.7701</f>
        <v>20.770099999999999</v>
      </c>
      <c r="C167" t="e">
        <f>NA()</f>
        <v>#N/A</v>
      </c>
      <c r="D167" t="e">
        <f>NA()</f>
        <v>#N/A</v>
      </c>
    </row>
    <row r="168" spans="1:4" x14ac:dyDescent="0.2">
      <c r="A168" s="1">
        <v>44925</v>
      </c>
      <c r="B168">
        <f>20.8862</f>
        <v>20.886199999999999</v>
      </c>
      <c r="C168">
        <f>21.67</f>
        <v>21.67</v>
      </c>
      <c r="D168">
        <f>69.29</f>
        <v>69.290000000000006</v>
      </c>
    </row>
    <row r="169" spans="1:4" x14ac:dyDescent="0.2">
      <c r="A169" s="1">
        <v>44924</v>
      </c>
      <c r="B169">
        <f>19.9315</f>
        <v>19.9315</v>
      </c>
      <c r="C169">
        <f>21.44</f>
        <v>21.44</v>
      </c>
      <c r="D169">
        <f>94.75</f>
        <v>94.75</v>
      </c>
    </row>
    <row r="170" spans="1:4" x14ac:dyDescent="0.2">
      <c r="A170" s="1">
        <v>44923</v>
      </c>
      <c r="B170">
        <f>20.5078</f>
        <v>20.5078</v>
      </c>
      <c r="C170">
        <f>22.14</f>
        <v>22.14</v>
      </c>
      <c r="D170">
        <f>110.3</f>
        <v>110.3</v>
      </c>
    </row>
    <row r="171" spans="1:4" x14ac:dyDescent="0.2">
      <c r="A171" s="1">
        <v>44922</v>
      </c>
      <c r="B171">
        <f>20.6586</f>
        <v>20.6586</v>
      </c>
      <c r="C171">
        <f>21.65</f>
        <v>21.65</v>
      </c>
      <c r="D171" t="e">
        <f>NA()</f>
        <v>#N/A</v>
      </c>
    </row>
    <row r="172" spans="1:4" x14ac:dyDescent="0.2">
      <c r="A172" s="1">
        <v>44918</v>
      </c>
      <c r="B172">
        <f>20.0403</f>
        <v>20.040299999999998</v>
      </c>
      <c r="C172">
        <f>20.87</f>
        <v>20.87</v>
      </c>
      <c r="D172">
        <f>53.31</f>
        <v>53.31</v>
      </c>
    </row>
    <row r="173" spans="1:4" x14ac:dyDescent="0.2">
      <c r="A173" s="1">
        <v>44917</v>
      </c>
      <c r="B173">
        <f>19.962</f>
        <v>19.962</v>
      </c>
      <c r="C173">
        <f>21.97</f>
        <v>21.97</v>
      </c>
      <c r="D173">
        <f>101.69</f>
        <v>101.69</v>
      </c>
    </row>
    <row r="174" spans="1:4" x14ac:dyDescent="0.2">
      <c r="A174" s="1">
        <v>44916</v>
      </c>
      <c r="B174">
        <f>19.0621</f>
        <v>19.062100000000001</v>
      </c>
      <c r="C174">
        <f>20.07</f>
        <v>20.07</v>
      </c>
      <c r="D174">
        <f>134.6</f>
        <v>134.6</v>
      </c>
    </row>
    <row r="175" spans="1:4" x14ac:dyDescent="0.2">
      <c r="A175" s="1">
        <v>44915</v>
      </c>
      <c r="B175">
        <f>20.6949</f>
        <v>20.694900000000001</v>
      </c>
      <c r="C175">
        <f>21.48</f>
        <v>21.48</v>
      </c>
      <c r="D175">
        <f>157.2</f>
        <v>157.19999999999999</v>
      </c>
    </row>
    <row r="176" spans="1:4" x14ac:dyDescent="0.2">
      <c r="A176" s="1">
        <v>44914</v>
      </c>
      <c r="B176">
        <f>20.6049</f>
        <v>20.604900000000001</v>
      </c>
      <c r="C176">
        <f>22.42</f>
        <v>22.42</v>
      </c>
      <c r="D176">
        <f>223.76</f>
        <v>223.76</v>
      </c>
    </row>
    <row r="177" spans="1:4" x14ac:dyDescent="0.2">
      <c r="A177" s="1">
        <v>44911</v>
      </c>
      <c r="B177">
        <f>21.3153</f>
        <v>21.315300000000001</v>
      </c>
      <c r="C177">
        <f>22.62</f>
        <v>22.62</v>
      </c>
      <c r="D177" t="e">
        <f>NA()</f>
        <v>#N/A</v>
      </c>
    </row>
    <row r="178" spans="1:4" x14ac:dyDescent="0.2">
      <c r="A178" s="1">
        <v>44910</v>
      </c>
      <c r="B178">
        <f>20.8424</f>
        <v>20.842400000000001</v>
      </c>
      <c r="C178">
        <f>22.83</f>
        <v>22.83</v>
      </c>
      <c r="D178">
        <f>745.44</f>
        <v>745.44</v>
      </c>
    </row>
    <row r="179" spans="1:4" x14ac:dyDescent="0.2">
      <c r="A179" s="1">
        <v>44909</v>
      </c>
      <c r="B179">
        <f>20.34</f>
        <v>20.34</v>
      </c>
      <c r="C179">
        <f>21.14</f>
        <v>21.14</v>
      </c>
      <c r="D179">
        <f>212.68</f>
        <v>212.68</v>
      </c>
    </row>
    <row r="180" spans="1:4" x14ac:dyDescent="0.2">
      <c r="A180" s="1">
        <v>44908</v>
      </c>
      <c r="B180">
        <f>20.3898</f>
        <v>20.389800000000001</v>
      </c>
      <c r="C180">
        <f>22.55</f>
        <v>22.55</v>
      </c>
      <c r="D180">
        <f>202.25</f>
        <v>202.25</v>
      </c>
    </row>
    <row r="181" spans="1:4" x14ac:dyDescent="0.2">
      <c r="A181" s="1">
        <v>44907</v>
      </c>
      <c r="B181">
        <f>22.538</f>
        <v>22.538</v>
      </c>
      <c r="C181">
        <f>25</f>
        <v>25</v>
      </c>
      <c r="D181">
        <f>186.79</f>
        <v>186.79</v>
      </c>
    </row>
    <row r="182" spans="1:4" x14ac:dyDescent="0.2">
      <c r="A182" s="1">
        <v>44904</v>
      </c>
      <c r="B182">
        <f>21.3964</f>
        <v>21.3964</v>
      </c>
      <c r="C182">
        <f>22.83</f>
        <v>22.83</v>
      </c>
      <c r="D182">
        <f>194.7</f>
        <v>194.7</v>
      </c>
    </row>
    <row r="183" spans="1:4" x14ac:dyDescent="0.2">
      <c r="A183" s="1">
        <v>44903</v>
      </c>
      <c r="B183">
        <f>21.7925</f>
        <v>21.7925</v>
      </c>
      <c r="C183">
        <f>22.29</f>
        <v>22.29</v>
      </c>
      <c r="D183">
        <f>185.22</f>
        <v>185.22</v>
      </c>
    </row>
    <row r="184" spans="1:4" x14ac:dyDescent="0.2">
      <c r="A184" s="1">
        <v>44902</v>
      </c>
      <c r="B184">
        <f>22.0266</f>
        <v>22.026599999999998</v>
      </c>
      <c r="C184">
        <f>22.68</f>
        <v>22.68</v>
      </c>
      <c r="D184">
        <f>198.7</f>
        <v>198.7</v>
      </c>
    </row>
    <row r="185" spans="1:4" x14ac:dyDescent="0.2">
      <c r="A185" s="1">
        <v>44901</v>
      </c>
      <c r="B185">
        <f>20.81</f>
        <v>20.81</v>
      </c>
      <c r="C185">
        <f>22.17</f>
        <v>22.17</v>
      </c>
      <c r="D185">
        <f>169.78</f>
        <v>169.78</v>
      </c>
    </row>
    <row r="186" spans="1:4" x14ac:dyDescent="0.2">
      <c r="A186" s="1">
        <v>44900</v>
      </c>
      <c r="B186">
        <f>19.8221</f>
        <v>19.822099999999999</v>
      </c>
      <c r="C186">
        <f>20.75</f>
        <v>20.75</v>
      </c>
      <c r="D186">
        <f>212.61</f>
        <v>212.61</v>
      </c>
    </row>
    <row r="187" spans="1:4" x14ac:dyDescent="0.2">
      <c r="A187" s="1">
        <v>44897</v>
      </c>
      <c r="B187">
        <f>19.3283</f>
        <v>19.328299999999999</v>
      </c>
      <c r="C187">
        <f>19.06</f>
        <v>19.059999999999999</v>
      </c>
      <c r="D187">
        <f>269.19</f>
        <v>269.19</v>
      </c>
    </row>
    <row r="188" spans="1:4" x14ac:dyDescent="0.2">
      <c r="A188" s="1">
        <v>44896</v>
      </c>
      <c r="B188">
        <f>20.3191</f>
        <v>20.319099999999999</v>
      </c>
      <c r="C188">
        <f>19.84</f>
        <v>19.84</v>
      </c>
      <c r="D188">
        <f>379.67</f>
        <v>379.67</v>
      </c>
    </row>
    <row r="189" spans="1:4" x14ac:dyDescent="0.2">
      <c r="A189" s="1">
        <v>44895</v>
      </c>
      <c r="B189">
        <f>21.2104</f>
        <v>21.2104</v>
      </c>
      <c r="C189">
        <f>20.58</f>
        <v>20.58</v>
      </c>
      <c r="D189">
        <f>419.56</f>
        <v>419.56</v>
      </c>
    </row>
    <row r="190" spans="1:4" x14ac:dyDescent="0.2">
      <c r="A190" s="1">
        <v>44894</v>
      </c>
      <c r="B190">
        <f>21.7003</f>
        <v>21.700299999999999</v>
      </c>
      <c r="C190">
        <f>21.89</f>
        <v>21.89</v>
      </c>
      <c r="D190">
        <f>206.99</f>
        <v>206.99</v>
      </c>
    </row>
    <row r="191" spans="1:4" x14ac:dyDescent="0.2">
      <c r="A191" s="1">
        <v>44893</v>
      </c>
      <c r="B191">
        <f>21.523</f>
        <v>21.523</v>
      </c>
      <c r="C191">
        <f>22.21</f>
        <v>22.21</v>
      </c>
      <c r="D191">
        <f>159.77</f>
        <v>159.77000000000001</v>
      </c>
    </row>
    <row r="192" spans="1:4" x14ac:dyDescent="0.2">
      <c r="A192" s="1">
        <v>44890</v>
      </c>
      <c r="B192">
        <f>19.9294</f>
        <v>19.929400000000001</v>
      </c>
      <c r="C192">
        <f>20.5</f>
        <v>20.5</v>
      </c>
      <c r="D192">
        <f>159.49</f>
        <v>159.49</v>
      </c>
    </row>
    <row r="193" spans="1:4" x14ac:dyDescent="0.2">
      <c r="A193" s="1">
        <v>44889</v>
      </c>
      <c r="B193">
        <f>19.563</f>
        <v>19.562999999999999</v>
      </c>
      <c r="C193">
        <f>20.42</f>
        <v>20.420000000000002</v>
      </c>
      <c r="D193">
        <f>166.9</f>
        <v>166.9</v>
      </c>
    </row>
    <row r="194" spans="1:4" x14ac:dyDescent="0.2">
      <c r="A194" s="1">
        <v>44888</v>
      </c>
      <c r="B194">
        <f>19.5057</f>
        <v>19.505700000000001</v>
      </c>
      <c r="C194">
        <f>20.35</f>
        <v>20.350000000000001</v>
      </c>
      <c r="D194">
        <f>215.78</f>
        <v>215.78</v>
      </c>
    </row>
    <row r="195" spans="1:4" x14ac:dyDescent="0.2">
      <c r="A195" s="1">
        <v>44887</v>
      </c>
      <c r="B195">
        <f>20.2196</f>
        <v>20.2196</v>
      </c>
      <c r="C195">
        <f>21.29</f>
        <v>21.29</v>
      </c>
      <c r="D195">
        <f>211.64</f>
        <v>211.64</v>
      </c>
    </row>
    <row r="196" spans="1:4" x14ac:dyDescent="0.2">
      <c r="A196" s="1">
        <v>44886</v>
      </c>
      <c r="B196">
        <f>21.1749</f>
        <v>21.174900000000001</v>
      </c>
      <c r="C196">
        <f>22.36</f>
        <v>22.36</v>
      </c>
      <c r="D196">
        <f>227</f>
        <v>227</v>
      </c>
    </row>
    <row r="197" spans="1:4" x14ac:dyDescent="0.2">
      <c r="A197" s="1">
        <v>44883</v>
      </c>
      <c r="B197">
        <f>20.8843</f>
        <v>20.8843</v>
      </c>
      <c r="C197">
        <f>23.12</f>
        <v>23.12</v>
      </c>
      <c r="D197">
        <f>154.87</f>
        <v>154.87</v>
      </c>
    </row>
    <row r="198" spans="1:4" x14ac:dyDescent="0.2">
      <c r="A198" s="1">
        <v>44882</v>
      </c>
      <c r="B198">
        <f>21.8159</f>
        <v>21.815899999999999</v>
      </c>
      <c r="C198">
        <f>23.93</f>
        <v>23.93</v>
      </c>
      <c r="D198">
        <f>216.13</f>
        <v>216.13</v>
      </c>
    </row>
    <row r="199" spans="1:4" x14ac:dyDescent="0.2">
      <c r="A199" s="1">
        <v>44881</v>
      </c>
      <c r="B199">
        <f>21.1699</f>
        <v>21.169899999999998</v>
      </c>
      <c r="C199">
        <f>24.11</f>
        <v>24.11</v>
      </c>
      <c r="D199">
        <f>242.05</f>
        <v>242.05</v>
      </c>
    </row>
    <row r="200" spans="1:4" x14ac:dyDescent="0.2">
      <c r="A200" s="1">
        <v>44880</v>
      </c>
      <c r="B200">
        <f>20.8552</f>
        <v>20.8552</v>
      </c>
      <c r="C200">
        <f>24.54</f>
        <v>24.54</v>
      </c>
      <c r="D200">
        <f>274.71</f>
        <v>274.70999999999998</v>
      </c>
    </row>
    <row r="201" spans="1:4" x14ac:dyDescent="0.2">
      <c r="A201" s="1">
        <v>44879</v>
      </c>
      <c r="B201">
        <f>20.9416</f>
        <v>20.941600000000001</v>
      </c>
      <c r="C201">
        <f>23.73</f>
        <v>23.73</v>
      </c>
      <c r="D201">
        <f>227.96</f>
        <v>227.96</v>
      </c>
    </row>
    <row r="202" spans="1:4" x14ac:dyDescent="0.2">
      <c r="A202" s="1">
        <v>44876</v>
      </c>
      <c r="B202">
        <f>20.7775</f>
        <v>20.7775</v>
      </c>
      <c r="C202">
        <f>22.52</f>
        <v>22.52</v>
      </c>
      <c r="D202">
        <f>268.45</f>
        <v>268.45</v>
      </c>
    </row>
    <row r="203" spans="1:4" x14ac:dyDescent="0.2">
      <c r="A203" s="1">
        <v>44875</v>
      </c>
      <c r="B203">
        <f>21.3193</f>
        <v>21.319299999999998</v>
      </c>
      <c r="C203">
        <f>23.53</f>
        <v>23.53</v>
      </c>
      <c r="D203">
        <f>254.17</f>
        <v>254.17</v>
      </c>
    </row>
    <row r="204" spans="1:4" x14ac:dyDescent="0.2">
      <c r="A204" s="1">
        <v>44874</v>
      </c>
      <c r="B204">
        <f>23.2437</f>
        <v>23.2437</v>
      </c>
      <c r="C204">
        <f>26.09</f>
        <v>26.09</v>
      </c>
      <c r="D204">
        <f>222.58</f>
        <v>222.58</v>
      </c>
    </row>
    <row r="205" spans="1:4" x14ac:dyDescent="0.2">
      <c r="A205" s="1">
        <v>44873</v>
      </c>
      <c r="B205">
        <f>22.6103</f>
        <v>22.610299999999999</v>
      </c>
      <c r="C205">
        <f>25.54</f>
        <v>25.54</v>
      </c>
      <c r="D205">
        <f>204.03</f>
        <v>204.03</v>
      </c>
    </row>
    <row r="206" spans="1:4" x14ac:dyDescent="0.2">
      <c r="A206" s="1">
        <v>44872</v>
      </c>
      <c r="B206">
        <f>22.6633</f>
        <v>22.6633</v>
      </c>
      <c r="C206">
        <f>24.35</f>
        <v>24.35</v>
      </c>
      <c r="D206">
        <f>207.19</f>
        <v>207.19</v>
      </c>
    </row>
    <row r="207" spans="1:4" x14ac:dyDescent="0.2">
      <c r="A207" s="1">
        <v>44869</v>
      </c>
      <c r="B207">
        <f>22.9051</f>
        <v>22.905100000000001</v>
      </c>
      <c r="C207">
        <f>24.55</f>
        <v>24.55</v>
      </c>
      <c r="D207">
        <f>235.84</f>
        <v>235.84</v>
      </c>
    </row>
    <row r="208" spans="1:4" x14ac:dyDescent="0.2">
      <c r="A208" s="1">
        <v>44868</v>
      </c>
      <c r="B208">
        <f>23.7706</f>
        <v>23.770600000000002</v>
      </c>
      <c r="C208">
        <f>25.3</f>
        <v>25.3</v>
      </c>
      <c r="D208">
        <f>202.91</f>
        <v>202.91</v>
      </c>
    </row>
    <row r="209" spans="1:4" x14ac:dyDescent="0.2">
      <c r="A209" s="1">
        <v>44867</v>
      </c>
      <c r="B209">
        <f>24.7005</f>
        <v>24.700500000000002</v>
      </c>
      <c r="C209">
        <f>25.86</f>
        <v>25.86</v>
      </c>
      <c r="D209">
        <f>233.79</f>
        <v>233.79</v>
      </c>
    </row>
    <row r="210" spans="1:4" x14ac:dyDescent="0.2">
      <c r="A210" s="1">
        <v>44866</v>
      </c>
      <c r="B210">
        <f>24.4661</f>
        <v>24.466100000000001</v>
      </c>
      <c r="C210">
        <f>25.81</f>
        <v>25.81</v>
      </c>
      <c r="D210">
        <f>263.36</f>
        <v>263.36</v>
      </c>
    </row>
    <row r="211" spans="1:4" x14ac:dyDescent="0.2">
      <c r="A211" s="1">
        <v>44865</v>
      </c>
      <c r="B211">
        <f>24.8305</f>
        <v>24.830500000000001</v>
      </c>
      <c r="C211">
        <f>25.88</f>
        <v>25.88</v>
      </c>
      <c r="D211">
        <f>193.41</f>
        <v>193.41</v>
      </c>
    </row>
    <row r="212" spans="1:4" x14ac:dyDescent="0.2">
      <c r="A212" s="1">
        <v>44862</v>
      </c>
      <c r="B212">
        <f>24.8904</f>
        <v>24.8904</v>
      </c>
      <c r="C212">
        <f>25.75</f>
        <v>25.75</v>
      </c>
      <c r="D212">
        <f>210.23</f>
        <v>210.23</v>
      </c>
    </row>
    <row r="213" spans="1:4" x14ac:dyDescent="0.2">
      <c r="A213" s="1">
        <v>44861</v>
      </c>
      <c r="B213">
        <f>25.8725</f>
        <v>25.872499999999999</v>
      </c>
      <c r="C213">
        <f>27.39</f>
        <v>27.39</v>
      </c>
      <c r="D213">
        <f>247</f>
        <v>247</v>
      </c>
    </row>
    <row r="214" spans="1:4" x14ac:dyDescent="0.2">
      <c r="A214" s="1">
        <v>44860</v>
      </c>
      <c r="B214">
        <f>26.9479</f>
        <v>26.947900000000001</v>
      </c>
      <c r="C214">
        <f>27.28</f>
        <v>27.28</v>
      </c>
      <c r="D214">
        <f>262.24</f>
        <v>262.24</v>
      </c>
    </row>
    <row r="215" spans="1:4" x14ac:dyDescent="0.2">
      <c r="A215" s="1">
        <v>44859</v>
      </c>
      <c r="B215">
        <f>27.6175</f>
        <v>27.6175</v>
      </c>
      <c r="C215">
        <f>28.46</f>
        <v>28.46</v>
      </c>
      <c r="D215">
        <f>241.66</f>
        <v>241.66</v>
      </c>
    </row>
    <row r="216" spans="1:4" x14ac:dyDescent="0.2">
      <c r="A216" s="1">
        <v>44858</v>
      </c>
      <c r="B216">
        <f>28.6794</f>
        <v>28.679400000000001</v>
      </c>
      <c r="C216">
        <f>29.85</f>
        <v>29.85</v>
      </c>
      <c r="D216">
        <f>213.63</f>
        <v>213.63</v>
      </c>
    </row>
    <row r="217" spans="1:4" x14ac:dyDescent="0.2">
      <c r="A217" s="1">
        <v>44855</v>
      </c>
      <c r="B217">
        <f>27.8325</f>
        <v>27.8325</v>
      </c>
      <c r="C217">
        <f>29.69</f>
        <v>29.69</v>
      </c>
      <c r="D217">
        <f>207.62</f>
        <v>207.62</v>
      </c>
    </row>
    <row r="218" spans="1:4" x14ac:dyDescent="0.2">
      <c r="A218" s="1">
        <v>44854</v>
      </c>
      <c r="B218">
        <f>27.7451</f>
        <v>27.745100000000001</v>
      </c>
      <c r="C218">
        <f>29.98</f>
        <v>29.98</v>
      </c>
      <c r="D218">
        <f>481.18</f>
        <v>481.18</v>
      </c>
    </row>
    <row r="219" spans="1:4" x14ac:dyDescent="0.2">
      <c r="A219" s="1">
        <v>44853</v>
      </c>
      <c r="B219">
        <f>28.302</f>
        <v>28.302</v>
      </c>
      <c r="C219">
        <f>30.76</f>
        <v>30.76</v>
      </c>
      <c r="D219">
        <f>258.85</f>
        <v>258.85000000000002</v>
      </c>
    </row>
    <row r="220" spans="1:4" x14ac:dyDescent="0.2">
      <c r="A220" s="1">
        <v>44852</v>
      </c>
      <c r="B220">
        <f>28.9165</f>
        <v>28.916499999999999</v>
      </c>
      <c r="C220">
        <f>30.5</f>
        <v>30.5</v>
      </c>
      <c r="D220">
        <f>241.26</f>
        <v>241.26</v>
      </c>
    </row>
    <row r="221" spans="1:4" x14ac:dyDescent="0.2">
      <c r="A221" s="1">
        <v>44851</v>
      </c>
      <c r="B221">
        <f>29.2711</f>
        <v>29.271100000000001</v>
      </c>
      <c r="C221">
        <f>31.37</f>
        <v>31.37</v>
      </c>
      <c r="D221">
        <f>243.31</f>
        <v>243.31</v>
      </c>
    </row>
    <row r="222" spans="1:4" x14ac:dyDescent="0.2">
      <c r="A222" s="1">
        <v>44848</v>
      </c>
      <c r="B222">
        <f>29.766</f>
        <v>29.765999999999998</v>
      </c>
      <c r="C222">
        <f>32.02</f>
        <v>32.020000000000003</v>
      </c>
      <c r="D222">
        <f>235.81</f>
        <v>235.81</v>
      </c>
    </row>
    <row r="223" spans="1:4" x14ac:dyDescent="0.2">
      <c r="A223" s="1">
        <v>44847</v>
      </c>
      <c r="B223">
        <f>30.2048</f>
        <v>30.204799999999999</v>
      </c>
      <c r="C223">
        <f>31.94</f>
        <v>31.94</v>
      </c>
      <c r="D223">
        <f>227.94</f>
        <v>227.94</v>
      </c>
    </row>
    <row r="224" spans="1:4" x14ac:dyDescent="0.2">
      <c r="A224" s="1">
        <v>44846</v>
      </c>
      <c r="B224">
        <f>31.8224</f>
        <v>31.822399999999998</v>
      </c>
      <c r="C224">
        <f>33.57</f>
        <v>33.57</v>
      </c>
      <c r="D224">
        <f>213.36</f>
        <v>213.36</v>
      </c>
    </row>
    <row r="225" spans="1:4" x14ac:dyDescent="0.2">
      <c r="A225" s="1">
        <v>44845</v>
      </c>
      <c r="B225">
        <f>32.0131</f>
        <v>32.013100000000001</v>
      </c>
      <c r="C225">
        <f>33.63</f>
        <v>33.630000000000003</v>
      </c>
      <c r="D225">
        <f>209.17</f>
        <v>209.17</v>
      </c>
    </row>
    <row r="226" spans="1:4" x14ac:dyDescent="0.2">
      <c r="A226" s="1">
        <v>44844</v>
      </c>
      <c r="B226">
        <f>31.8717</f>
        <v>31.871700000000001</v>
      </c>
      <c r="C226">
        <f>32.45</f>
        <v>32.450000000000003</v>
      </c>
      <c r="D226">
        <f>184.3</f>
        <v>184.3</v>
      </c>
    </row>
    <row r="227" spans="1:4" x14ac:dyDescent="0.2">
      <c r="A227" s="1">
        <v>44841</v>
      </c>
      <c r="B227">
        <f>29.9234</f>
        <v>29.923400000000001</v>
      </c>
      <c r="C227">
        <f>31.36</f>
        <v>31.36</v>
      </c>
      <c r="D227">
        <f>178.24</f>
        <v>178.24</v>
      </c>
    </row>
    <row r="228" spans="1:4" x14ac:dyDescent="0.2">
      <c r="A228" s="1">
        <v>44840</v>
      </c>
      <c r="B228">
        <f>29.1714</f>
        <v>29.171399999999998</v>
      </c>
      <c r="C228">
        <f>30.52</f>
        <v>30.52</v>
      </c>
      <c r="D228">
        <f>267.05</f>
        <v>267.05</v>
      </c>
    </row>
    <row r="229" spans="1:4" x14ac:dyDescent="0.2">
      <c r="A229" s="1">
        <v>44839</v>
      </c>
      <c r="B229">
        <f>29.8599</f>
        <v>29.8599</v>
      </c>
      <c r="C229">
        <f>28.55</f>
        <v>28.55</v>
      </c>
      <c r="D229">
        <f>202.89</f>
        <v>202.89</v>
      </c>
    </row>
    <row r="230" spans="1:4" x14ac:dyDescent="0.2">
      <c r="A230" s="1">
        <v>44838</v>
      </c>
      <c r="B230">
        <f>29.2679</f>
        <v>29.267900000000001</v>
      </c>
      <c r="C230">
        <f>29.07</f>
        <v>29.07</v>
      </c>
      <c r="D230">
        <f>308.41</f>
        <v>308.41000000000003</v>
      </c>
    </row>
    <row r="231" spans="1:4" x14ac:dyDescent="0.2">
      <c r="A231" s="1">
        <v>44837</v>
      </c>
      <c r="B231">
        <f>30.7147</f>
        <v>30.714700000000001</v>
      </c>
      <c r="C231">
        <f>30.1</f>
        <v>30.1</v>
      </c>
      <c r="D231">
        <f>171.35</f>
        <v>171.35</v>
      </c>
    </row>
    <row r="232" spans="1:4" x14ac:dyDescent="0.2">
      <c r="A232" s="1">
        <v>44834</v>
      </c>
      <c r="B232">
        <f>30.7092</f>
        <v>30.709199999999999</v>
      </c>
      <c r="C232">
        <f>31.62</f>
        <v>31.62</v>
      </c>
      <c r="D232">
        <f>288.56</f>
        <v>288.56</v>
      </c>
    </row>
    <row r="233" spans="1:4" x14ac:dyDescent="0.2">
      <c r="A233" s="1">
        <v>44833</v>
      </c>
      <c r="B233">
        <f>33.0733</f>
        <v>33.073300000000003</v>
      </c>
      <c r="C233">
        <f>31.84</f>
        <v>31.84</v>
      </c>
      <c r="D233">
        <f>288.82</f>
        <v>288.82</v>
      </c>
    </row>
    <row r="234" spans="1:4" x14ac:dyDescent="0.2">
      <c r="A234" s="1">
        <v>44832</v>
      </c>
      <c r="B234">
        <f>31.3435</f>
        <v>31.343499999999999</v>
      </c>
      <c r="C234">
        <f>30.18</f>
        <v>30.18</v>
      </c>
      <c r="D234">
        <f>331.15</f>
        <v>331.15</v>
      </c>
    </row>
    <row r="235" spans="1:4" x14ac:dyDescent="0.2">
      <c r="A235" s="1">
        <v>44831</v>
      </c>
      <c r="B235">
        <f>31.3224</f>
        <v>31.322399999999998</v>
      </c>
      <c r="C235">
        <f>32.6</f>
        <v>32.6</v>
      </c>
      <c r="D235">
        <f>301.49</f>
        <v>301.49</v>
      </c>
    </row>
    <row r="236" spans="1:4" x14ac:dyDescent="0.2">
      <c r="A236" s="1">
        <v>44830</v>
      </c>
      <c r="B236">
        <f>30.7535</f>
        <v>30.753499999999999</v>
      </c>
      <c r="C236">
        <f>32.26</f>
        <v>32.26</v>
      </c>
      <c r="D236">
        <f>251.48</f>
        <v>251.48</v>
      </c>
    </row>
    <row r="237" spans="1:4" x14ac:dyDescent="0.2">
      <c r="A237" s="1">
        <v>44827</v>
      </c>
      <c r="B237">
        <f>29.9959</f>
        <v>29.995899999999999</v>
      </c>
      <c r="C237">
        <f>29.92</f>
        <v>29.92</v>
      </c>
      <c r="D237">
        <f>269.23</f>
        <v>269.23</v>
      </c>
    </row>
    <row r="238" spans="1:4" x14ac:dyDescent="0.2">
      <c r="A238" s="1">
        <v>44826</v>
      </c>
      <c r="B238">
        <f>27.9968</f>
        <v>27.9968</v>
      </c>
      <c r="C238">
        <f>27.35</f>
        <v>27.35</v>
      </c>
      <c r="D238">
        <f>282.01</f>
        <v>282.01</v>
      </c>
    </row>
    <row r="239" spans="1:4" x14ac:dyDescent="0.2">
      <c r="A239" s="1">
        <v>44825</v>
      </c>
      <c r="B239">
        <f>27.2697</f>
        <v>27.2697</v>
      </c>
      <c r="C239">
        <f>27.99</f>
        <v>27.99</v>
      </c>
      <c r="D239">
        <f>231.98</f>
        <v>231.98</v>
      </c>
    </row>
    <row r="240" spans="1:4" x14ac:dyDescent="0.2">
      <c r="A240" s="1">
        <v>44824</v>
      </c>
      <c r="B240">
        <f>27.1557</f>
        <v>27.1557</v>
      </c>
      <c r="C240">
        <f>27.16</f>
        <v>27.16</v>
      </c>
      <c r="D240">
        <f>223.51</f>
        <v>223.51</v>
      </c>
    </row>
    <row r="241" spans="1:4" x14ac:dyDescent="0.2">
      <c r="A241" s="1">
        <v>44823</v>
      </c>
      <c r="B241">
        <f>26.1867</f>
        <v>26.186699999999998</v>
      </c>
      <c r="C241">
        <f>25.76</f>
        <v>25.76</v>
      </c>
      <c r="D241">
        <f>183.96</f>
        <v>183.96</v>
      </c>
    </row>
    <row r="242" spans="1:4" x14ac:dyDescent="0.2">
      <c r="A242" s="1">
        <v>44820</v>
      </c>
      <c r="B242">
        <f>26.4308</f>
        <v>26.430800000000001</v>
      </c>
      <c r="C242">
        <f>26.3</f>
        <v>26.3</v>
      </c>
      <c r="D242">
        <f>573.95</f>
        <v>573.95000000000005</v>
      </c>
    </row>
    <row r="243" spans="1:4" x14ac:dyDescent="0.2">
      <c r="A243" s="1">
        <v>44819</v>
      </c>
      <c r="B243">
        <f>25.3479</f>
        <v>25.347899999999999</v>
      </c>
      <c r="C243">
        <f>26.27</f>
        <v>26.27</v>
      </c>
      <c r="D243">
        <f>419.69</f>
        <v>419.69</v>
      </c>
    </row>
    <row r="244" spans="1:4" x14ac:dyDescent="0.2">
      <c r="A244" s="1">
        <v>44818</v>
      </c>
      <c r="B244">
        <f>26.2438</f>
        <v>26.2438</v>
      </c>
      <c r="C244">
        <f>26.16</f>
        <v>26.16</v>
      </c>
      <c r="D244">
        <f>207.15</f>
        <v>207.15</v>
      </c>
    </row>
    <row r="245" spans="1:4" x14ac:dyDescent="0.2">
      <c r="A245" s="1">
        <v>44817</v>
      </c>
      <c r="B245">
        <f>26.041</f>
        <v>26.041</v>
      </c>
      <c r="C245">
        <f>27.27</f>
        <v>27.27</v>
      </c>
      <c r="D245">
        <f>281.8</f>
        <v>281.8</v>
      </c>
    </row>
    <row r="246" spans="1:4" x14ac:dyDescent="0.2">
      <c r="A246" s="1">
        <v>44816</v>
      </c>
      <c r="B246">
        <f>24.6249</f>
        <v>24.6249</v>
      </c>
      <c r="C246">
        <f>23.87</f>
        <v>23.87</v>
      </c>
      <c r="D246">
        <f>262.65</f>
        <v>262.64999999999998</v>
      </c>
    </row>
    <row r="247" spans="1:4" x14ac:dyDescent="0.2">
      <c r="A247" s="1">
        <v>44813</v>
      </c>
      <c r="B247">
        <f>24.8838</f>
        <v>24.883800000000001</v>
      </c>
      <c r="C247">
        <f>22.79</f>
        <v>22.79</v>
      </c>
      <c r="D247">
        <f>285.9</f>
        <v>285.89999999999998</v>
      </c>
    </row>
    <row r="248" spans="1:4" x14ac:dyDescent="0.2">
      <c r="A248" s="1">
        <v>44812</v>
      </c>
      <c r="B248">
        <f>25.9173</f>
        <v>25.917300000000001</v>
      </c>
      <c r="C248">
        <f>23.61</f>
        <v>23.61</v>
      </c>
      <c r="D248">
        <f>251.83</f>
        <v>251.83</v>
      </c>
    </row>
    <row r="249" spans="1:4" x14ac:dyDescent="0.2">
      <c r="A249" s="1">
        <v>44811</v>
      </c>
      <c r="B249">
        <f>27.1301</f>
        <v>27.130099999999999</v>
      </c>
      <c r="C249">
        <f>24.64</f>
        <v>24.64</v>
      </c>
      <c r="D249">
        <f>317.25</f>
        <v>317.25</v>
      </c>
    </row>
    <row r="250" spans="1:4" x14ac:dyDescent="0.2">
      <c r="A250" s="1">
        <v>44810</v>
      </c>
      <c r="B250">
        <f>27.3521</f>
        <v>27.3521</v>
      </c>
      <c r="C250">
        <f>26.91</f>
        <v>26.91</v>
      </c>
      <c r="D250">
        <f>270.99</f>
        <v>270.99</v>
      </c>
    </row>
    <row r="251" spans="1:4" x14ac:dyDescent="0.2">
      <c r="A251" s="1">
        <v>44809</v>
      </c>
      <c r="B251">
        <f>27.7853</f>
        <v>27.785299999999999</v>
      </c>
      <c r="C251">
        <f>25.99</f>
        <v>25.99</v>
      </c>
      <c r="D251">
        <f>220.33</f>
        <v>220.33</v>
      </c>
    </row>
    <row r="252" spans="1:4" x14ac:dyDescent="0.2">
      <c r="A252" s="1">
        <v>44806</v>
      </c>
      <c r="B252">
        <f>25.5031</f>
        <v>25.5031</v>
      </c>
      <c r="C252">
        <f>25.47</f>
        <v>25.47</v>
      </c>
      <c r="D252">
        <f>219.8</f>
        <v>219.8</v>
      </c>
    </row>
    <row r="253" spans="1:4" x14ac:dyDescent="0.2">
      <c r="A253" s="1">
        <v>44805</v>
      </c>
      <c r="B253">
        <f>29.1451</f>
        <v>29.145099999999999</v>
      </c>
      <c r="C253">
        <f>25.56</f>
        <v>25.56</v>
      </c>
      <c r="D253">
        <f>394.71</f>
        <v>394.71</v>
      </c>
    </row>
    <row r="254" spans="1:4" x14ac:dyDescent="0.2">
      <c r="A254" s="1">
        <v>44804</v>
      </c>
      <c r="B254">
        <f>27.9451</f>
        <v>27.9451</v>
      </c>
      <c r="C254">
        <f>25.87</f>
        <v>25.87</v>
      </c>
      <c r="D254">
        <f>318.4</f>
        <v>318.39999999999998</v>
      </c>
    </row>
    <row r="255" spans="1:4" x14ac:dyDescent="0.2">
      <c r="A255" s="1">
        <v>44803</v>
      </c>
      <c r="B255">
        <f>28.3703</f>
        <v>28.3703</v>
      </c>
      <c r="C255">
        <f>26.21</f>
        <v>26.21</v>
      </c>
      <c r="D255">
        <f>254.94</f>
        <v>254.94</v>
      </c>
    </row>
    <row r="256" spans="1:4" x14ac:dyDescent="0.2">
      <c r="A256" s="1">
        <v>44802</v>
      </c>
      <c r="B256">
        <f>28.4642</f>
        <v>28.464200000000002</v>
      </c>
      <c r="C256">
        <f>26.21</f>
        <v>26.21</v>
      </c>
      <c r="D256">
        <f>153.86</f>
        <v>153.86000000000001</v>
      </c>
    </row>
    <row r="257" spans="1:4" x14ac:dyDescent="0.2">
      <c r="A257" s="1">
        <v>44799</v>
      </c>
      <c r="B257">
        <f>26.6601</f>
        <v>26.6601</v>
      </c>
      <c r="C257">
        <f>25.56</f>
        <v>25.56</v>
      </c>
      <c r="D257">
        <f>180.29</f>
        <v>180.29</v>
      </c>
    </row>
    <row r="258" spans="1:4" x14ac:dyDescent="0.2">
      <c r="A258" s="1">
        <v>44798</v>
      </c>
      <c r="B258">
        <f>24.719</f>
        <v>24.719000000000001</v>
      </c>
      <c r="C258">
        <f>21.78</f>
        <v>21.78</v>
      </c>
      <c r="D258">
        <f>200.83</f>
        <v>200.83</v>
      </c>
    </row>
    <row r="259" spans="1:4" x14ac:dyDescent="0.2">
      <c r="A259" s="1">
        <v>44797</v>
      </c>
      <c r="B259">
        <f>25.4513</f>
        <v>25.4513</v>
      </c>
      <c r="C259">
        <f>22.82</f>
        <v>22.82</v>
      </c>
      <c r="D259">
        <f>179.47</f>
        <v>179.47</v>
      </c>
    </row>
    <row r="260" spans="1:4" x14ac:dyDescent="0.2">
      <c r="A260" s="1">
        <v>44796</v>
      </c>
      <c r="B260">
        <f>26.9246</f>
        <v>26.924600000000002</v>
      </c>
      <c r="C260">
        <f>24.11</f>
        <v>24.11</v>
      </c>
      <c r="D260">
        <f>186.19</f>
        <v>186.19</v>
      </c>
    </row>
    <row r="261" spans="1:4" x14ac:dyDescent="0.2">
      <c r="A261" s="1">
        <v>44795</v>
      </c>
      <c r="B261">
        <f>27.3682</f>
        <v>27.368200000000002</v>
      </c>
      <c r="C261">
        <f>23.8</f>
        <v>23.8</v>
      </c>
      <c r="D261">
        <f>196.11</f>
        <v>196.11</v>
      </c>
    </row>
    <row r="262" spans="1:4" x14ac:dyDescent="0.2">
      <c r="A262" s="1">
        <v>44792</v>
      </c>
      <c r="B262">
        <f>24.5809</f>
        <v>24.5809</v>
      </c>
      <c r="C262">
        <f>20.6</f>
        <v>20.6</v>
      </c>
      <c r="D262">
        <f>224.2</f>
        <v>224.2</v>
      </c>
    </row>
    <row r="263" spans="1:4" x14ac:dyDescent="0.2">
      <c r="A263" s="1">
        <v>44791</v>
      </c>
      <c r="B263">
        <f>22.667</f>
        <v>22.667000000000002</v>
      </c>
      <c r="C263">
        <f>19.56</f>
        <v>19.559999999999999</v>
      </c>
      <c r="D263">
        <f>186.07</f>
        <v>186.07</v>
      </c>
    </row>
    <row r="264" spans="1:4" x14ac:dyDescent="0.2">
      <c r="A264" s="1">
        <v>44790</v>
      </c>
      <c r="B264">
        <f>22.7453</f>
        <v>22.7453</v>
      </c>
      <c r="C264">
        <f>19.9</f>
        <v>19.899999999999999</v>
      </c>
      <c r="D264">
        <f>198.34</f>
        <v>198.34</v>
      </c>
    </row>
    <row r="265" spans="1:4" x14ac:dyDescent="0.2">
      <c r="A265" s="1">
        <v>44789</v>
      </c>
      <c r="B265">
        <f>21.3365</f>
        <v>21.336500000000001</v>
      </c>
      <c r="C265">
        <f>19.69</f>
        <v>19.690000000000001</v>
      </c>
      <c r="D265">
        <f>217.19</f>
        <v>217.19</v>
      </c>
    </row>
    <row r="266" spans="1:4" x14ac:dyDescent="0.2">
      <c r="A266" s="1">
        <v>44788</v>
      </c>
      <c r="B266">
        <f>21.5858</f>
        <v>21.585799999999999</v>
      </c>
      <c r="C266">
        <f>19.95</f>
        <v>19.95</v>
      </c>
      <c r="D266">
        <f>220.11</f>
        <v>220.11</v>
      </c>
    </row>
    <row r="267" spans="1:4" x14ac:dyDescent="0.2">
      <c r="A267" s="1">
        <v>44785</v>
      </c>
      <c r="B267">
        <f>21.2132</f>
        <v>21.213200000000001</v>
      </c>
      <c r="C267">
        <f>19.53</f>
        <v>19.53</v>
      </c>
      <c r="D267">
        <f>190.22</f>
        <v>190.22</v>
      </c>
    </row>
    <row r="268" spans="1:4" x14ac:dyDescent="0.2">
      <c r="A268" s="1">
        <v>44784</v>
      </c>
      <c r="B268">
        <f>21.6517</f>
        <v>21.651700000000002</v>
      </c>
      <c r="C268">
        <f>20.2</f>
        <v>20.2</v>
      </c>
      <c r="D268">
        <f>251.68</f>
        <v>251.68</v>
      </c>
    </row>
    <row r="269" spans="1:4" x14ac:dyDescent="0.2">
      <c r="A269" s="1">
        <v>44783</v>
      </c>
      <c r="B269">
        <f>21.7894</f>
        <v>21.789400000000001</v>
      </c>
      <c r="C269">
        <f>19.74</f>
        <v>19.739999999999998</v>
      </c>
      <c r="D269">
        <f>221.74</f>
        <v>221.74</v>
      </c>
    </row>
    <row r="270" spans="1:4" x14ac:dyDescent="0.2">
      <c r="A270" s="1">
        <v>44782</v>
      </c>
      <c r="B270">
        <f>23.284</f>
        <v>23.283999999999999</v>
      </c>
      <c r="C270">
        <f>21.77</f>
        <v>21.77</v>
      </c>
      <c r="D270" t="e">
        <f>NA()</f>
        <v>#N/A</v>
      </c>
    </row>
    <row r="271" spans="1:4" x14ac:dyDescent="0.2">
      <c r="A271" s="1">
        <v>44781</v>
      </c>
      <c r="B271">
        <f>22.0847</f>
        <v>22.084700000000002</v>
      </c>
      <c r="C271">
        <f>21.29</f>
        <v>21.29</v>
      </c>
      <c r="D271">
        <f>136.66</f>
        <v>136.66</v>
      </c>
    </row>
    <row r="272" spans="1:4" x14ac:dyDescent="0.2">
      <c r="A272" s="1">
        <v>44778</v>
      </c>
      <c r="B272">
        <f>22.8536</f>
        <v>22.8536</v>
      </c>
      <c r="C272">
        <f>21.15</f>
        <v>21.15</v>
      </c>
      <c r="D272">
        <f>189.65</f>
        <v>189.65</v>
      </c>
    </row>
    <row r="273" spans="1:4" x14ac:dyDescent="0.2">
      <c r="A273" s="1">
        <v>44777</v>
      </c>
      <c r="B273">
        <f>22.4519</f>
        <v>22.451899999999998</v>
      </c>
      <c r="C273">
        <f>21.44</f>
        <v>21.44</v>
      </c>
      <c r="D273">
        <f>233.51</f>
        <v>233.51</v>
      </c>
    </row>
    <row r="274" spans="1:4" x14ac:dyDescent="0.2">
      <c r="A274" s="1">
        <v>44776</v>
      </c>
      <c r="B274">
        <f>22.3417</f>
        <v>22.341699999999999</v>
      </c>
      <c r="C274">
        <f>21.95</f>
        <v>21.95</v>
      </c>
      <c r="D274">
        <f>201.38</f>
        <v>201.38</v>
      </c>
    </row>
    <row r="275" spans="1:4" x14ac:dyDescent="0.2">
      <c r="A275" s="1">
        <v>44775</v>
      </c>
      <c r="B275">
        <f>23.7725</f>
        <v>23.772500000000001</v>
      </c>
      <c r="C275">
        <f>23.93</f>
        <v>23.93</v>
      </c>
      <c r="D275">
        <f>257.42</f>
        <v>257.42</v>
      </c>
    </row>
    <row r="276" spans="1:4" x14ac:dyDescent="0.2">
      <c r="A276" s="1">
        <v>44774</v>
      </c>
      <c r="B276">
        <f>22.9625</f>
        <v>22.962499999999999</v>
      </c>
      <c r="C276">
        <f>22.84</f>
        <v>22.84</v>
      </c>
      <c r="D276">
        <f>236.88</f>
        <v>236.88</v>
      </c>
    </row>
    <row r="277" spans="1:4" x14ac:dyDescent="0.2">
      <c r="A277" s="1">
        <v>44771</v>
      </c>
      <c r="B277">
        <f>22.3049</f>
        <v>22.3049</v>
      </c>
      <c r="C277">
        <f>21.33</f>
        <v>21.33</v>
      </c>
      <c r="D277">
        <f>301.84</f>
        <v>301.83999999999997</v>
      </c>
    </row>
    <row r="278" spans="1:4" x14ac:dyDescent="0.2">
      <c r="A278" s="1">
        <v>44770</v>
      </c>
      <c r="B278">
        <f>22.5542</f>
        <v>22.554200000000002</v>
      </c>
      <c r="C278">
        <f>22.33</f>
        <v>22.33</v>
      </c>
      <c r="D278">
        <f>252.88</f>
        <v>252.88</v>
      </c>
    </row>
    <row r="279" spans="1:4" x14ac:dyDescent="0.2">
      <c r="A279" s="1">
        <v>44769</v>
      </c>
      <c r="B279">
        <f>24.0433</f>
        <v>24.043299999999999</v>
      </c>
      <c r="C279">
        <f>23.24</f>
        <v>23.24</v>
      </c>
      <c r="D279">
        <f>243.52</f>
        <v>243.52</v>
      </c>
    </row>
    <row r="280" spans="1:4" x14ac:dyDescent="0.2">
      <c r="A280" s="1">
        <v>44768</v>
      </c>
      <c r="B280">
        <f>25.5671</f>
        <v>25.5671</v>
      </c>
      <c r="C280">
        <f>24.69</f>
        <v>24.69</v>
      </c>
      <c r="D280">
        <f>240.37</f>
        <v>240.37</v>
      </c>
    </row>
    <row r="281" spans="1:4" x14ac:dyDescent="0.2">
      <c r="A281" s="1">
        <v>44767</v>
      </c>
      <c r="B281">
        <f>24.5311</f>
        <v>24.531099999999999</v>
      </c>
      <c r="C281">
        <f>23.36</f>
        <v>23.36</v>
      </c>
      <c r="D281">
        <f>242.03</f>
        <v>242.03</v>
      </c>
    </row>
    <row r="282" spans="1:4" x14ac:dyDescent="0.2">
      <c r="A282" s="1">
        <v>44764</v>
      </c>
      <c r="B282">
        <f>24.0588</f>
        <v>24.058800000000002</v>
      </c>
      <c r="C282">
        <f>23.03</f>
        <v>23.03</v>
      </c>
      <c r="D282">
        <f>243.91</f>
        <v>243.91</v>
      </c>
    </row>
    <row r="283" spans="1:4" x14ac:dyDescent="0.2">
      <c r="A283" s="1">
        <v>44763</v>
      </c>
      <c r="B283">
        <f>25.5535</f>
        <v>25.5535</v>
      </c>
      <c r="C283">
        <f>23.11</f>
        <v>23.11</v>
      </c>
      <c r="D283">
        <f>209.85</f>
        <v>209.85</v>
      </c>
    </row>
    <row r="284" spans="1:4" x14ac:dyDescent="0.2">
      <c r="A284" s="1">
        <v>44762</v>
      </c>
      <c r="B284">
        <f>27.4017</f>
        <v>27.401700000000002</v>
      </c>
      <c r="C284">
        <f>23.88</f>
        <v>23.88</v>
      </c>
      <c r="D284">
        <f>209.21</f>
        <v>209.21</v>
      </c>
    </row>
    <row r="285" spans="1:4" x14ac:dyDescent="0.2">
      <c r="A285" s="1">
        <v>44761</v>
      </c>
      <c r="B285">
        <f>26.7194</f>
        <v>26.7194</v>
      </c>
      <c r="C285">
        <f>24.5</f>
        <v>24.5</v>
      </c>
      <c r="D285">
        <f>234</f>
        <v>234</v>
      </c>
    </row>
    <row r="286" spans="1:4" x14ac:dyDescent="0.2">
      <c r="A286" s="1">
        <v>44760</v>
      </c>
      <c r="B286">
        <f>29.0637</f>
        <v>29.063700000000001</v>
      </c>
      <c r="C286">
        <f>25.3</f>
        <v>25.3</v>
      </c>
      <c r="D286">
        <f>257.38</f>
        <v>257.38</v>
      </c>
    </row>
    <row r="287" spans="1:4" x14ac:dyDescent="0.2">
      <c r="A287" s="1">
        <v>44757</v>
      </c>
      <c r="B287">
        <f>28.8183</f>
        <v>28.818300000000001</v>
      </c>
      <c r="C287">
        <f>24.23</f>
        <v>24.23</v>
      </c>
      <c r="D287">
        <f>232.28</f>
        <v>232.28</v>
      </c>
    </row>
    <row r="288" spans="1:4" x14ac:dyDescent="0.2">
      <c r="A288" s="1">
        <v>44756</v>
      </c>
      <c r="B288">
        <f>31.8165</f>
        <v>31.816500000000001</v>
      </c>
      <c r="C288">
        <f>26.4</f>
        <v>26.4</v>
      </c>
      <c r="D288">
        <f>229.37</f>
        <v>229.37</v>
      </c>
    </row>
    <row r="289" spans="1:4" x14ac:dyDescent="0.2">
      <c r="A289" s="1">
        <v>44755</v>
      </c>
      <c r="B289">
        <f>29.8522</f>
        <v>29.8522</v>
      </c>
      <c r="C289">
        <f>26.82</f>
        <v>26.82</v>
      </c>
      <c r="D289">
        <f>259.5</f>
        <v>259.5</v>
      </c>
    </row>
    <row r="290" spans="1:4" x14ac:dyDescent="0.2">
      <c r="A290" s="1">
        <v>44754</v>
      </c>
      <c r="B290">
        <f>29.2615</f>
        <v>29.261500000000002</v>
      </c>
      <c r="C290">
        <f>27.29</f>
        <v>27.29</v>
      </c>
      <c r="D290">
        <f>187.78</f>
        <v>187.78</v>
      </c>
    </row>
    <row r="291" spans="1:4" x14ac:dyDescent="0.2">
      <c r="A291" s="1">
        <v>44753</v>
      </c>
      <c r="B291">
        <f>28.8668</f>
        <v>28.866800000000001</v>
      </c>
      <c r="C291">
        <f>26.17</f>
        <v>26.17</v>
      </c>
      <c r="D291">
        <f>170.89</f>
        <v>170.89</v>
      </c>
    </row>
    <row r="292" spans="1:4" x14ac:dyDescent="0.2">
      <c r="A292" s="1">
        <v>44750</v>
      </c>
      <c r="B292">
        <f>27.5514</f>
        <v>27.551400000000001</v>
      </c>
      <c r="C292">
        <f>24.64</f>
        <v>24.64</v>
      </c>
      <c r="D292">
        <f>260.7</f>
        <v>260.7</v>
      </c>
    </row>
    <row r="293" spans="1:4" x14ac:dyDescent="0.2">
      <c r="A293" s="1">
        <v>44749</v>
      </c>
      <c r="B293">
        <f>28.317</f>
        <v>28.317</v>
      </c>
      <c r="C293">
        <f>26.08</f>
        <v>26.08</v>
      </c>
      <c r="D293">
        <f>272.49</f>
        <v>272.49</v>
      </c>
    </row>
    <row r="294" spans="1:4" x14ac:dyDescent="0.2">
      <c r="A294" s="1">
        <v>44748</v>
      </c>
      <c r="B294">
        <f>30.108</f>
        <v>30.108000000000001</v>
      </c>
      <c r="C294">
        <f>26.73</f>
        <v>26.73</v>
      </c>
      <c r="D294">
        <f>207</f>
        <v>207</v>
      </c>
    </row>
    <row r="295" spans="1:4" x14ac:dyDescent="0.2">
      <c r="A295" s="1">
        <v>44747</v>
      </c>
      <c r="B295">
        <f>31.604</f>
        <v>31.603999999999999</v>
      </c>
      <c r="C295">
        <f>27.54</f>
        <v>27.54</v>
      </c>
      <c r="D295">
        <f>272.39</f>
        <v>272.39</v>
      </c>
    </row>
    <row r="296" spans="1:4" x14ac:dyDescent="0.2">
      <c r="A296" s="1">
        <v>44746</v>
      </c>
      <c r="B296">
        <f>28.3185</f>
        <v>28.3185</v>
      </c>
      <c r="C296">
        <f>27.53</f>
        <v>27.53</v>
      </c>
      <c r="D296">
        <f>177.6</f>
        <v>177.6</v>
      </c>
    </row>
    <row r="297" spans="1:4" x14ac:dyDescent="0.2">
      <c r="A297" s="1">
        <v>44743</v>
      </c>
      <c r="B297">
        <f>28.7616</f>
        <v>28.761600000000001</v>
      </c>
      <c r="C297">
        <f>26.7</f>
        <v>26.7</v>
      </c>
      <c r="D297">
        <f>199.51</f>
        <v>199.51</v>
      </c>
    </row>
    <row r="298" spans="1:4" x14ac:dyDescent="0.2">
      <c r="A298" s="1">
        <v>44742</v>
      </c>
      <c r="B298">
        <f>29.7804</f>
        <v>29.7804</v>
      </c>
      <c r="C298">
        <f>28.71</f>
        <v>28.71</v>
      </c>
      <c r="D298">
        <f>302.68</f>
        <v>302.68</v>
      </c>
    </row>
    <row r="299" spans="1:4" x14ac:dyDescent="0.2">
      <c r="A299" s="1">
        <v>44741</v>
      </c>
      <c r="B299">
        <f>28.1127</f>
        <v>28.1127</v>
      </c>
      <c r="C299">
        <f>28.16</f>
        <v>28.16</v>
      </c>
      <c r="D299">
        <f>186.82</f>
        <v>186.82</v>
      </c>
    </row>
    <row r="300" spans="1:4" x14ac:dyDescent="0.2">
      <c r="A300" s="1">
        <v>44740</v>
      </c>
      <c r="B300">
        <f>26.6834</f>
        <v>26.683399999999999</v>
      </c>
      <c r="C300">
        <f>28.36</f>
        <v>28.36</v>
      </c>
      <c r="D300">
        <f>199.47</f>
        <v>199.47</v>
      </c>
    </row>
    <row r="301" spans="1:4" x14ac:dyDescent="0.2">
      <c r="A301" s="1">
        <v>44739</v>
      </c>
      <c r="B301">
        <f>27.0179</f>
        <v>27.017900000000001</v>
      </c>
      <c r="C301">
        <f>26.95</f>
        <v>26.95</v>
      </c>
      <c r="D301">
        <f>217.7</f>
        <v>217.7</v>
      </c>
    </row>
    <row r="302" spans="1:4" x14ac:dyDescent="0.2">
      <c r="A302" s="1">
        <v>44736</v>
      </c>
      <c r="B302">
        <f>27.7689</f>
        <v>27.768899999999999</v>
      </c>
      <c r="C302">
        <f>27.23</f>
        <v>27.23</v>
      </c>
      <c r="D302">
        <f>213.91</f>
        <v>213.91</v>
      </c>
    </row>
    <row r="303" spans="1:4" x14ac:dyDescent="0.2">
      <c r="A303" s="1">
        <v>44735</v>
      </c>
      <c r="B303">
        <f>29.209</f>
        <v>29.209</v>
      </c>
      <c r="C303">
        <f>29.05</f>
        <v>29.05</v>
      </c>
      <c r="D303">
        <f>220.11</f>
        <v>220.11</v>
      </c>
    </row>
    <row r="304" spans="1:4" x14ac:dyDescent="0.2">
      <c r="A304" s="1">
        <v>44734</v>
      </c>
      <c r="B304">
        <f>28.6815</f>
        <v>28.6815</v>
      </c>
      <c r="C304">
        <f>28.95</f>
        <v>28.95</v>
      </c>
      <c r="D304">
        <f>190.39</f>
        <v>190.39</v>
      </c>
    </row>
    <row r="305" spans="1:4" x14ac:dyDescent="0.2">
      <c r="A305" s="1">
        <v>44733</v>
      </c>
      <c r="B305">
        <f>28.1129</f>
        <v>28.1129</v>
      </c>
      <c r="C305">
        <f>30.19</f>
        <v>30.19</v>
      </c>
      <c r="D305">
        <f>227.07</f>
        <v>227.07</v>
      </c>
    </row>
    <row r="306" spans="1:4" x14ac:dyDescent="0.2">
      <c r="A306" s="1">
        <v>44732</v>
      </c>
      <c r="B306">
        <f>28.5896</f>
        <v>28.589600000000001</v>
      </c>
      <c r="C306">
        <f>31.03</f>
        <v>31.03</v>
      </c>
      <c r="D306">
        <f>182.19</f>
        <v>182.19</v>
      </c>
    </row>
    <row r="307" spans="1:4" x14ac:dyDescent="0.2">
      <c r="A307" s="1">
        <v>44729</v>
      </c>
      <c r="B307">
        <f>30.893</f>
        <v>30.893000000000001</v>
      </c>
      <c r="C307">
        <f>31.13</f>
        <v>31.13</v>
      </c>
      <c r="D307">
        <f>522.4</f>
        <v>522.4</v>
      </c>
    </row>
    <row r="308" spans="1:4" x14ac:dyDescent="0.2">
      <c r="A308" s="1">
        <v>44728</v>
      </c>
      <c r="B308">
        <f>32.5946</f>
        <v>32.5946</v>
      </c>
      <c r="C308">
        <f>32.95</f>
        <v>32.950000000000003</v>
      </c>
      <c r="D308" t="e">
        <f>NA()</f>
        <v>#N/A</v>
      </c>
    </row>
    <row r="309" spans="1:4" x14ac:dyDescent="0.2">
      <c r="A309" s="1">
        <v>44727</v>
      </c>
      <c r="B309">
        <f>30.0721</f>
        <v>30.072099999999999</v>
      </c>
      <c r="C309">
        <f>29.62</f>
        <v>29.62</v>
      </c>
      <c r="D309">
        <f>615.97</f>
        <v>615.97</v>
      </c>
    </row>
    <row r="310" spans="1:4" x14ac:dyDescent="0.2">
      <c r="A310" s="1">
        <v>44726</v>
      </c>
      <c r="B310">
        <f>31.5667</f>
        <v>31.566700000000001</v>
      </c>
      <c r="C310">
        <f>32.69</f>
        <v>32.69</v>
      </c>
      <c r="D310">
        <f>279.19</f>
        <v>279.19</v>
      </c>
    </row>
    <row r="311" spans="1:4" x14ac:dyDescent="0.2">
      <c r="A311" s="1">
        <v>44725</v>
      </c>
      <c r="B311">
        <f>31.8085</f>
        <v>31.808499999999999</v>
      </c>
      <c r="C311">
        <f>34.02</f>
        <v>34.020000000000003</v>
      </c>
      <c r="D311">
        <f>284.61</f>
        <v>284.61</v>
      </c>
    </row>
    <row r="312" spans="1:4" x14ac:dyDescent="0.2">
      <c r="A312" s="1">
        <v>44722</v>
      </c>
      <c r="B312">
        <f>27.6629</f>
        <v>27.6629</v>
      </c>
      <c r="C312">
        <f>27.75</f>
        <v>27.75</v>
      </c>
      <c r="D312">
        <f>290.15</f>
        <v>290.14999999999998</v>
      </c>
    </row>
    <row r="313" spans="1:4" x14ac:dyDescent="0.2">
      <c r="A313" s="1">
        <v>44721</v>
      </c>
      <c r="B313">
        <f>23.9731</f>
        <v>23.973099999999999</v>
      </c>
      <c r="C313">
        <f>26.09</f>
        <v>26.09</v>
      </c>
      <c r="D313">
        <f>241.95</f>
        <v>241.95</v>
      </c>
    </row>
    <row r="314" spans="1:4" x14ac:dyDescent="0.2">
      <c r="A314" s="1">
        <v>44720</v>
      </c>
      <c r="B314">
        <f>23.1306</f>
        <v>23.130600000000001</v>
      </c>
      <c r="C314">
        <f>23.96</f>
        <v>23.96</v>
      </c>
      <c r="D314">
        <f>235.87</f>
        <v>235.87</v>
      </c>
    </row>
    <row r="315" spans="1:4" x14ac:dyDescent="0.2">
      <c r="A315" s="1">
        <v>44719</v>
      </c>
      <c r="B315">
        <f>23.5931</f>
        <v>23.5931</v>
      </c>
      <c r="C315">
        <f>24.02</f>
        <v>24.02</v>
      </c>
      <c r="D315">
        <f>216.95</f>
        <v>216.95</v>
      </c>
    </row>
    <row r="316" spans="1:4" x14ac:dyDescent="0.2">
      <c r="A316" s="1">
        <v>44718</v>
      </c>
      <c r="B316">
        <f>22.97</f>
        <v>22.97</v>
      </c>
      <c r="C316">
        <f>25.07</f>
        <v>25.07</v>
      </c>
      <c r="D316">
        <f>157.68</f>
        <v>157.68</v>
      </c>
    </row>
    <row r="317" spans="1:4" x14ac:dyDescent="0.2">
      <c r="A317" s="1">
        <v>44715</v>
      </c>
      <c r="B317">
        <f>23.3949</f>
        <v>23.3949</v>
      </c>
      <c r="C317">
        <f>24.79</f>
        <v>24.79</v>
      </c>
      <c r="D317">
        <f>164.4</f>
        <v>164.4</v>
      </c>
    </row>
    <row r="318" spans="1:4" x14ac:dyDescent="0.2">
      <c r="A318" s="1">
        <v>44714</v>
      </c>
      <c r="B318">
        <f>23.3885</f>
        <v>23.388500000000001</v>
      </c>
      <c r="C318">
        <f>24.72</f>
        <v>24.72</v>
      </c>
      <c r="D318">
        <f>239.95</f>
        <v>239.95</v>
      </c>
    </row>
    <row r="319" spans="1:4" x14ac:dyDescent="0.2">
      <c r="A319" s="1">
        <v>44713</v>
      </c>
      <c r="B319">
        <f>25.4388</f>
        <v>25.438800000000001</v>
      </c>
      <c r="C319">
        <f>25.69</f>
        <v>25.69</v>
      </c>
      <c r="D319">
        <f>266.85</f>
        <v>266.85000000000002</v>
      </c>
    </row>
    <row r="320" spans="1:4" x14ac:dyDescent="0.2">
      <c r="A320" s="1">
        <v>44712</v>
      </c>
      <c r="B320">
        <f>25.249</f>
        <v>25.248999999999999</v>
      </c>
      <c r="C320">
        <f>26.19</f>
        <v>26.19</v>
      </c>
      <c r="D320">
        <f>502.64</f>
        <v>502.64</v>
      </c>
    </row>
    <row r="321" spans="1:4" x14ac:dyDescent="0.2">
      <c r="A321" s="1">
        <v>44711</v>
      </c>
      <c r="B321">
        <f>23.726</f>
        <v>23.725999999999999</v>
      </c>
      <c r="C321">
        <f>26.54</f>
        <v>26.54</v>
      </c>
      <c r="D321">
        <f>258.51</f>
        <v>258.51</v>
      </c>
    </row>
    <row r="322" spans="1:4" x14ac:dyDescent="0.2">
      <c r="A322" s="1">
        <v>44708</v>
      </c>
      <c r="B322">
        <f>23.8505</f>
        <v>23.8505</v>
      </c>
      <c r="C322">
        <f>25.72</f>
        <v>25.72</v>
      </c>
      <c r="D322">
        <f>249.06</f>
        <v>249.06</v>
      </c>
    </row>
    <row r="323" spans="1:4" x14ac:dyDescent="0.2">
      <c r="A323" s="1">
        <v>44707</v>
      </c>
      <c r="B323">
        <f>25.6642</f>
        <v>25.664200000000001</v>
      </c>
      <c r="C323">
        <f>27.5</f>
        <v>27.5</v>
      </c>
      <c r="D323">
        <f>276.64</f>
        <v>276.64</v>
      </c>
    </row>
    <row r="324" spans="1:4" x14ac:dyDescent="0.2">
      <c r="A324" s="1">
        <v>44706</v>
      </c>
      <c r="B324">
        <f>27.4222</f>
        <v>27.4222</v>
      </c>
      <c r="C324">
        <f>28.37</f>
        <v>28.37</v>
      </c>
      <c r="D324">
        <f>294.23</f>
        <v>294.23</v>
      </c>
    </row>
    <row r="325" spans="1:4" x14ac:dyDescent="0.2">
      <c r="A325" s="1">
        <v>44705</v>
      </c>
      <c r="B325">
        <f>28.6123</f>
        <v>28.612300000000001</v>
      </c>
      <c r="C325">
        <f>29.45</f>
        <v>29.45</v>
      </c>
      <c r="D325">
        <f>214.23</f>
        <v>214.23</v>
      </c>
    </row>
    <row r="326" spans="1:4" x14ac:dyDescent="0.2">
      <c r="A326" s="1">
        <v>44704</v>
      </c>
      <c r="B326">
        <f>27.5784</f>
        <v>27.578399999999998</v>
      </c>
      <c r="C326">
        <f>28.48</f>
        <v>28.48</v>
      </c>
      <c r="D326">
        <f>210.57</f>
        <v>210.57</v>
      </c>
    </row>
    <row r="327" spans="1:4" x14ac:dyDescent="0.2">
      <c r="A327" s="1">
        <v>44701</v>
      </c>
      <c r="B327">
        <f>28.6575</f>
        <v>28.657499999999999</v>
      </c>
      <c r="C327">
        <f>29.43</f>
        <v>29.43</v>
      </c>
      <c r="D327">
        <f>257.05</f>
        <v>257.05</v>
      </c>
    </row>
    <row r="328" spans="1:4" x14ac:dyDescent="0.2">
      <c r="A328" s="1">
        <v>44700</v>
      </c>
      <c r="B328">
        <f>29.4669</f>
        <v>29.466899999999999</v>
      </c>
      <c r="C328">
        <f>29.35</f>
        <v>29.35</v>
      </c>
      <c r="D328">
        <f>246.81</f>
        <v>246.81</v>
      </c>
    </row>
    <row r="329" spans="1:4" x14ac:dyDescent="0.2">
      <c r="A329" s="1">
        <v>44699</v>
      </c>
      <c r="B329">
        <f>27.6329</f>
        <v>27.632899999999999</v>
      </c>
      <c r="C329">
        <f>30.96</f>
        <v>30.96</v>
      </c>
      <c r="D329">
        <f>221.27</f>
        <v>221.27</v>
      </c>
    </row>
    <row r="330" spans="1:4" x14ac:dyDescent="0.2">
      <c r="A330" s="1">
        <v>44698</v>
      </c>
      <c r="B330">
        <f>26.2385</f>
        <v>26.238499999999998</v>
      </c>
      <c r="C330">
        <f>26.1</f>
        <v>26.1</v>
      </c>
      <c r="D330">
        <f>286.61</f>
        <v>286.61</v>
      </c>
    </row>
    <row r="331" spans="1:4" x14ac:dyDescent="0.2">
      <c r="A331" s="1">
        <v>44697</v>
      </c>
      <c r="B331">
        <f>28.2178</f>
        <v>28.2178</v>
      </c>
      <c r="C331">
        <f>27.47</f>
        <v>27.47</v>
      </c>
      <c r="D331">
        <f>207.31</f>
        <v>207.31</v>
      </c>
    </row>
    <row r="332" spans="1:4" x14ac:dyDescent="0.2">
      <c r="A332" s="1">
        <v>44694</v>
      </c>
      <c r="B332">
        <f>29.1149</f>
        <v>29.114899999999999</v>
      </c>
      <c r="C332">
        <f>28.87</f>
        <v>28.87</v>
      </c>
      <c r="D332">
        <f>272.45</f>
        <v>272.45</v>
      </c>
    </row>
    <row r="333" spans="1:4" x14ac:dyDescent="0.2">
      <c r="A333" s="1">
        <v>44693</v>
      </c>
      <c r="B333">
        <f>32.3963</f>
        <v>32.396299999999997</v>
      </c>
      <c r="C333">
        <f>31.77</f>
        <v>31.77</v>
      </c>
      <c r="D333">
        <f>318.31</f>
        <v>318.31</v>
      </c>
    </row>
    <row r="334" spans="1:4" x14ac:dyDescent="0.2">
      <c r="A334" s="1">
        <v>44692</v>
      </c>
      <c r="B334">
        <f>31.1216</f>
        <v>31.121600000000001</v>
      </c>
      <c r="C334">
        <f>32.56</f>
        <v>32.56</v>
      </c>
      <c r="D334">
        <f>265.98</f>
        <v>265.98</v>
      </c>
    </row>
    <row r="335" spans="1:4" x14ac:dyDescent="0.2">
      <c r="A335" s="1">
        <v>44691</v>
      </c>
      <c r="B335">
        <f>35.0146</f>
        <v>35.014600000000002</v>
      </c>
      <c r="C335">
        <f>32.99</f>
        <v>32.99</v>
      </c>
      <c r="D335">
        <f>376.76</f>
        <v>376.76</v>
      </c>
    </row>
    <row r="336" spans="1:4" x14ac:dyDescent="0.2">
      <c r="A336" s="1">
        <v>44690</v>
      </c>
      <c r="B336">
        <f>35.9089</f>
        <v>35.908900000000003</v>
      </c>
      <c r="C336">
        <f>34.75</f>
        <v>34.75</v>
      </c>
      <c r="D336">
        <f>264.28</f>
        <v>264.27999999999997</v>
      </c>
    </row>
    <row r="337" spans="1:4" x14ac:dyDescent="0.2">
      <c r="A337" s="1">
        <v>44687</v>
      </c>
      <c r="B337">
        <f>32.8002</f>
        <v>32.800199999999997</v>
      </c>
      <c r="C337">
        <f>30.19</f>
        <v>30.19</v>
      </c>
      <c r="D337">
        <f>286.23</f>
        <v>286.23</v>
      </c>
    </row>
    <row r="338" spans="1:4" x14ac:dyDescent="0.2">
      <c r="A338" s="1">
        <v>44686</v>
      </c>
      <c r="B338">
        <f>32.7671</f>
        <v>32.767099999999999</v>
      </c>
      <c r="C338">
        <f>31.2</f>
        <v>31.2</v>
      </c>
      <c r="D338">
        <f>282.38</f>
        <v>282.38</v>
      </c>
    </row>
    <row r="339" spans="1:4" x14ac:dyDescent="0.2">
      <c r="A339" s="1">
        <v>44685</v>
      </c>
      <c r="B339">
        <f>31.2319</f>
        <v>31.2319</v>
      </c>
      <c r="C339">
        <f>25.42</f>
        <v>25.42</v>
      </c>
      <c r="D339">
        <f>634.43</f>
        <v>634.42999999999995</v>
      </c>
    </row>
    <row r="340" spans="1:4" x14ac:dyDescent="0.2">
      <c r="A340" s="1">
        <v>44684</v>
      </c>
      <c r="B340">
        <f>31.3834</f>
        <v>31.383400000000002</v>
      </c>
      <c r="C340">
        <f>29.25</f>
        <v>29.25</v>
      </c>
      <c r="D340">
        <f>236.01</f>
        <v>236.01</v>
      </c>
    </row>
    <row r="341" spans="1:4" x14ac:dyDescent="0.2">
      <c r="A341" s="1">
        <v>44683</v>
      </c>
      <c r="B341">
        <f>34.0677</f>
        <v>34.067700000000002</v>
      </c>
      <c r="C341">
        <f>32.34</f>
        <v>32.340000000000003</v>
      </c>
      <c r="D341" t="e">
        <f>NA()</f>
        <v>#N/A</v>
      </c>
    </row>
    <row r="342" spans="1:4" x14ac:dyDescent="0.2">
      <c r="A342" s="1">
        <v>44680</v>
      </c>
      <c r="B342">
        <f>30.7732</f>
        <v>30.773199999999999</v>
      </c>
      <c r="C342">
        <f>33.4</f>
        <v>33.4</v>
      </c>
      <c r="D342">
        <f>243.59</f>
        <v>243.59</v>
      </c>
    </row>
    <row r="343" spans="1:4" x14ac:dyDescent="0.2">
      <c r="A343" s="1">
        <v>44679</v>
      </c>
      <c r="B343">
        <f>31.2799</f>
        <v>31.279900000000001</v>
      </c>
      <c r="C343">
        <f>29.99</f>
        <v>29.99</v>
      </c>
      <c r="D343">
        <f>234.56</f>
        <v>234.56</v>
      </c>
    </row>
    <row r="344" spans="1:4" x14ac:dyDescent="0.2">
      <c r="A344" s="1">
        <v>44678</v>
      </c>
      <c r="B344">
        <f>32.7446</f>
        <v>32.744599999999998</v>
      </c>
      <c r="C344">
        <f>31.6</f>
        <v>31.6</v>
      </c>
      <c r="D344" t="e">
        <f>NA()</f>
        <v>#N/A</v>
      </c>
    </row>
    <row r="345" spans="1:4" x14ac:dyDescent="0.2">
      <c r="A345" s="1">
        <v>44677</v>
      </c>
      <c r="B345">
        <f>32.7093</f>
        <v>32.709299999999999</v>
      </c>
      <c r="C345">
        <f>33.52</f>
        <v>33.520000000000003</v>
      </c>
      <c r="D345">
        <f>253.75</f>
        <v>253.75</v>
      </c>
    </row>
    <row r="346" spans="1:4" x14ac:dyDescent="0.2">
      <c r="A346" s="1">
        <v>44676</v>
      </c>
      <c r="B346">
        <f>31.4602</f>
        <v>31.4602</v>
      </c>
      <c r="C346">
        <f>27.02</f>
        <v>27.02</v>
      </c>
      <c r="D346">
        <f>306.57</f>
        <v>306.57</v>
      </c>
    </row>
    <row r="347" spans="1:4" x14ac:dyDescent="0.2">
      <c r="A347" s="1">
        <v>44673</v>
      </c>
      <c r="B347">
        <f>28.345</f>
        <v>28.344999999999999</v>
      </c>
      <c r="C347">
        <f>28.21</f>
        <v>28.21</v>
      </c>
      <c r="D347">
        <f>211.87</f>
        <v>211.87</v>
      </c>
    </row>
    <row r="348" spans="1:4" x14ac:dyDescent="0.2">
      <c r="A348" s="1">
        <v>44672</v>
      </c>
      <c r="B348">
        <f>24.5398</f>
        <v>24.5398</v>
      </c>
      <c r="C348">
        <f>22.68</f>
        <v>22.68</v>
      </c>
      <c r="D348">
        <f>395.13</f>
        <v>395.13</v>
      </c>
    </row>
    <row r="349" spans="1:4" x14ac:dyDescent="0.2">
      <c r="A349" s="1">
        <v>44671</v>
      </c>
      <c r="B349">
        <f>24.9786</f>
        <v>24.9786</v>
      </c>
      <c r="C349">
        <f>20.32</f>
        <v>20.32</v>
      </c>
      <c r="D349">
        <f>343.9</f>
        <v>343.9</v>
      </c>
    </row>
    <row r="350" spans="1:4" x14ac:dyDescent="0.2">
      <c r="A350" s="1">
        <v>44670</v>
      </c>
      <c r="B350">
        <f>27.4395</f>
        <v>27.439499999999999</v>
      </c>
      <c r="C350">
        <f>21.37</f>
        <v>21.37</v>
      </c>
      <c r="D350">
        <f>242.47</f>
        <v>242.47</v>
      </c>
    </row>
    <row r="351" spans="1:4" x14ac:dyDescent="0.2">
      <c r="A351" s="1">
        <v>44669</v>
      </c>
      <c r="B351" t="e">
        <f>NA()</f>
        <v>#N/A</v>
      </c>
      <c r="C351">
        <f>22.17</f>
        <v>22.17</v>
      </c>
      <c r="D351" t="e">
        <f>NA()</f>
        <v>#N/A</v>
      </c>
    </row>
    <row r="352" spans="1:4" x14ac:dyDescent="0.2">
      <c r="A352" s="1">
        <v>44665</v>
      </c>
      <c r="B352">
        <f>26.7531</f>
        <v>26.7531</v>
      </c>
      <c r="C352">
        <f>22.7</f>
        <v>22.7</v>
      </c>
      <c r="D352">
        <f>181.54</f>
        <v>181.54</v>
      </c>
    </row>
    <row r="353" spans="1:4" x14ac:dyDescent="0.2">
      <c r="A353" s="1">
        <v>44664</v>
      </c>
      <c r="B353">
        <f>28.843</f>
        <v>28.843</v>
      </c>
      <c r="C353">
        <f>21.82</f>
        <v>21.82</v>
      </c>
      <c r="D353">
        <f>279.21</f>
        <v>279.20999999999998</v>
      </c>
    </row>
    <row r="354" spans="1:4" x14ac:dyDescent="0.2">
      <c r="A354" s="1">
        <v>44663</v>
      </c>
      <c r="B354">
        <f>30.0143</f>
        <v>30.014299999999999</v>
      </c>
      <c r="C354">
        <f>24.26</f>
        <v>24.26</v>
      </c>
      <c r="D354">
        <f>262.03</f>
        <v>262.02999999999997</v>
      </c>
    </row>
    <row r="355" spans="1:4" x14ac:dyDescent="0.2">
      <c r="A355" s="1">
        <v>44662</v>
      </c>
      <c r="B355">
        <f>30.2283</f>
        <v>30.228300000000001</v>
      </c>
      <c r="C355">
        <f>24.37</f>
        <v>24.37</v>
      </c>
      <c r="D355">
        <f>267.82</f>
        <v>267.82</v>
      </c>
    </row>
    <row r="356" spans="1:4" x14ac:dyDescent="0.2">
      <c r="A356" s="1">
        <v>44659</v>
      </c>
      <c r="B356">
        <f>30.7314</f>
        <v>30.731400000000001</v>
      </c>
      <c r="C356">
        <f>21.16</f>
        <v>21.16</v>
      </c>
      <c r="D356">
        <f>247.61</f>
        <v>247.61</v>
      </c>
    </row>
    <row r="357" spans="1:4" x14ac:dyDescent="0.2">
      <c r="A357" s="1">
        <v>44658</v>
      </c>
      <c r="B357">
        <f>32.5322</f>
        <v>32.532200000000003</v>
      </c>
      <c r="C357">
        <f>21.55</f>
        <v>21.55</v>
      </c>
      <c r="D357">
        <f>242.93</f>
        <v>242.93</v>
      </c>
    </row>
    <row r="358" spans="1:4" x14ac:dyDescent="0.2">
      <c r="A358" s="1">
        <v>44657</v>
      </c>
      <c r="B358">
        <f>32.238</f>
        <v>32.238</v>
      </c>
      <c r="C358">
        <f>22.1</f>
        <v>22.1</v>
      </c>
      <c r="D358">
        <f>269.4</f>
        <v>269.39999999999998</v>
      </c>
    </row>
    <row r="359" spans="1:4" x14ac:dyDescent="0.2">
      <c r="A359" s="1">
        <v>44656</v>
      </c>
      <c r="B359">
        <f>29.1551</f>
        <v>29.155100000000001</v>
      </c>
      <c r="C359">
        <f>21.03</f>
        <v>21.03</v>
      </c>
      <c r="D359">
        <f>289.15</f>
        <v>289.14999999999998</v>
      </c>
    </row>
    <row r="360" spans="1:4" x14ac:dyDescent="0.2">
      <c r="A360" s="1">
        <v>44655</v>
      </c>
      <c r="B360">
        <f>26.725</f>
        <v>26.725000000000001</v>
      </c>
      <c r="C360">
        <f>18.57</f>
        <v>18.57</v>
      </c>
      <c r="D360">
        <f>223.55</f>
        <v>223.55</v>
      </c>
    </row>
    <row r="361" spans="1:4" x14ac:dyDescent="0.2">
      <c r="A361" s="1">
        <v>44652</v>
      </c>
      <c r="B361">
        <f>28.5011</f>
        <v>28.501100000000001</v>
      </c>
      <c r="C361">
        <f>19.63</f>
        <v>19.63</v>
      </c>
      <c r="D361">
        <f>219.5</f>
        <v>219.5</v>
      </c>
    </row>
    <row r="362" spans="1:4" x14ac:dyDescent="0.2">
      <c r="A362" s="1">
        <v>44651</v>
      </c>
      <c r="B362">
        <f>28.9898</f>
        <v>28.989799999999999</v>
      </c>
      <c r="C362">
        <f>20.56</f>
        <v>20.56</v>
      </c>
      <c r="D362">
        <f>260.29</f>
        <v>260.29000000000002</v>
      </c>
    </row>
    <row r="363" spans="1:4" x14ac:dyDescent="0.2">
      <c r="A363" s="1">
        <v>44650</v>
      </c>
      <c r="B363">
        <f>28.1001</f>
        <v>28.100100000000001</v>
      </c>
      <c r="C363">
        <f>19.33</f>
        <v>19.329999999999998</v>
      </c>
      <c r="D363">
        <f>200.1</f>
        <v>200.1</v>
      </c>
    </row>
    <row r="364" spans="1:4" x14ac:dyDescent="0.2">
      <c r="A364" s="1">
        <v>44649</v>
      </c>
      <c r="B364">
        <f>26.582</f>
        <v>26.582000000000001</v>
      </c>
      <c r="C364">
        <f>18.9</f>
        <v>18.899999999999999</v>
      </c>
      <c r="D364">
        <f>303.11</f>
        <v>303.11</v>
      </c>
    </row>
    <row r="365" spans="1:4" x14ac:dyDescent="0.2">
      <c r="A365" s="1">
        <v>44648</v>
      </c>
      <c r="B365">
        <f>30.5027</f>
        <v>30.502700000000001</v>
      </c>
      <c r="C365">
        <f>19.63</f>
        <v>19.63</v>
      </c>
      <c r="D365">
        <f>227.87</f>
        <v>227.87</v>
      </c>
    </row>
    <row r="366" spans="1:4" x14ac:dyDescent="0.2">
      <c r="A366" s="1">
        <v>44645</v>
      </c>
      <c r="B366">
        <f>32.2262</f>
        <v>32.226199999999999</v>
      </c>
      <c r="C366">
        <f>20.81</f>
        <v>20.81</v>
      </c>
      <c r="D366">
        <f>238.1</f>
        <v>238.1</v>
      </c>
    </row>
    <row r="367" spans="1:4" x14ac:dyDescent="0.2">
      <c r="A367" s="1">
        <v>44644</v>
      </c>
      <c r="B367">
        <f>31.1577</f>
        <v>31.157699999999998</v>
      </c>
      <c r="C367">
        <f>21.67</f>
        <v>21.67</v>
      </c>
      <c r="D367">
        <f>274.6</f>
        <v>274.60000000000002</v>
      </c>
    </row>
    <row r="368" spans="1:4" x14ac:dyDescent="0.2">
      <c r="A368" s="1">
        <v>44643</v>
      </c>
      <c r="B368">
        <f>30.7746</f>
        <v>30.7746</v>
      </c>
      <c r="C368">
        <f>23.57</f>
        <v>23.57</v>
      </c>
      <c r="D368">
        <f>271.43</f>
        <v>271.43</v>
      </c>
    </row>
    <row r="369" spans="1:4" x14ac:dyDescent="0.2">
      <c r="A369" s="1">
        <v>44642</v>
      </c>
      <c r="B369">
        <f>27.484</f>
        <v>27.484000000000002</v>
      </c>
      <c r="C369">
        <f>22.94</f>
        <v>22.94</v>
      </c>
      <c r="D369">
        <f>303.07</f>
        <v>303.07</v>
      </c>
    </row>
    <row r="370" spans="1:4" x14ac:dyDescent="0.2">
      <c r="A370" s="1">
        <v>44641</v>
      </c>
      <c r="B370">
        <f>28.3402</f>
        <v>28.340199999999999</v>
      </c>
      <c r="C370">
        <f>23.53</f>
        <v>23.53</v>
      </c>
      <c r="D370" t="e">
        <f>NA()</f>
        <v>#N/A</v>
      </c>
    </row>
    <row r="371" spans="1:4" x14ac:dyDescent="0.2">
      <c r="A371" s="1">
        <v>44638</v>
      </c>
      <c r="B371">
        <f>29.9048</f>
        <v>29.904800000000002</v>
      </c>
      <c r="C371">
        <f>23.87</f>
        <v>23.87</v>
      </c>
      <c r="D371">
        <f>799.32</f>
        <v>799.32</v>
      </c>
    </row>
    <row r="372" spans="1:4" x14ac:dyDescent="0.2">
      <c r="A372" s="1">
        <v>44637</v>
      </c>
      <c r="B372">
        <f>32.017</f>
        <v>32.017000000000003</v>
      </c>
      <c r="C372">
        <f>25.67</f>
        <v>25.67</v>
      </c>
      <c r="D372">
        <f>495.39</f>
        <v>495.39</v>
      </c>
    </row>
    <row r="373" spans="1:4" x14ac:dyDescent="0.2">
      <c r="A373" s="1">
        <v>44636</v>
      </c>
      <c r="B373">
        <f>36.0127</f>
        <v>36.012700000000002</v>
      </c>
      <c r="C373">
        <f>26.67</f>
        <v>26.67</v>
      </c>
      <c r="D373">
        <f>360.02</f>
        <v>360.02</v>
      </c>
    </row>
    <row r="374" spans="1:4" x14ac:dyDescent="0.2">
      <c r="A374" s="1">
        <v>44635</v>
      </c>
      <c r="B374">
        <f>41.1972</f>
        <v>41.197200000000002</v>
      </c>
      <c r="C374">
        <f>29.83</f>
        <v>29.83</v>
      </c>
      <c r="D374">
        <f>311.71</f>
        <v>311.70999999999998</v>
      </c>
    </row>
    <row r="375" spans="1:4" x14ac:dyDescent="0.2">
      <c r="A375" s="1">
        <v>44634</v>
      </c>
      <c r="B375">
        <f>40.6415</f>
        <v>40.641500000000001</v>
      </c>
      <c r="C375">
        <f>31.77</f>
        <v>31.77</v>
      </c>
      <c r="D375">
        <f>328.98</f>
        <v>328.98</v>
      </c>
    </row>
    <row r="376" spans="1:4" x14ac:dyDescent="0.2">
      <c r="A376" s="1">
        <v>44631</v>
      </c>
      <c r="B376">
        <f>41.3743</f>
        <v>41.374299999999998</v>
      </c>
      <c r="C376">
        <f>30.75</f>
        <v>30.75</v>
      </c>
      <c r="D376">
        <f>281.39</f>
        <v>281.39</v>
      </c>
    </row>
    <row r="377" spans="1:4" x14ac:dyDescent="0.2">
      <c r="A377" s="1">
        <v>44630</v>
      </c>
      <c r="B377">
        <f>43.3509</f>
        <v>43.350900000000003</v>
      </c>
      <c r="C377">
        <f>30.23</f>
        <v>30.23</v>
      </c>
      <c r="D377">
        <f>353.32</f>
        <v>353.32</v>
      </c>
    </row>
    <row r="378" spans="1:4" x14ac:dyDescent="0.2">
      <c r="A378" s="1">
        <v>44629</v>
      </c>
      <c r="B378">
        <f>41.497</f>
        <v>41.497</v>
      </c>
      <c r="C378">
        <f>32.45</f>
        <v>32.450000000000003</v>
      </c>
      <c r="D378">
        <f>361</f>
        <v>361</v>
      </c>
    </row>
    <row r="379" spans="1:4" x14ac:dyDescent="0.2">
      <c r="A379" s="1">
        <v>44628</v>
      </c>
      <c r="B379">
        <f>45.5607</f>
        <v>45.560699999999997</v>
      </c>
      <c r="C379">
        <f>35.13</f>
        <v>35.130000000000003</v>
      </c>
      <c r="D379">
        <f>362.74</f>
        <v>362.74</v>
      </c>
    </row>
    <row r="380" spans="1:4" x14ac:dyDescent="0.2">
      <c r="A380" s="1">
        <v>44627</v>
      </c>
      <c r="B380">
        <f>48.2373</f>
        <v>48.237299999999998</v>
      </c>
      <c r="C380">
        <f>36.45</f>
        <v>36.450000000000003</v>
      </c>
      <c r="D380">
        <f>473.56</f>
        <v>473.56</v>
      </c>
    </row>
    <row r="381" spans="1:4" x14ac:dyDescent="0.2">
      <c r="A381" s="1">
        <v>44624</v>
      </c>
      <c r="B381">
        <f>49.6395</f>
        <v>49.639499999999998</v>
      </c>
      <c r="C381">
        <f>31.98</f>
        <v>31.98</v>
      </c>
      <c r="D381">
        <f>404.27</f>
        <v>404.27</v>
      </c>
    </row>
    <row r="382" spans="1:4" x14ac:dyDescent="0.2">
      <c r="A382" s="1">
        <v>44623</v>
      </c>
      <c r="B382">
        <f>40.4507</f>
        <v>40.450699999999998</v>
      </c>
      <c r="C382">
        <f>30.48</f>
        <v>30.48</v>
      </c>
      <c r="D382">
        <f>301.75</f>
        <v>301.75</v>
      </c>
    </row>
    <row r="383" spans="1:4" x14ac:dyDescent="0.2">
      <c r="A383" s="1">
        <v>44622</v>
      </c>
      <c r="B383">
        <f>38.7848</f>
        <v>38.784799999999997</v>
      </c>
      <c r="C383">
        <f>30.74</f>
        <v>30.74</v>
      </c>
      <c r="D383">
        <f>341</f>
        <v>341</v>
      </c>
    </row>
    <row r="384" spans="1:4" x14ac:dyDescent="0.2">
      <c r="A384" s="1">
        <v>44621</v>
      </c>
      <c r="B384">
        <f>41.5796</f>
        <v>41.579599999999999</v>
      </c>
      <c r="C384">
        <f>33.32</f>
        <v>33.32</v>
      </c>
      <c r="D384">
        <f>413.66</f>
        <v>413.66</v>
      </c>
    </row>
    <row r="385" spans="1:4" x14ac:dyDescent="0.2">
      <c r="A385" s="1">
        <v>44620</v>
      </c>
      <c r="B385">
        <f>35.293</f>
        <v>35.292999999999999</v>
      </c>
      <c r="C385">
        <f>30.15</f>
        <v>30.15</v>
      </c>
      <c r="D385">
        <f>453.7</f>
        <v>453.7</v>
      </c>
    </row>
    <row r="386" spans="1:4" x14ac:dyDescent="0.2">
      <c r="A386" s="1">
        <v>44617</v>
      </c>
      <c r="B386">
        <f>32.1184</f>
        <v>32.118400000000001</v>
      </c>
      <c r="C386">
        <f>27.59</f>
        <v>27.59</v>
      </c>
      <c r="D386">
        <f>235.7</f>
        <v>235.7</v>
      </c>
    </row>
    <row r="387" spans="1:4" x14ac:dyDescent="0.2">
      <c r="A387" s="1">
        <v>44616</v>
      </c>
      <c r="B387">
        <f>38.1264</f>
        <v>38.126399999999997</v>
      </c>
      <c r="C387">
        <f>30.32</f>
        <v>30.32</v>
      </c>
      <c r="D387">
        <f>385.12</f>
        <v>385.12</v>
      </c>
    </row>
    <row r="388" spans="1:4" x14ac:dyDescent="0.2">
      <c r="A388" s="1">
        <v>44615</v>
      </c>
      <c r="B388">
        <f>33.4572</f>
        <v>33.4572</v>
      </c>
      <c r="C388">
        <f>31.02</f>
        <v>31.02</v>
      </c>
      <c r="D388">
        <f>222.82</f>
        <v>222.82</v>
      </c>
    </row>
    <row r="389" spans="1:4" x14ac:dyDescent="0.2">
      <c r="A389" s="1">
        <v>44614</v>
      </c>
      <c r="B389">
        <f>32.9766</f>
        <v>32.976599999999998</v>
      </c>
      <c r="C389">
        <f>28.81</f>
        <v>28.81</v>
      </c>
      <c r="D389">
        <f>273.04</f>
        <v>273.04000000000002</v>
      </c>
    </row>
    <row r="390" spans="1:4" x14ac:dyDescent="0.2">
      <c r="A390" s="1">
        <v>44613</v>
      </c>
      <c r="B390">
        <f>36.2245</f>
        <v>36.224499999999999</v>
      </c>
      <c r="C390" t="e">
        <f>NA()</f>
        <v>#N/A</v>
      </c>
      <c r="D390">
        <f>198.95</f>
        <v>198.95</v>
      </c>
    </row>
    <row r="391" spans="1:4" x14ac:dyDescent="0.2">
      <c r="A391" s="1">
        <v>44610</v>
      </c>
      <c r="B391">
        <f>31.2669</f>
        <v>31.2669</v>
      </c>
      <c r="C391">
        <f>27.75</f>
        <v>27.75</v>
      </c>
      <c r="D391">
        <f>242.42</f>
        <v>242.42</v>
      </c>
    </row>
    <row r="392" spans="1:4" x14ac:dyDescent="0.2">
      <c r="A392" s="1">
        <v>44609</v>
      </c>
      <c r="B392">
        <f>28.7931</f>
        <v>28.793099999999999</v>
      </c>
      <c r="C392">
        <f>28.11</f>
        <v>28.11</v>
      </c>
      <c r="D392">
        <f>256.74</f>
        <v>256.74</v>
      </c>
    </row>
    <row r="393" spans="1:4" x14ac:dyDescent="0.2">
      <c r="A393" s="1">
        <v>44608</v>
      </c>
      <c r="B393">
        <f>26.6138</f>
        <v>26.613800000000001</v>
      </c>
      <c r="C393">
        <f>24.29</f>
        <v>24.29</v>
      </c>
      <c r="D393">
        <f>266.08</f>
        <v>266.08</v>
      </c>
    </row>
    <row r="394" spans="1:4" x14ac:dyDescent="0.2">
      <c r="A394" s="1">
        <v>44607</v>
      </c>
      <c r="B394">
        <f>27.055</f>
        <v>27.055</v>
      </c>
      <c r="C394">
        <f>25.7</f>
        <v>25.7</v>
      </c>
      <c r="D394">
        <f>290.36</f>
        <v>290.36</v>
      </c>
    </row>
    <row r="395" spans="1:4" x14ac:dyDescent="0.2">
      <c r="A395" s="1">
        <v>44606</v>
      </c>
      <c r="B395">
        <f>30.0547</f>
        <v>30.0547</v>
      </c>
      <c r="C395">
        <f>28.33</f>
        <v>28.33</v>
      </c>
      <c r="D395">
        <f>253.96</f>
        <v>253.96</v>
      </c>
    </row>
    <row r="396" spans="1:4" x14ac:dyDescent="0.2">
      <c r="A396" s="1">
        <v>44603</v>
      </c>
      <c r="B396">
        <f>24.6637</f>
        <v>24.663699999999999</v>
      </c>
      <c r="C396">
        <f>27.36</f>
        <v>27.36</v>
      </c>
      <c r="D396">
        <f>236.59</f>
        <v>236.59</v>
      </c>
    </row>
    <row r="397" spans="1:4" x14ac:dyDescent="0.2">
      <c r="A397" s="1">
        <v>44602</v>
      </c>
      <c r="B397">
        <f>21.8414</f>
        <v>21.8414</v>
      </c>
      <c r="C397">
        <f>23.91</f>
        <v>23.91</v>
      </c>
      <c r="D397">
        <f>248.7</f>
        <v>248.7</v>
      </c>
    </row>
    <row r="398" spans="1:4" x14ac:dyDescent="0.2">
      <c r="A398" s="1">
        <v>44601</v>
      </c>
      <c r="B398">
        <f>21.4117</f>
        <v>21.4117</v>
      </c>
      <c r="C398">
        <f>19.96</f>
        <v>19.96</v>
      </c>
      <c r="D398">
        <f>241.35</f>
        <v>241.35</v>
      </c>
    </row>
    <row r="399" spans="1:4" x14ac:dyDescent="0.2">
      <c r="A399" s="1">
        <v>44600</v>
      </c>
      <c r="B399">
        <f>23.1564</f>
        <v>23.156400000000001</v>
      </c>
      <c r="C399">
        <f>21.44</f>
        <v>21.44</v>
      </c>
      <c r="D399">
        <f>247.75</f>
        <v>247.75</v>
      </c>
    </row>
    <row r="400" spans="1:4" x14ac:dyDescent="0.2">
      <c r="A400" s="1">
        <v>44599</v>
      </c>
      <c r="B400">
        <f>24.2433</f>
        <v>24.243300000000001</v>
      </c>
      <c r="C400">
        <f>22.86</f>
        <v>22.86</v>
      </c>
      <c r="D400">
        <f>269.15</f>
        <v>269.14999999999998</v>
      </c>
    </row>
    <row r="401" spans="1:4" x14ac:dyDescent="0.2">
      <c r="A401" s="1">
        <v>44596</v>
      </c>
      <c r="B401">
        <f>26.3008</f>
        <v>26.300799999999999</v>
      </c>
      <c r="C401">
        <f>23.22</f>
        <v>23.22</v>
      </c>
      <c r="D401">
        <f>204.15</f>
        <v>204.15</v>
      </c>
    </row>
    <row r="402" spans="1:4" x14ac:dyDescent="0.2">
      <c r="A402" s="1">
        <v>44595</v>
      </c>
      <c r="B402">
        <f>24.3287</f>
        <v>24.328700000000001</v>
      </c>
      <c r="C402">
        <f>24.35</f>
        <v>24.35</v>
      </c>
      <c r="D402">
        <f>214.28</f>
        <v>214.28</v>
      </c>
    </row>
    <row r="403" spans="1:4" x14ac:dyDescent="0.2">
      <c r="A403" s="1">
        <v>44594</v>
      </c>
      <c r="B403">
        <f>22.6402</f>
        <v>22.6402</v>
      </c>
      <c r="C403">
        <f>22.09</f>
        <v>22.09</v>
      </c>
      <c r="D403">
        <f>346.9</f>
        <v>346.9</v>
      </c>
    </row>
    <row r="404" spans="1:4" x14ac:dyDescent="0.2">
      <c r="A404" s="1">
        <v>44593</v>
      </c>
      <c r="B404">
        <f>24.0892</f>
        <v>24.089200000000002</v>
      </c>
      <c r="C404">
        <f>21.96</f>
        <v>21.96</v>
      </c>
      <c r="D404">
        <f>211.88</f>
        <v>211.88</v>
      </c>
    </row>
    <row r="405" spans="1:4" x14ac:dyDescent="0.2">
      <c r="A405" s="1">
        <v>44592</v>
      </c>
      <c r="B405">
        <f>27.0084</f>
        <v>27.008400000000002</v>
      </c>
      <c r="C405">
        <f>24.83</f>
        <v>24.83</v>
      </c>
      <c r="D405">
        <f>265.25</f>
        <v>265.25</v>
      </c>
    </row>
    <row r="406" spans="1:4" x14ac:dyDescent="0.2">
      <c r="A406" s="1">
        <v>44589</v>
      </c>
      <c r="B406">
        <f>29.4111</f>
        <v>29.411100000000001</v>
      </c>
      <c r="C406">
        <f>27.66</f>
        <v>27.66</v>
      </c>
      <c r="D406">
        <f>198.28</f>
        <v>198.28</v>
      </c>
    </row>
    <row r="407" spans="1:4" x14ac:dyDescent="0.2">
      <c r="A407" s="1">
        <v>44588</v>
      </c>
      <c r="B407">
        <f>28.028</f>
        <v>28.027999999999999</v>
      </c>
      <c r="C407">
        <f>30.49</f>
        <v>30.49</v>
      </c>
      <c r="D407">
        <f>239.03</f>
        <v>239.03</v>
      </c>
    </row>
    <row r="408" spans="1:4" x14ac:dyDescent="0.2">
      <c r="A408" s="1">
        <v>44587</v>
      </c>
      <c r="B408">
        <f>28.3362</f>
        <v>28.336200000000002</v>
      </c>
      <c r="C408">
        <f>31.96</f>
        <v>31.96</v>
      </c>
      <c r="D408">
        <f>269.12</f>
        <v>269.12</v>
      </c>
    </row>
    <row r="409" spans="1:4" x14ac:dyDescent="0.2">
      <c r="A409" s="1">
        <v>44586</v>
      </c>
      <c r="B409">
        <f>31.453</f>
        <v>31.452999999999999</v>
      </c>
      <c r="C409">
        <f>31.16</f>
        <v>31.16</v>
      </c>
      <c r="D409">
        <f>287.21</f>
        <v>287.20999999999998</v>
      </c>
    </row>
    <row r="410" spans="1:4" x14ac:dyDescent="0.2">
      <c r="A410" s="1">
        <v>44585</v>
      </c>
      <c r="B410">
        <f>32.6811</f>
        <v>32.681100000000001</v>
      </c>
      <c r="C410">
        <f>29.9</f>
        <v>29.9</v>
      </c>
      <c r="D410">
        <f>259.89</f>
        <v>259.89</v>
      </c>
    </row>
    <row r="411" spans="1:4" x14ac:dyDescent="0.2">
      <c r="A411" s="1">
        <v>44582</v>
      </c>
      <c r="B411">
        <f>24.2217</f>
        <v>24.221699999999998</v>
      </c>
      <c r="C411">
        <f>28.85</f>
        <v>28.85</v>
      </c>
      <c r="D411">
        <f>219.61</f>
        <v>219.61</v>
      </c>
    </row>
    <row r="412" spans="1:4" x14ac:dyDescent="0.2">
      <c r="A412" s="1">
        <v>44581</v>
      </c>
      <c r="B412">
        <f>20.4033</f>
        <v>20.403300000000002</v>
      </c>
      <c r="C412">
        <f>25.59</f>
        <v>25.59</v>
      </c>
      <c r="D412">
        <f>241.87</f>
        <v>241.87</v>
      </c>
    </row>
    <row r="413" spans="1:4" x14ac:dyDescent="0.2">
      <c r="A413" s="1">
        <v>44580</v>
      </c>
      <c r="B413">
        <f>22.3578</f>
        <v>22.357800000000001</v>
      </c>
      <c r="C413">
        <f>23.85</f>
        <v>23.85</v>
      </c>
      <c r="D413">
        <f>223.2</f>
        <v>223.2</v>
      </c>
    </row>
    <row r="414" spans="1:4" x14ac:dyDescent="0.2">
      <c r="A414" s="1">
        <v>44579</v>
      </c>
      <c r="B414">
        <f>21.9614</f>
        <v>21.961400000000001</v>
      </c>
      <c r="C414">
        <f>22.79</f>
        <v>22.79</v>
      </c>
      <c r="D414">
        <f>198.87</f>
        <v>198.87</v>
      </c>
    </row>
    <row r="415" spans="1:4" x14ac:dyDescent="0.2">
      <c r="A415" s="1">
        <v>44578</v>
      </c>
      <c r="B415">
        <f>20.0374</f>
        <v>20.037400000000002</v>
      </c>
      <c r="C415" t="e">
        <f>NA()</f>
        <v>#N/A</v>
      </c>
      <c r="D415">
        <f>200.2</f>
        <v>200.2</v>
      </c>
    </row>
    <row r="416" spans="1:4" x14ac:dyDescent="0.2">
      <c r="A416" s="1">
        <v>44575</v>
      </c>
      <c r="B416">
        <f>21.3963</f>
        <v>21.3963</v>
      </c>
      <c r="C416">
        <f>19.19</f>
        <v>19.190000000000001</v>
      </c>
      <c r="D416">
        <f>159.02</f>
        <v>159.02000000000001</v>
      </c>
    </row>
    <row r="417" spans="1:4" x14ac:dyDescent="0.2">
      <c r="A417" s="1">
        <v>44574</v>
      </c>
      <c r="B417">
        <f>18.4609</f>
        <v>18.460899999999999</v>
      </c>
      <c r="C417">
        <f>20.31</f>
        <v>20.309999999999999</v>
      </c>
      <c r="D417">
        <f>174</f>
        <v>174</v>
      </c>
    </row>
    <row r="418" spans="1:4" x14ac:dyDescent="0.2">
      <c r="A418" s="1">
        <v>44573</v>
      </c>
      <c r="B418">
        <f>18.3029</f>
        <v>18.302900000000001</v>
      </c>
      <c r="C418">
        <f>17.62</f>
        <v>17.62</v>
      </c>
      <c r="D418">
        <f>211.89</f>
        <v>211.89</v>
      </c>
    </row>
    <row r="419" spans="1:4" x14ac:dyDescent="0.2">
      <c r="A419" s="1">
        <v>44572</v>
      </c>
      <c r="B419">
        <f>19.7861</f>
        <v>19.786100000000001</v>
      </c>
      <c r="C419">
        <f>18.41</f>
        <v>18.41</v>
      </c>
      <c r="D419">
        <f>172.75</f>
        <v>172.75</v>
      </c>
    </row>
    <row r="420" spans="1:4" x14ac:dyDescent="0.2">
      <c r="A420" s="1">
        <v>44571</v>
      </c>
      <c r="B420">
        <f>22.543</f>
        <v>22.542999999999999</v>
      </c>
      <c r="C420">
        <f>19.4</f>
        <v>19.399999999999999</v>
      </c>
      <c r="D420">
        <f>138.21</f>
        <v>138.21</v>
      </c>
    </row>
    <row r="421" spans="1:4" x14ac:dyDescent="0.2">
      <c r="A421" s="1">
        <v>44568</v>
      </c>
      <c r="B421">
        <f>20.6232</f>
        <v>20.623200000000001</v>
      </c>
      <c r="C421">
        <f>18.76</f>
        <v>18.760000000000002</v>
      </c>
      <c r="D421">
        <f>126.54</f>
        <v>126.54</v>
      </c>
    </row>
    <row r="422" spans="1:4" x14ac:dyDescent="0.2">
      <c r="A422" s="1">
        <v>44567</v>
      </c>
      <c r="B422">
        <f>20.0961</f>
        <v>20.0961</v>
      </c>
      <c r="C422">
        <f>19.61</f>
        <v>19.61</v>
      </c>
      <c r="D422">
        <f>146.62</f>
        <v>146.62</v>
      </c>
    </row>
    <row r="423" spans="1:4" x14ac:dyDescent="0.2">
      <c r="A423" s="1">
        <v>44566</v>
      </c>
      <c r="B423">
        <f>17.7553</f>
        <v>17.755299999999998</v>
      </c>
      <c r="C423">
        <f>19.73</f>
        <v>19.73</v>
      </c>
      <c r="D423">
        <f>133.54</f>
        <v>133.54</v>
      </c>
    </row>
    <row r="424" spans="1:4" x14ac:dyDescent="0.2">
      <c r="A424" s="1">
        <v>44565</v>
      </c>
      <c r="B424">
        <f>18.6397</f>
        <v>18.639700000000001</v>
      </c>
      <c r="C424">
        <f>16.91</f>
        <v>16.91</v>
      </c>
      <c r="D424">
        <f>133.25</f>
        <v>133.25</v>
      </c>
    </row>
    <row r="425" spans="1:4" x14ac:dyDescent="0.2">
      <c r="A425" s="1">
        <v>44564</v>
      </c>
      <c r="B425">
        <f>19.1696</f>
        <v>19.169599999999999</v>
      </c>
      <c r="C425">
        <f>16.6</f>
        <v>16.600000000000001</v>
      </c>
      <c r="D425">
        <f>95.16</f>
        <v>95.16</v>
      </c>
    </row>
    <row r="426" spans="1:4" x14ac:dyDescent="0.2">
      <c r="A426" s="1">
        <v>44561</v>
      </c>
      <c r="B426" t="e">
        <f>NA()</f>
        <v>#N/A</v>
      </c>
      <c r="C426">
        <f>17.22</f>
        <v>17.22</v>
      </c>
      <c r="D426">
        <f>57.56</f>
        <v>57.56</v>
      </c>
    </row>
    <row r="427" spans="1:4" x14ac:dyDescent="0.2">
      <c r="A427" s="1">
        <v>44560</v>
      </c>
      <c r="B427">
        <f>19.2677</f>
        <v>19.267700000000001</v>
      </c>
      <c r="C427">
        <f>17.33</f>
        <v>17.329999999999998</v>
      </c>
      <c r="D427">
        <f>103.75</f>
        <v>103.75</v>
      </c>
    </row>
    <row r="428" spans="1:4" x14ac:dyDescent="0.2">
      <c r="A428" s="1">
        <v>44559</v>
      </c>
      <c r="B428">
        <f>20.1834</f>
        <v>20.183399999999999</v>
      </c>
      <c r="C428">
        <f>16.95</f>
        <v>16.95</v>
      </c>
      <c r="D428">
        <f>97.52</f>
        <v>97.52</v>
      </c>
    </row>
    <row r="429" spans="1:4" x14ac:dyDescent="0.2">
      <c r="A429" s="1">
        <v>44558</v>
      </c>
      <c r="B429">
        <f>19.0728</f>
        <v>19.072800000000001</v>
      </c>
      <c r="C429">
        <f>17.54</f>
        <v>17.54</v>
      </c>
      <c r="D429">
        <f>105.74</f>
        <v>105.74</v>
      </c>
    </row>
    <row r="430" spans="1:4" x14ac:dyDescent="0.2">
      <c r="A430" s="1">
        <v>44557</v>
      </c>
      <c r="B430">
        <f>19.6616</f>
        <v>19.6616</v>
      </c>
      <c r="C430">
        <f>17.68</f>
        <v>17.68</v>
      </c>
      <c r="D430" t="e">
        <f>NA()</f>
        <v>#N/A</v>
      </c>
    </row>
    <row r="431" spans="1:4" x14ac:dyDescent="0.2">
      <c r="A431" s="1">
        <v>44554</v>
      </c>
      <c r="B431" t="e">
        <f>NA()</f>
        <v>#N/A</v>
      </c>
      <c r="C431" t="e">
        <f>NA()</f>
        <v>#N/A</v>
      </c>
      <c r="D431">
        <f>29.13</f>
        <v>29.13</v>
      </c>
    </row>
    <row r="432" spans="1:4" x14ac:dyDescent="0.2">
      <c r="A432" s="1">
        <v>44553</v>
      </c>
      <c r="B432">
        <f>19.0369</f>
        <v>19.036899999999999</v>
      </c>
      <c r="C432">
        <f>17.96</f>
        <v>17.96</v>
      </c>
      <c r="D432">
        <f>124.4</f>
        <v>124.4</v>
      </c>
    </row>
    <row r="433" spans="1:4" x14ac:dyDescent="0.2">
      <c r="A433" s="1">
        <v>44552</v>
      </c>
      <c r="B433">
        <f>21.0421</f>
        <v>21.042100000000001</v>
      </c>
      <c r="C433">
        <f>18.63</f>
        <v>18.63</v>
      </c>
      <c r="D433">
        <f>130.77</f>
        <v>130.77000000000001</v>
      </c>
    </row>
    <row r="434" spans="1:4" x14ac:dyDescent="0.2">
      <c r="A434" s="1">
        <v>44551</v>
      </c>
      <c r="B434">
        <f>22.8332</f>
        <v>22.833200000000001</v>
      </c>
      <c r="C434">
        <f>21.01</f>
        <v>21.01</v>
      </c>
      <c r="D434">
        <f>136.97</f>
        <v>136.97</v>
      </c>
    </row>
    <row r="435" spans="1:4" x14ac:dyDescent="0.2">
      <c r="A435" s="1">
        <v>44550</v>
      </c>
      <c r="B435">
        <f>26.835</f>
        <v>26.835000000000001</v>
      </c>
      <c r="C435">
        <f>22.87</f>
        <v>22.87</v>
      </c>
      <c r="D435">
        <f>192.54</f>
        <v>192.54</v>
      </c>
    </row>
    <row r="436" spans="1:4" x14ac:dyDescent="0.2">
      <c r="A436" s="1">
        <v>44547</v>
      </c>
      <c r="B436">
        <f>21.9842</f>
        <v>21.984200000000001</v>
      </c>
      <c r="C436">
        <f>21.57</f>
        <v>21.57</v>
      </c>
      <c r="D436">
        <f>605.93</f>
        <v>605.92999999999995</v>
      </c>
    </row>
    <row r="437" spans="1:4" x14ac:dyDescent="0.2">
      <c r="A437" s="1">
        <v>44546</v>
      </c>
      <c r="B437">
        <f>20.6116</f>
        <v>20.611599999999999</v>
      </c>
      <c r="C437">
        <f>20.57</f>
        <v>20.57</v>
      </c>
      <c r="D437" t="e">
        <f>NA()</f>
        <v>#N/A</v>
      </c>
    </row>
    <row r="438" spans="1:4" x14ac:dyDescent="0.2">
      <c r="A438" s="1">
        <v>44545</v>
      </c>
      <c r="B438">
        <f>24.7416</f>
        <v>24.741599999999998</v>
      </c>
      <c r="C438">
        <f>19.29</f>
        <v>19.29</v>
      </c>
      <c r="D438">
        <f>517.4</f>
        <v>517.4</v>
      </c>
    </row>
    <row r="439" spans="1:4" x14ac:dyDescent="0.2">
      <c r="A439" s="1">
        <v>44544</v>
      </c>
      <c r="B439">
        <f>24.418</f>
        <v>24.417999999999999</v>
      </c>
      <c r="C439">
        <f>21.89</f>
        <v>21.89</v>
      </c>
      <c r="D439">
        <f>291.47</f>
        <v>291.47000000000003</v>
      </c>
    </row>
    <row r="440" spans="1:4" x14ac:dyDescent="0.2">
      <c r="A440" s="1">
        <v>44543</v>
      </c>
      <c r="B440">
        <f>23.0184</f>
        <v>23.0184</v>
      </c>
      <c r="C440">
        <f>20.31</f>
        <v>20.309999999999999</v>
      </c>
      <c r="D440">
        <f>250.54</f>
        <v>250.54</v>
      </c>
    </row>
    <row r="441" spans="1:4" x14ac:dyDescent="0.2">
      <c r="A441" s="1">
        <v>44540</v>
      </c>
      <c r="B441">
        <f>22.4272</f>
        <v>22.427199999999999</v>
      </c>
      <c r="C441">
        <f>18.69</f>
        <v>18.690000000000001</v>
      </c>
      <c r="D441">
        <f>231.81</f>
        <v>231.81</v>
      </c>
    </row>
    <row r="442" spans="1:4" x14ac:dyDescent="0.2">
      <c r="A442" s="1">
        <v>44539</v>
      </c>
      <c r="B442">
        <f>23.516</f>
        <v>23.515999999999998</v>
      </c>
      <c r="C442">
        <f>21.58</f>
        <v>21.58</v>
      </c>
      <c r="D442">
        <f>260.48</f>
        <v>260.48</v>
      </c>
    </row>
    <row r="443" spans="1:4" x14ac:dyDescent="0.2">
      <c r="A443" s="1">
        <v>44538</v>
      </c>
      <c r="B443">
        <f>24.708</f>
        <v>24.707999999999998</v>
      </c>
      <c r="C443">
        <f>19.9</f>
        <v>19.899999999999999</v>
      </c>
      <c r="D443">
        <f>289.88</f>
        <v>289.88</v>
      </c>
    </row>
    <row r="444" spans="1:4" x14ac:dyDescent="0.2">
      <c r="A444" s="1">
        <v>44537</v>
      </c>
      <c r="B444">
        <f>24.873</f>
        <v>24.873000000000001</v>
      </c>
      <c r="C444">
        <f>21.89</f>
        <v>21.89</v>
      </c>
      <c r="D444">
        <f>279.83</f>
        <v>279.83</v>
      </c>
    </row>
    <row r="445" spans="1:4" x14ac:dyDescent="0.2">
      <c r="A445" s="1">
        <v>44536</v>
      </c>
      <c r="B445">
        <f>30.041</f>
        <v>30.041</v>
      </c>
      <c r="C445">
        <f>27.18</f>
        <v>27.18</v>
      </c>
      <c r="D445">
        <f>221.27</f>
        <v>221.27</v>
      </c>
    </row>
    <row r="446" spans="1:4" x14ac:dyDescent="0.2">
      <c r="A446" s="1">
        <v>44533</v>
      </c>
      <c r="B446">
        <f>31.4794</f>
        <v>31.479399999999998</v>
      </c>
      <c r="C446">
        <f>30.67</f>
        <v>30.67</v>
      </c>
      <c r="D446">
        <f>258.29</f>
        <v>258.29000000000002</v>
      </c>
    </row>
    <row r="447" spans="1:4" x14ac:dyDescent="0.2">
      <c r="A447" s="1">
        <v>44532</v>
      </c>
      <c r="B447">
        <f>30.469</f>
        <v>30.469000000000001</v>
      </c>
      <c r="C447">
        <f>27.95</f>
        <v>27.95</v>
      </c>
      <c r="D447">
        <f>305.05</f>
        <v>305.05</v>
      </c>
    </row>
    <row r="448" spans="1:4" x14ac:dyDescent="0.2">
      <c r="A448" s="1">
        <v>44531</v>
      </c>
      <c r="B448">
        <f>26.0164</f>
        <v>26.016400000000001</v>
      </c>
      <c r="C448">
        <f>31.12</f>
        <v>31.12</v>
      </c>
      <c r="D448">
        <f>294.18</f>
        <v>294.18</v>
      </c>
    </row>
    <row r="449" spans="1:4" x14ac:dyDescent="0.2">
      <c r="A449" s="1">
        <v>44530</v>
      </c>
      <c r="B449">
        <f>30.0679</f>
        <v>30.067900000000002</v>
      </c>
      <c r="C449">
        <f>27.19</f>
        <v>27.19</v>
      </c>
      <c r="D449">
        <f>718.16</f>
        <v>718.16</v>
      </c>
    </row>
    <row r="450" spans="1:4" x14ac:dyDescent="0.2">
      <c r="A450" s="1">
        <v>44529</v>
      </c>
      <c r="B450">
        <f>28.8033</f>
        <v>28.8033</v>
      </c>
      <c r="C450">
        <f>22.96</f>
        <v>22.96</v>
      </c>
      <c r="D450">
        <f>283.04</f>
        <v>283.04000000000002</v>
      </c>
    </row>
    <row r="451" spans="1:4" x14ac:dyDescent="0.2">
      <c r="A451" s="1">
        <v>44526</v>
      </c>
      <c r="B451">
        <f>32.3129</f>
        <v>32.312899999999999</v>
      </c>
      <c r="C451">
        <f>28.62</f>
        <v>28.62</v>
      </c>
      <c r="D451">
        <f>421.09</f>
        <v>421.09</v>
      </c>
    </row>
    <row r="452" spans="1:4" x14ac:dyDescent="0.2">
      <c r="A452" s="1">
        <v>44525</v>
      </c>
      <c r="B452">
        <f>19.8777</f>
        <v>19.877700000000001</v>
      </c>
      <c r="C452" t="e">
        <f>NA()</f>
        <v>#N/A</v>
      </c>
      <c r="D452">
        <f>193.41</f>
        <v>193.41</v>
      </c>
    </row>
    <row r="453" spans="1:4" x14ac:dyDescent="0.2">
      <c r="A453" s="1">
        <v>44524</v>
      </c>
      <c r="B453">
        <f>20.666</f>
        <v>20.666</v>
      </c>
      <c r="C453">
        <f>18.58</f>
        <v>18.579999999999998</v>
      </c>
      <c r="D453">
        <f>264.25</f>
        <v>264.25</v>
      </c>
    </row>
    <row r="454" spans="1:4" x14ac:dyDescent="0.2">
      <c r="A454" s="1">
        <v>44523</v>
      </c>
      <c r="B454">
        <f>20.6416</f>
        <v>20.6416</v>
      </c>
      <c r="C454">
        <f>19.38</f>
        <v>19.38</v>
      </c>
      <c r="D454">
        <f>239.15</f>
        <v>239.15</v>
      </c>
    </row>
    <row r="455" spans="1:4" x14ac:dyDescent="0.2">
      <c r="A455" s="1">
        <v>44522</v>
      </c>
      <c r="B455">
        <f>18.8846</f>
        <v>18.884599999999999</v>
      </c>
      <c r="C455">
        <f>19.17</f>
        <v>19.170000000000002</v>
      </c>
      <c r="D455">
        <f>185.57</f>
        <v>185.57</v>
      </c>
    </row>
    <row r="456" spans="1:4" x14ac:dyDescent="0.2">
      <c r="A456" s="1">
        <v>44519</v>
      </c>
      <c r="B456">
        <f>19.1166</f>
        <v>19.116599999999998</v>
      </c>
      <c r="C456">
        <f>17.91</f>
        <v>17.91</v>
      </c>
      <c r="D456">
        <f>228</f>
        <v>228</v>
      </c>
    </row>
    <row r="457" spans="1:4" x14ac:dyDescent="0.2">
      <c r="A457" s="1">
        <v>44518</v>
      </c>
      <c r="B457">
        <f>17.7692</f>
        <v>17.769200000000001</v>
      </c>
      <c r="C457">
        <f>17.59</f>
        <v>17.59</v>
      </c>
      <c r="D457">
        <f>220.17</f>
        <v>220.17</v>
      </c>
    </row>
    <row r="458" spans="1:4" x14ac:dyDescent="0.2">
      <c r="A458" s="1">
        <v>44517</v>
      </c>
      <c r="B458">
        <f>16.6822</f>
        <v>16.682200000000002</v>
      </c>
      <c r="C458">
        <f>17.11</f>
        <v>17.11</v>
      </c>
      <c r="D458">
        <f>207.86</f>
        <v>207.86</v>
      </c>
    </row>
    <row r="459" spans="1:4" x14ac:dyDescent="0.2">
      <c r="A459" s="1">
        <v>44516</v>
      </c>
      <c r="B459">
        <f>16.7973</f>
        <v>16.7973</v>
      </c>
      <c r="C459">
        <f>16.37</f>
        <v>16.37</v>
      </c>
      <c r="D459">
        <f>223.91</f>
        <v>223.91</v>
      </c>
    </row>
    <row r="460" spans="1:4" x14ac:dyDescent="0.2">
      <c r="A460" s="1">
        <v>44515</v>
      </c>
      <c r="B460">
        <f>16.6495</f>
        <v>16.6495</v>
      </c>
      <c r="C460">
        <f>16.49</f>
        <v>16.489999999999998</v>
      </c>
      <c r="D460">
        <f>199.07</f>
        <v>199.07</v>
      </c>
    </row>
    <row r="461" spans="1:4" x14ac:dyDescent="0.2">
      <c r="A461" s="1">
        <v>44512</v>
      </c>
      <c r="B461">
        <f>16.1449</f>
        <v>16.1449</v>
      </c>
      <c r="C461">
        <f>16.29</f>
        <v>16.29</v>
      </c>
      <c r="D461">
        <f>190.54</f>
        <v>190.54</v>
      </c>
    </row>
    <row r="462" spans="1:4" x14ac:dyDescent="0.2">
      <c r="A462" s="1">
        <v>44511</v>
      </c>
      <c r="B462">
        <f>17.0902</f>
        <v>17.090199999999999</v>
      </c>
      <c r="C462">
        <f>17.66</f>
        <v>17.66</v>
      </c>
      <c r="D462">
        <f>208.71</f>
        <v>208.71</v>
      </c>
    </row>
    <row r="463" spans="1:4" x14ac:dyDescent="0.2">
      <c r="A463" s="1">
        <v>44510</v>
      </c>
      <c r="B463">
        <f>17.1761</f>
        <v>17.176100000000002</v>
      </c>
      <c r="C463">
        <f>18.73</f>
        <v>18.73</v>
      </c>
      <c r="D463">
        <f>268.94</f>
        <v>268.94</v>
      </c>
    </row>
    <row r="464" spans="1:4" x14ac:dyDescent="0.2">
      <c r="A464" s="1">
        <v>44509</v>
      </c>
      <c r="B464">
        <f>18.062</f>
        <v>18.062000000000001</v>
      </c>
      <c r="C464">
        <f>17.78</f>
        <v>17.78</v>
      </c>
      <c r="D464">
        <f>209.44</f>
        <v>209.44</v>
      </c>
    </row>
    <row r="465" spans="1:4" x14ac:dyDescent="0.2">
      <c r="A465" s="1">
        <v>44508</v>
      </c>
      <c r="B465">
        <f>17.1981</f>
        <v>17.1981</v>
      </c>
      <c r="C465">
        <f>17.22</f>
        <v>17.22</v>
      </c>
      <c r="D465">
        <f>234.96</f>
        <v>234.96</v>
      </c>
    </row>
    <row r="466" spans="1:4" x14ac:dyDescent="0.2">
      <c r="A466" s="1">
        <v>44505</v>
      </c>
      <c r="B466">
        <f>16.4029</f>
        <v>16.402899999999999</v>
      </c>
      <c r="C466">
        <f>16.48</f>
        <v>16.48</v>
      </c>
      <c r="D466">
        <f>222.63</f>
        <v>222.63</v>
      </c>
    </row>
    <row r="467" spans="1:4" x14ac:dyDescent="0.2">
      <c r="A467" s="1">
        <v>44504</v>
      </c>
      <c r="B467">
        <f>15.9723</f>
        <v>15.972300000000001</v>
      </c>
      <c r="C467">
        <f>15.44</f>
        <v>15.44</v>
      </c>
      <c r="D467">
        <f>217.08</f>
        <v>217.08</v>
      </c>
    </row>
    <row r="468" spans="1:4" x14ac:dyDescent="0.2">
      <c r="A468" s="1">
        <v>44503</v>
      </c>
      <c r="B468">
        <f>16.4717</f>
        <v>16.471699999999998</v>
      </c>
      <c r="C468">
        <f>15.1</f>
        <v>15.1</v>
      </c>
      <c r="D468">
        <f>226.12</f>
        <v>226.12</v>
      </c>
    </row>
    <row r="469" spans="1:4" x14ac:dyDescent="0.2">
      <c r="A469" s="1">
        <v>44502</v>
      </c>
      <c r="B469">
        <f>16.8576</f>
        <v>16.857600000000001</v>
      </c>
      <c r="C469">
        <f>16.03</f>
        <v>16.03</v>
      </c>
      <c r="D469">
        <f>295.76</f>
        <v>295.76</v>
      </c>
    </row>
    <row r="470" spans="1:4" x14ac:dyDescent="0.2">
      <c r="A470" s="1">
        <v>44501</v>
      </c>
      <c r="B470">
        <f>17.4961</f>
        <v>17.496099999999998</v>
      </c>
      <c r="C470">
        <f>16.41</f>
        <v>16.41</v>
      </c>
      <c r="D470" t="e">
        <f>NA()</f>
        <v>#N/A</v>
      </c>
    </row>
    <row r="471" spans="1:4" x14ac:dyDescent="0.2">
      <c r="A471" s="1">
        <v>44498</v>
      </c>
      <c r="B471">
        <f>17.6164</f>
        <v>17.616399999999999</v>
      </c>
      <c r="C471">
        <f>16.26</f>
        <v>16.260000000000002</v>
      </c>
      <c r="D471">
        <f>285.64</f>
        <v>285.64</v>
      </c>
    </row>
    <row r="472" spans="1:4" x14ac:dyDescent="0.2">
      <c r="A472" s="1">
        <v>44497</v>
      </c>
      <c r="B472">
        <f>17.6094</f>
        <v>17.609400000000001</v>
      </c>
      <c r="C472">
        <f>16.53</f>
        <v>16.53</v>
      </c>
      <c r="D472">
        <f>266.2</f>
        <v>266.2</v>
      </c>
    </row>
    <row r="473" spans="1:4" x14ac:dyDescent="0.2">
      <c r="A473" s="1">
        <v>44496</v>
      </c>
      <c r="B473">
        <f>16.9191</f>
        <v>16.9191</v>
      </c>
      <c r="C473">
        <f>16.98</f>
        <v>16.98</v>
      </c>
      <c r="D473">
        <f>258.81</f>
        <v>258.81</v>
      </c>
    </row>
    <row r="474" spans="1:4" x14ac:dyDescent="0.2">
      <c r="A474" s="1">
        <v>44495</v>
      </c>
      <c r="B474">
        <f>16.1505</f>
        <v>16.150500000000001</v>
      </c>
      <c r="C474">
        <f>15.98</f>
        <v>15.98</v>
      </c>
      <c r="D474">
        <f>228.7</f>
        <v>228.7</v>
      </c>
    </row>
    <row r="475" spans="1:4" x14ac:dyDescent="0.2">
      <c r="A475" s="1">
        <v>44494</v>
      </c>
      <c r="B475">
        <f>16.2815</f>
        <v>16.281500000000001</v>
      </c>
      <c r="C475">
        <f>15.24</f>
        <v>15.24</v>
      </c>
      <c r="D475">
        <f>175.23</f>
        <v>175.23</v>
      </c>
    </row>
    <row r="476" spans="1:4" x14ac:dyDescent="0.2">
      <c r="A476" s="1">
        <v>44491</v>
      </c>
      <c r="B476">
        <f>16.4007</f>
        <v>16.400700000000001</v>
      </c>
      <c r="C476">
        <f>15.43</f>
        <v>15.43</v>
      </c>
      <c r="D476">
        <f>146.8</f>
        <v>146.80000000000001</v>
      </c>
    </row>
    <row r="477" spans="1:4" x14ac:dyDescent="0.2">
      <c r="A477" s="1">
        <v>44490</v>
      </c>
      <c r="B477">
        <f>16.7516</f>
        <v>16.7516</v>
      </c>
      <c r="C477">
        <f>15.01</f>
        <v>15.01</v>
      </c>
      <c r="D477">
        <f>267.06</f>
        <v>267.06</v>
      </c>
    </row>
    <row r="478" spans="1:4" x14ac:dyDescent="0.2">
      <c r="A478" s="1">
        <v>44489</v>
      </c>
      <c r="B478">
        <f>15.9796</f>
        <v>15.9796</v>
      </c>
      <c r="C478">
        <f>15.49</f>
        <v>15.49</v>
      </c>
      <c r="D478">
        <f>198.6</f>
        <v>198.6</v>
      </c>
    </row>
    <row r="479" spans="1:4" x14ac:dyDescent="0.2">
      <c r="A479" s="1">
        <v>44488</v>
      </c>
      <c r="B479">
        <f>16.2901</f>
        <v>16.290099999999999</v>
      </c>
      <c r="C479">
        <f>15.7</f>
        <v>15.7</v>
      </c>
      <c r="D479">
        <f>192.5</f>
        <v>192.5</v>
      </c>
    </row>
    <row r="480" spans="1:4" x14ac:dyDescent="0.2">
      <c r="A480" s="1">
        <v>44487</v>
      </c>
      <c r="B480">
        <f>17.1324</f>
        <v>17.132400000000001</v>
      </c>
      <c r="C480">
        <f>16.31</f>
        <v>16.309999999999999</v>
      </c>
      <c r="D480">
        <f>180.77</f>
        <v>180.77</v>
      </c>
    </row>
    <row r="481" spans="1:4" x14ac:dyDescent="0.2">
      <c r="A481" s="1">
        <v>44484</v>
      </c>
      <c r="B481">
        <f>16.3486</f>
        <v>16.348600000000001</v>
      </c>
      <c r="C481">
        <f>16.3</f>
        <v>16.3</v>
      </c>
      <c r="D481">
        <f>204.94</f>
        <v>204.94</v>
      </c>
    </row>
    <row r="482" spans="1:4" x14ac:dyDescent="0.2">
      <c r="A482" s="1">
        <v>44483</v>
      </c>
      <c r="B482">
        <f>16.9918</f>
        <v>16.991800000000001</v>
      </c>
      <c r="C482">
        <f>16.86</f>
        <v>16.86</v>
      </c>
      <c r="D482">
        <f>292.95</f>
        <v>292.95</v>
      </c>
    </row>
    <row r="483" spans="1:4" x14ac:dyDescent="0.2">
      <c r="A483" s="1">
        <v>44482</v>
      </c>
      <c r="B483">
        <f>19.8415</f>
        <v>19.8415</v>
      </c>
      <c r="C483">
        <f>18.64</f>
        <v>18.64</v>
      </c>
      <c r="D483">
        <f>207.6</f>
        <v>207.6</v>
      </c>
    </row>
    <row r="484" spans="1:4" x14ac:dyDescent="0.2">
      <c r="A484" s="1">
        <v>44481</v>
      </c>
      <c r="B484">
        <f>20.7442</f>
        <v>20.744199999999999</v>
      </c>
      <c r="C484">
        <f>19.85</f>
        <v>19.850000000000001</v>
      </c>
      <c r="D484">
        <f>334.55</f>
        <v>334.55</v>
      </c>
    </row>
    <row r="485" spans="1:4" x14ac:dyDescent="0.2">
      <c r="A485" s="1">
        <v>44480</v>
      </c>
      <c r="B485">
        <f>20.1795</f>
        <v>20.179500000000001</v>
      </c>
      <c r="C485">
        <f>20</f>
        <v>20</v>
      </c>
      <c r="D485">
        <f>202.56</f>
        <v>202.56</v>
      </c>
    </row>
    <row r="486" spans="1:4" x14ac:dyDescent="0.2">
      <c r="A486" s="1">
        <v>44477</v>
      </c>
      <c r="B486">
        <f>20.2799</f>
        <v>20.279900000000001</v>
      </c>
      <c r="C486">
        <f>18.77</f>
        <v>18.77</v>
      </c>
      <c r="D486">
        <f>273.33</f>
        <v>273.33</v>
      </c>
    </row>
    <row r="487" spans="1:4" x14ac:dyDescent="0.2">
      <c r="A487" s="1">
        <v>44476</v>
      </c>
      <c r="B487">
        <f>21.0201</f>
        <v>21.020099999999999</v>
      </c>
      <c r="C487">
        <f>19.54</f>
        <v>19.54</v>
      </c>
      <c r="D487">
        <f>282.38</f>
        <v>282.38</v>
      </c>
    </row>
    <row r="488" spans="1:4" x14ac:dyDescent="0.2">
      <c r="A488" s="1">
        <v>44475</v>
      </c>
      <c r="B488">
        <f>24.3318</f>
        <v>24.331800000000001</v>
      </c>
      <c r="C488">
        <f>21</f>
        <v>21</v>
      </c>
      <c r="D488">
        <f>290.77</f>
        <v>290.77</v>
      </c>
    </row>
    <row r="489" spans="1:4" x14ac:dyDescent="0.2">
      <c r="A489" s="1">
        <v>44474</v>
      </c>
      <c r="B489">
        <f>22.2252</f>
        <v>22.225200000000001</v>
      </c>
      <c r="C489">
        <f>21.3</f>
        <v>21.3</v>
      </c>
      <c r="D489">
        <f>286.51</f>
        <v>286.51</v>
      </c>
    </row>
    <row r="490" spans="1:4" x14ac:dyDescent="0.2">
      <c r="A490" s="1">
        <v>44473</v>
      </c>
      <c r="B490">
        <f>25.1857</f>
        <v>25.185700000000001</v>
      </c>
      <c r="C490">
        <f>22.96</f>
        <v>22.96</v>
      </c>
      <c r="D490">
        <f>268.06</f>
        <v>268.06</v>
      </c>
    </row>
    <row r="491" spans="1:4" x14ac:dyDescent="0.2">
      <c r="A491" s="1">
        <v>44470</v>
      </c>
      <c r="B491">
        <f>24.0389</f>
        <v>24.038900000000002</v>
      </c>
      <c r="C491">
        <f>21.15</f>
        <v>21.15</v>
      </c>
      <c r="D491">
        <f>232.69</f>
        <v>232.69</v>
      </c>
    </row>
    <row r="492" spans="1:4" x14ac:dyDescent="0.2">
      <c r="A492" s="1">
        <v>44469</v>
      </c>
      <c r="B492">
        <f>23.2428</f>
        <v>23.242799999999999</v>
      </c>
      <c r="C492">
        <f>23.14</f>
        <v>23.14</v>
      </c>
      <c r="D492">
        <f>345.34</f>
        <v>345.34</v>
      </c>
    </row>
    <row r="493" spans="1:4" x14ac:dyDescent="0.2">
      <c r="A493" s="1">
        <v>44468</v>
      </c>
      <c r="B493">
        <f>23.9588</f>
        <v>23.9588</v>
      </c>
      <c r="C493">
        <f>22.56</f>
        <v>22.56</v>
      </c>
      <c r="D493">
        <f>259.12</f>
        <v>259.12</v>
      </c>
    </row>
    <row r="494" spans="1:4" x14ac:dyDescent="0.2">
      <c r="A494" s="1">
        <v>44467</v>
      </c>
      <c r="B494">
        <f>24.8941</f>
        <v>24.894100000000002</v>
      </c>
      <c r="C494">
        <f>23.25</f>
        <v>23.25</v>
      </c>
      <c r="D494">
        <f>380.23</f>
        <v>380.23</v>
      </c>
    </row>
    <row r="495" spans="1:4" x14ac:dyDescent="0.2">
      <c r="A495" s="1">
        <v>44466</v>
      </c>
      <c r="B495">
        <f>20.8349</f>
        <v>20.834900000000001</v>
      </c>
      <c r="C495">
        <f>18.76</f>
        <v>18.760000000000002</v>
      </c>
      <c r="D495">
        <f>311.75</f>
        <v>311.75</v>
      </c>
    </row>
    <row r="496" spans="1:4" x14ac:dyDescent="0.2">
      <c r="A496" s="1">
        <v>44463</v>
      </c>
      <c r="B496">
        <f>21.8467</f>
        <v>21.846699999999998</v>
      </c>
      <c r="C496">
        <f>17.75</f>
        <v>17.75</v>
      </c>
      <c r="D496" t="e">
        <f>NA()</f>
        <v>#N/A</v>
      </c>
    </row>
    <row r="497" spans="1:4" x14ac:dyDescent="0.2">
      <c r="A497" s="1">
        <v>44462</v>
      </c>
      <c r="B497">
        <f>20.6244</f>
        <v>20.624400000000001</v>
      </c>
      <c r="C497">
        <f>18.63</f>
        <v>18.63</v>
      </c>
      <c r="D497">
        <f>277.97</f>
        <v>277.97000000000003</v>
      </c>
    </row>
    <row r="498" spans="1:4" x14ac:dyDescent="0.2">
      <c r="A498" s="1">
        <v>44461</v>
      </c>
      <c r="B498">
        <f>22.8073</f>
        <v>22.807300000000001</v>
      </c>
      <c r="C498">
        <f>20.87</f>
        <v>20.87</v>
      </c>
      <c r="D498">
        <f>252.17</f>
        <v>252.17</v>
      </c>
    </row>
    <row r="499" spans="1:4" x14ac:dyDescent="0.2">
      <c r="A499" s="1">
        <v>44460</v>
      </c>
      <c r="B499">
        <f>25.5096</f>
        <v>25.509599999999999</v>
      </c>
      <c r="C499">
        <f>24.36</f>
        <v>24.36</v>
      </c>
      <c r="D499">
        <f>270.34</f>
        <v>270.33999999999997</v>
      </c>
    </row>
    <row r="500" spans="1:4" x14ac:dyDescent="0.2">
      <c r="A500" s="1">
        <v>44459</v>
      </c>
      <c r="B500">
        <f>26.4695</f>
        <v>26.4695</v>
      </c>
      <c r="C500">
        <f>25.71</f>
        <v>25.71</v>
      </c>
      <c r="D500">
        <f>288.73</f>
        <v>288.73</v>
      </c>
    </row>
    <row r="501" spans="1:4" x14ac:dyDescent="0.2">
      <c r="A501" s="1">
        <v>44456</v>
      </c>
      <c r="B501">
        <f>23.1662</f>
        <v>23.1662</v>
      </c>
      <c r="C501">
        <f>20.81</f>
        <v>20.81</v>
      </c>
      <c r="D501">
        <f>649.76</f>
        <v>649.76</v>
      </c>
    </row>
    <row r="502" spans="1:4" x14ac:dyDescent="0.2">
      <c r="A502" s="1">
        <v>44455</v>
      </c>
      <c r="B502">
        <f>21.6515</f>
        <v>21.651499999999999</v>
      </c>
      <c r="C502">
        <f>18.69</f>
        <v>18.690000000000001</v>
      </c>
      <c r="D502">
        <f>525.21</f>
        <v>525.21</v>
      </c>
    </row>
    <row r="503" spans="1:4" x14ac:dyDescent="0.2">
      <c r="A503" s="1">
        <v>44454</v>
      </c>
      <c r="B503">
        <f>21.6946</f>
        <v>21.694600000000001</v>
      </c>
      <c r="C503">
        <f>18.18</f>
        <v>18.18</v>
      </c>
      <c r="D503">
        <f>268.63</f>
        <v>268.63</v>
      </c>
    </row>
    <row r="504" spans="1:4" x14ac:dyDescent="0.2">
      <c r="A504" s="1">
        <v>44453</v>
      </c>
      <c r="B504">
        <f>20.4635</f>
        <v>20.4635</v>
      </c>
      <c r="C504">
        <f>19.46</f>
        <v>19.46</v>
      </c>
      <c r="D504">
        <f>813.08</f>
        <v>813.08</v>
      </c>
    </row>
    <row r="505" spans="1:4" x14ac:dyDescent="0.2">
      <c r="A505" s="1">
        <v>44452</v>
      </c>
      <c r="B505">
        <f>20.7429</f>
        <v>20.742899999999999</v>
      </c>
      <c r="C505">
        <f>19.37</f>
        <v>19.37</v>
      </c>
      <c r="D505">
        <f>215.98</f>
        <v>215.98</v>
      </c>
    </row>
    <row r="506" spans="1:4" x14ac:dyDescent="0.2">
      <c r="A506" s="1">
        <v>44449</v>
      </c>
      <c r="B506">
        <f>20.357</f>
        <v>20.356999999999999</v>
      </c>
      <c r="C506">
        <f>20.95</f>
        <v>20.95</v>
      </c>
      <c r="D506">
        <f>215.8</f>
        <v>215.8</v>
      </c>
    </row>
    <row r="507" spans="1:4" x14ac:dyDescent="0.2">
      <c r="A507" s="1">
        <v>44448</v>
      </c>
      <c r="B507">
        <f>19.6412</f>
        <v>19.641200000000001</v>
      </c>
      <c r="C507">
        <f>18.8</f>
        <v>18.8</v>
      </c>
      <c r="D507">
        <f>251.35</f>
        <v>251.35</v>
      </c>
    </row>
    <row r="508" spans="1:4" x14ac:dyDescent="0.2">
      <c r="A508" s="1">
        <v>44447</v>
      </c>
      <c r="B508">
        <f>20.4927</f>
        <v>20.492699999999999</v>
      </c>
      <c r="C508">
        <f>17.96</f>
        <v>17.96</v>
      </c>
      <c r="D508">
        <f>205.1</f>
        <v>205.1</v>
      </c>
    </row>
    <row r="509" spans="1:4" x14ac:dyDescent="0.2">
      <c r="A509" s="1">
        <v>44446</v>
      </c>
      <c r="B509">
        <f>18.6</f>
        <v>18.600000000000001</v>
      </c>
      <c r="C509">
        <f>18.14</f>
        <v>18.14</v>
      </c>
      <c r="D509">
        <f>206.78</f>
        <v>206.78</v>
      </c>
    </row>
    <row r="510" spans="1:4" x14ac:dyDescent="0.2">
      <c r="A510" s="1">
        <v>44445</v>
      </c>
      <c r="B510">
        <f>17.5551</f>
        <v>17.555099999999999</v>
      </c>
      <c r="C510" t="e">
        <f>NA()</f>
        <v>#N/A</v>
      </c>
      <c r="D510">
        <f>200.99</f>
        <v>200.99</v>
      </c>
    </row>
    <row r="511" spans="1:4" x14ac:dyDescent="0.2">
      <c r="A511" s="1">
        <v>44442</v>
      </c>
      <c r="B511">
        <f>18.1919</f>
        <v>18.1919</v>
      </c>
      <c r="C511">
        <f>16.41</f>
        <v>16.41</v>
      </c>
      <c r="D511">
        <f>206.08</f>
        <v>206.08</v>
      </c>
    </row>
    <row r="512" spans="1:4" x14ac:dyDescent="0.2">
      <c r="A512" s="1">
        <v>44441</v>
      </c>
      <c r="B512">
        <f>16.9721</f>
        <v>16.972100000000001</v>
      </c>
      <c r="C512">
        <f>16.41</f>
        <v>16.41</v>
      </c>
      <c r="D512">
        <f>263.71</f>
        <v>263.70999999999998</v>
      </c>
    </row>
    <row r="513" spans="1:4" x14ac:dyDescent="0.2">
      <c r="A513" s="1">
        <v>44440</v>
      </c>
      <c r="B513">
        <f>17.4679</f>
        <v>17.4679</v>
      </c>
      <c r="C513">
        <f>16.11</f>
        <v>16.11</v>
      </c>
      <c r="D513">
        <f>260.46</f>
        <v>260.45999999999998</v>
      </c>
    </row>
    <row r="514" spans="1:4" x14ac:dyDescent="0.2">
      <c r="A514" s="1">
        <v>44439</v>
      </c>
      <c r="B514">
        <f>18.7654</f>
        <v>18.7654</v>
      </c>
      <c r="C514">
        <f>16.48</f>
        <v>16.48</v>
      </c>
      <c r="D514">
        <f>319.01</f>
        <v>319.01</v>
      </c>
    </row>
    <row r="515" spans="1:4" x14ac:dyDescent="0.2">
      <c r="A515" s="1">
        <v>44438</v>
      </c>
      <c r="B515">
        <f>17.498</f>
        <v>17.498000000000001</v>
      </c>
      <c r="C515">
        <f>16.19</f>
        <v>16.190000000000001</v>
      </c>
      <c r="D515">
        <f>116.91</f>
        <v>116.91</v>
      </c>
    </row>
    <row r="516" spans="1:4" x14ac:dyDescent="0.2">
      <c r="A516" s="1">
        <v>44435</v>
      </c>
      <c r="B516">
        <f>17.6003</f>
        <v>17.600300000000001</v>
      </c>
      <c r="C516">
        <f>16.39</f>
        <v>16.39</v>
      </c>
      <c r="D516">
        <f>187.42</f>
        <v>187.42</v>
      </c>
    </row>
    <row r="517" spans="1:4" x14ac:dyDescent="0.2">
      <c r="A517" s="1">
        <v>44434</v>
      </c>
      <c r="B517">
        <f>19.0944</f>
        <v>19.0944</v>
      </c>
      <c r="C517">
        <f>18.84</f>
        <v>18.84</v>
      </c>
      <c r="D517">
        <f>229.28</f>
        <v>229.28</v>
      </c>
    </row>
    <row r="518" spans="1:4" x14ac:dyDescent="0.2">
      <c r="A518" s="1">
        <v>44433</v>
      </c>
      <c r="B518">
        <f>17.8302</f>
        <v>17.830200000000001</v>
      </c>
      <c r="C518">
        <f>16.79</f>
        <v>16.79</v>
      </c>
      <c r="D518">
        <f>332.12</f>
        <v>332.12</v>
      </c>
    </row>
    <row r="519" spans="1:4" x14ac:dyDescent="0.2">
      <c r="A519" s="1">
        <v>44432</v>
      </c>
      <c r="B519">
        <f>18.0943</f>
        <v>18.0943</v>
      </c>
      <c r="C519">
        <f>17.22</f>
        <v>17.22</v>
      </c>
      <c r="D519">
        <f>208.04</f>
        <v>208.04</v>
      </c>
    </row>
    <row r="520" spans="1:4" x14ac:dyDescent="0.2">
      <c r="A520" s="1">
        <v>44431</v>
      </c>
      <c r="B520">
        <f>17.8943</f>
        <v>17.894300000000001</v>
      </c>
      <c r="C520">
        <f>17.15</f>
        <v>17.149999999999999</v>
      </c>
      <c r="D520">
        <f>185.4</f>
        <v>185.4</v>
      </c>
    </row>
    <row r="521" spans="1:4" x14ac:dyDescent="0.2">
      <c r="A521" s="1">
        <v>44428</v>
      </c>
      <c r="B521">
        <f>20.1509</f>
        <v>20.1509</v>
      </c>
      <c r="C521">
        <f>18.56</f>
        <v>18.559999999999999</v>
      </c>
      <c r="D521">
        <f>210.94</f>
        <v>210.94</v>
      </c>
    </row>
    <row r="522" spans="1:4" x14ac:dyDescent="0.2">
      <c r="A522" s="1">
        <v>44427</v>
      </c>
      <c r="B522">
        <f>22.1296</f>
        <v>22.1296</v>
      </c>
      <c r="C522">
        <f>21.67</f>
        <v>21.67</v>
      </c>
      <c r="D522">
        <f>277.76</f>
        <v>277.76</v>
      </c>
    </row>
    <row r="523" spans="1:4" x14ac:dyDescent="0.2">
      <c r="A523" s="1">
        <v>44426</v>
      </c>
      <c r="B523">
        <f>18.4705</f>
        <v>18.470500000000001</v>
      </c>
      <c r="C523">
        <f>21.57</f>
        <v>21.57</v>
      </c>
      <c r="D523">
        <f>179.92</f>
        <v>179.92</v>
      </c>
    </row>
    <row r="524" spans="1:4" x14ac:dyDescent="0.2">
      <c r="A524" s="1">
        <v>44425</v>
      </c>
      <c r="B524">
        <f>18.3901</f>
        <v>18.3901</v>
      </c>
      <c r="C524">
        <f>17.91</f>
        <v>17.91</v>
      </c>
      <c r="D524">
        <f>396.65</f>
        <v>396.65</v>
      </c>
    </row>
    <row r="525" spans="1:4" x14ac:dyDescent="0.2">
      <c r="A525" s="1">
        <v>44424</v>
      </c>
      <c r="B525">
        <f>18.0025</f>
        <v>18.002500000000001</v>
      </c>
      <c r="C525">
        <f>16.12</f>
        <v>16.12</v>
      </c>
      <c r="D525">
        <f>260.26</f>
        <v>260.26</v>
      </c>
    </row>
    <row r="526" spans="1:4" x14ac:dyDescent="0.2">
      <c r="A526" s="1">
        <v>44421</v>
      </c>
      <c r="B526">
        <f>15.8002</f>
        <v>15.8002</v>
      </c>
      <c r="C526">
        <f>15.45</f>
        <v>15.45</v>
      </c>
      <c r="D526">
        <f>281.46</f>
        <v>281.45999999999998</v>
      </c>
    </row>
    <row r="527" spans="1:4" x14ac:dyDescent="0.2">
      <c r="A527" s="1">
        <v>44420</v>
      </c>
      <c r="B527">
        <f>16.1073</f>
        <v>16.107299999999999</v>
      </c>
      <c r="C527">
        <f>15.59</f>
        <v>15.59</v>
      </c>
      <c r="D527">
        <f>222.51</f>
        <v>222.51</v>
      </c>
    </row>
    <row r="528" spans="1:4" x14ac:dyDescent="0.2">
      <c r="A528" s="1">
        <v>44419</v>
      </c>
      <c r="B528">
        <f>17.038</f>
        <v>17.038</v>
      </c>
      <c r="C528">
        <f>16.06</f>
        <v>16.059999999999999</v>
      </c>
      <c r="D528">
        <f>220.08</f>
        <v>220.08</v>
      </c>
    </row>
    <row r="529" spans="1:4" x14ac:dyDescent="0.2">
      <c r="A529" s="1">
        <v>44418</v>
      </c>
      <c r="B529">
        <f>17.2752</f>
        <v>17.275200000000002</v>
      </c>
      <c r="C529">
        <f>16.79</f>
        <v>16.79</v>
      </c>
      <c r="D529">
        <f>244.24</f>
        <v>244.24</v>
      </c>
    </row>
    <row r="530" spans="1:4" x14ac:dyDescent="0.2">
      <c r="A530" s="1">
        <v>44417</v>
      </c>
      <c r="B530">
        <f>17.5508</f>
        <v>17.550799999999999</v>
      </c>
      <c r="C530">
        <f>16.72</f>
        <v>16.72</v>
      </c>
      <c r="D530" t="e">
        <f>NA()</f>
        <v>#N/A</v>
      </c>
    </row>
    <row r="531" spans="1:4" x14ac:dyDescent="0.2">
      <c r="A531" s="1">
        <v>44414</v>
      </c>
      <c r="B531">
        <f>17.8883</f>
        <v>17.888300000000001</v>
      </c>
      <c r="C531">
        <f>16.15</f>
        <v>16.149999999999999</v>
      </c>
      <c r="D531">
        <f>250.91</f>
        <v>250.91</v>
      </c>
    </row>
    <row r="532" spans="1:4" x14ac:dyDescent="0.2">
      <c r="A532" s="1">
        <v>44413</v>
      </c>
      <c r="B532">
        <f>18.2492</f>
        <v>18.249199999999998</v>
      </c>
      <c r="C532">
        <f>17.28</f>
        <v>17.28</v>
      </c>
      <c r="D532">
        <f>279.56</f>
        <v>279.56</v>
      </c>
    </row>
    <row r="533" spans="1:4" x14ac:dyDescent="0.2">
      <c r="A533" s="1">
        <v>44412</v>
      </c>
      <c r="B533">
        <f>19.2129</f>
        <v>19.212900000000001</v>
      </c>
      <c r="C533">
        <f>17.97</f>
        <v>17.97</v>
      </c>
      <c r="D533">
        <f>203.67</f>
        <v>203.67</v>
      </c>
    </row>
    <row r="534" spans="1:4" x14ac:dyDescent="0.2">
      <c r="A534" s="1">
        <v>44411</v>
      </c>
      <c r="B534">
        <f>20.2233</f>
        <v>20.223299999999998</v>
      </c>
      <c r="C534">
        <f>18.04</f>
        <v>18.04</v>
      </c>
      <c r="D534">
        <f>180.92</f>
        <v>180.92</v>
      </c>
    </row>
    <row r="535" spans="1:4" x14ac:dyDescent="0.2">
      <c r="A535" s="1">
        <v>44410</v>
      </c>
      <c r="B535">
        <f>19.8395</f>
        <v>19.839500000000001</v>
      </c>
      <c r="C535">
        <f>19.46</f>
        <v>19.46</v>
      </c>
      <c r="D535">
        <f>163.77</f>
        <v>163.77000000000001</v>
      </c>
    </row>
    <row r="536" spans="1:4" x14ac:dyDescent="0.2">
      <c r="A536" s="1">
        <v>44407</v>
      </c>
      <c r="B536">
        <f>20.9392</f>
        <v>20.9392</v>
      </c>
      <c r="C536">
        <f>18.24</f>
        <v>18.239999999999998</v>
      </c>
      <c r="D536">
        <f>267.98</f>
        <v>267.98</v>
      </c>
    </row>
    <row r="537" spans="1:4" x14ac:dyDescent="0.2">
      <c r="A537" s="1">
        <v>44406</v>
      </c>
      <c r="B537">
        <f>19.2556</f>
        <v>19.255600000000001</v>
      </c>
      <c r="C537">
        <f>17.7</f>
        <v>17.7</v>
      </c>
      <c r="D537">
        <f>172.47</f>
        <v>172.47</v>
      </c>
    </row>
    <row r="538" spans="1:4" x14ac:dyDescent="0.2">
      <c r="A538" s="1">
        <v>44405</v>
      </c>
      <c r="B538">
        <f>19.4809</f>
        <v>19.480899999999998</v>
      </c>
      <c r="C538">
        <f>18.31</f>
        <v>18.309999999999999</v>
      </c>
      <c r="D538">
        <f>147.2</f>
        <v>147.19999999999999</v>
      </c>
    </row>
    <row r="539" spans="1:4" x14ac:dyDescent="0.2">
      <c r="A539" s="1">
        <v>44404</v>
      </c>
      <c r="B539">
        <f>21.3563</f>
        <v>21.356300000000001</v>
      </c>
      <c r="C539">
        <f>19.36</f>
        <v>19.36</v>
      </c>
      <c r="D539">
        <f>178.01</f>
        <v>178.01</v>
      </c>
    </row>
    <row r="540" spans="1:4" x14ac:dyDescent="0.2">
      <c r="A540" s="1">
        <v>44403</v>
      </c>
      <c r="B540">
        <f>18.5323</f>
        <v>18.532299999999999</v>
      </c>
      <c r="C540">
        <f>17.58</f>
        <v>17.579999999999998</v>
      </c>
      <c r="D540">
        <f>174.34</f>
        <v>174.34</v>
      </c>
    </row>
    <row r="541" spans="1:4" x14ac:dyDescent="0.2">
      <c r="A541" s="1">
        <v>44400</v>
      </c>
      <c r="B541">
        <f>17.5527</f>
        <v>17.552700000000002</v>
      </c>
      <c r="C541">
        <f>17.2</f>
        <v>17.2</v>
      </c>
      <c r="D541">
        <f>148.23</f>
        <v>148.22999999999999</v>
      </c>
    </row>
    <row r="542" spans="1:4" x14ac:dyDescent="0.2">
      <c r="A542" s="1">
        <v>44399</v>
      </c>
      <c r="B542">
        <f>19.9131</f>
        <v>19.9131</v>
      </c>
      <c r="C542">
        <f>17.69</f>
        <v>17.690000000000001</v>
      </c>
      <c r="D542">
        <f>180.17</f>
        <v>180.17</v>
      </c>
    </row>
    <row r="543" spans="1:4" x14ac:dyDescent="0.2">
      <c r="A543" s="1">
        <v>44398</v>
      </c>
      <c r="B543">
        <f>21.5241</f>
        <v>21.524100000000001</v>
      </c>
      <c r="C543">
        <f>17.91</f>
        <v>17.91</v>
      </c>
      <c r="D543">
        <f>197.33</f>
        <v>197.33</v>
      </c>
    </row>
    <row r="544" spans="1:4" x14ac:dyDescent="0.2">
      <c r="A544" s="1">
        <v>44397</v>
      </c>
      <c r="B544">
        <f>24.4923</f>
        <v>24.4923</v>
      </c>
      <c r="C544">
        <f>19.73</f>
        <v>19.73</v>
      </c>
      <c r="D544">
        <f>203.96</f>
        <v>203.96</v>
      </c>
    </row>
    <row r="545" spans="1:4" x14ac:dyDescent="0.2">
      <c r="A545" s="1">
        <v>44396</v>
      </c>
      <c r="B545">
        <f>25.4361</f>
        <v>25.4361</v>
      </c>
      <c r="C545">
        <f>22.5</f>
        <v>22.5</v>
      </c>
      <c r="D545">
        <f>187.18</f>
        <v>187.18</v>
      </c>
    </row>
    <row r="546" spans="1:4" x14ac:dyDescent="0.2">
      <c r="A546" s="1">
        <v>44393</v>
      </c>
      <c r="B546">
        <f>19.4537</f>
        <v>19.453700000000001</v>
      </c>
      <c r="C546">
        <f>18.45</f>
        <v>18.45</v>
      </c>
      <c r="D546">
        <f>197.47</f>
        <v>197.47</v>
      </c>
    </row>
    <row r="547" spans="1:4" x14ac:dyDescent="0.2">
      <c r="A547" s="1">
        <v>44392</v>
      </c>
      <c r="B547">
        <f>18.642</f>
        <v>18.641999999999999</v>
      </c>
      <c r="C547">
        <f>17.01</f>
        <v>17.010000000000002</v>
      </c>
      <c r="D547">
        <f>212.63</f>
        <v>212.63</v>
      </c>
    </row>
    <row r="548" spans="1:4" x14ac:dyDescent="0.2">
      <c r="A548" s="1">
        <v>44391</v>
      </c>
      <c r="B548">
        <f>17.6841</f>
        <v>17.684100000000001</v>
      </c>
      <c r="C548">
        <f>16.33</f>
        <v>16.329999999999998</v>
      </c>
      <c r="D548">
        <f>270.62</f>
        <v>270.62</v>
      </c>
    </row>
    <row r="549" spans="1:4" x14ac:dyDescent="0.2">
      <c r="A549" s="1">
        <v>44390</v>
      </c>
      <c r="B549">
        <f>17.9989</f>
        <v>17.998899999999999</v>
      </c>
      <c r="C549">
        <f>17.12</f>
        <v>17.12</v>
      </c>
      <c r="D549">
        <f>288.04</f>
        <v>288.04000000000002</v>
      </c>
    </row>
    <row r="550" spans="1:4" x14ac:dyDescent="0.2">
      <c r="A550" s="1">
        <v>44389</v>
      </c>
      <c r="B550">
        <f>17.9521</f>
        <v>17.952100000000002</v>
      </c>
      <c r="C550">
        <f>16.17</f>
        <v>16.170000000000002</v>
      </c>
      <c r="D550">
        <f>224.14</f>
        <v>224.14</v>
      </c>
    </row>
    <row r="551" spans="1:4" x14ac:dyDescent="0.2">
      <c r="A551" s="1">
        <v>44386</v>
      </c>
      <c r="B551">
        <f>17.9506</f>
        <v>17.950600000000001</v>
      </c>
      <c r="C551">
        <f>16.18</f>
        <v>16.18</v>
      </c>
      <c r="D551">
        <f>216.65</f>
        <v>216.65</v>
      </c>
    </row>
    <row r="552" spans="1:4" x14ac:dyDescent="0.2">
      <c r="A552" s="1">
        <v>44385</v>
      </c>
      <c r="B552">
        <f>19.9652</f>
        <v>19.965199999999999</v>
      </c>
      <c r="C552">
        <f>19</f>
        <v>19</v>
      </c>
      <c r="D552">
        <f>253.18</f>
        <v>253.18</v>
      </c>
    </row>
    <row r="553" spans="1:4" x14ac:dyDescent="0.2">
      <c r="A553" s="1">
        <v>44384</v>
      </c>
      <c r="B553">
        <f>17.3168</f>
        <v>17.316800000000001</v>
      </c>
      <c r="C553">
        <f>16.2</f>
        <v>16.2</v>
      </c>
      <c r="D553">
        <f>202.33</f>
        <v>202.33</v>
      </c>
    </row>
    <row r="554" spans="1:4" x14ac:dyDescent="0.2">
      <c r="A554" s="1">
        <v>44383</v>
      </c>
      <c r="B554">
        <f>18.1255</f>
        <v>18.125499999999999</v>
      </c>
      <c r="C554">
        <f>16.44</f>
        <v>16.440000000000001</v>
      </c>
      <c r="D554">
        <f>164.88</f>
        <v>164.88</v>
      </c>
    </row>
    <row r="555" spans="1:4" x14ac:dyDescent="0.2">
      <c r="A555" s="1">
        <v>44382</v>
      </c>
      <c r="B555">
        <f>16.7545</f>
        <v>16.7545</v>
      </c>
      <c r="C555" t="e">
        <f>NA()</f>
        <v>#N/A</v>
      </c>
      <c r="D555">
        <f>145.17</f>
        <v>145.16999999999999</v>
      </c>
    </row>
    <row r="556" spans="1:4" x14ac:dyDescent="0.2">
      <c r="A556" s="1">
        <v>44379</v>
      </c>
      <c r="B556">
        <f>16.5747</f>
        <v>16.5747</v>
      </c>
      <c r="C556">
        <f>15.07</f>
        <v>15.07</v>
      </c>
      <c r="D556">
        <f>125.55</f>
        <v>125.55</v>
      </c>
    </row>
    <row r="557" spans="1:4" x14ac:dyDescent="0.2">
      <c r="A557" s="1">
        <v>44378</v>
      </c>
      <c r="B557">
        <f>17.7267</f>
        <v>17.726700000000001</v>
      </c>
      <c r="C557">
        <f>15.48</f>
        <v>15.48</v>
      </c>
      <c r="D557">
        <f>160.26</f>
        <v>160.26</v>
      </c>
    </row>
    <row r="558" spans="1:4" x14ac:dyDescent="0.2">
      <c r="A558" s="1">
        <v>44377</v>
      </c>
      <c r="B558">
        <f>18.1849</f>
        <v>18.184899999999999</v>
      </c>
      <c r="C558">
        <f>15.83</f>
        <v>15.83</v>
      </c>
      <c r="D558">
        <f>245.06</f>
        <v>245.06</v>
      </c>
    </row>
    <row r="559" spans="1:4" x14ac:dyDescent="0.2">
      <c r="A559" s="1">
        <v>44376</v>
      </c>
      <c r="B559">
        <f>16.9495</f>
        <v>16.9495</v>
      </c>
      <c r="C559">
        <f>16.02</f>
        <v>16.02</v>
      </c>
      <c r="D559">
        <f>195.1</f>
        <v>195.1</v>
      </c>
    </row>
    <row r="560" spans="1:4" x14ac:dyDescent="0.2">
      <c r="A560" s="1">
        <v>44375</v>
      </c>
      <c r="B560">
        <f>17.6455</f>
        <v>17.645499999999998</v>
      </c>
      <c r="C560">
        <f>15.76</f>
        <v>15.76</v>
      </c>
      <c r="D560">
        <f>208.97</f>
        <v>208.97</v>
      </c>
    </row>
    <row r="561" spans="1:4" x14ac:dyDescent="0.2">
      <c r="A561" s="1">
        <v>44372</v>
      </c>
      <c r="B561">
        <f>16.6823</f>
        <v>16.682300000000001</v>
      </c>
      <c r="C561">
        <f>15.62</f>
        <v>15.62</v>
      </c>
      <c r="D561">
        <f>210.95</f>
        <v>210.95</v>
      </c>
    </row>
    <row r="562" spans="1:4" x14ac:dyDescent="0.2">
      <c r="A562" s="1">
        <v>44371</v>
      </c>
      <c r="B562">
        <f>17.3518</f>
        <v>17.351800000000001</v>
      </c>
      <c r="C562">
        <f>15.97</f>
        <v>15.97</v>
      </c>
      <c r="D562">
        <f>223.35</f>
        <v>223.35</v>
      </c>
    </row>
    <row r="563" spans="1:4" x14ac:dyDescent="0.2">
      <c r="A563" s="1">
        <v>44370</v>
      </c>
      <c r="B563">
        <f>18.549</f>
        <v>18.548999999999999</v>
      </c>
      <c r="C563">
        <f>16.32</f>
        <v>16.32</v>
      </c>
      <c r="D563">
        <f>200.29</f>
        <v>200.29</v>
      </c>
    </row>
    <row r="564" spans="1:4" x14ac:dyDescent="0.2">
      <c r="A564" s="1">
        <v>44369</v>
      </c>
      <c r="B564">
        <f>17.5733</f>
        <v>17.5733</v>
      </c>
      <c r="C564">
        <f>16.66</f>
        <v>16.66</v>
      </c>
      <c r="D564">
        <f>225.93</f>
        <v>225.93</v>
      </c>
    </row>
    <row r="565" spans="1:4" x14ac:dyDescent="0.2">
      <c r="A565" s="1">
        <v>44368</v>
      </c>
      <c r="B565">
        <f>19.4847</f>
        <v>19.4847</v>
      </c>
      <c r="C565">
        <f>17.89</f>
        <v>17.89</v>
      </c>
      <c r="D565">
        <f>216.27</f>
        <v>216.27</v>
      </c>
    </row>
    <row r="566" spans="1:4" x14ac:dyDescent="0.2">
      <c r="A566" s="1">
        <v>44365</v>
      </c>
      <c r="B566">
        <f>20.7634</f>
        <v>20.763400000000001</v>
      </c>
      <c r="C566">
        <f>20.7</f>
        <v>20.7</v>
      </c>
      <c r="D566">
        <f>499.18</f>
        <v>499.18</v>
      </c>
    </row>
    <row r="567" spans="1:4" x14ac:dyDescent="0.2">
      <c r="A567" s="1">
        <v>44364</v>
      </c>
      <c r="B567">
        <f>17.0804</f>
        <v>17.080400000000001</v>
      </c>
      <c r="C567">
        <f>17.75</f>
        <v>17.75</v>
      </c>
      <c r="D567">
        <f>568.9</f>
        <v>568.9</v>
      </c>
    </row>
    <row r="568" spans="1:4" x14ac:dyDescent="0.2">
      <c r="A568" s="1">
        <v>44363</v>
      </c>
      <c r="B568">
        <f>16.1772</f>
        <v>16.177199999999999</v>
      </c>
      <c r="C568">
        <f>18.15</f>
        <v>18.149999999999999</v>
      </c>
      <c r="D568" t="e">
        <f>NA()</f>
        <v>#N/A</v>
      </c>
    </row>
    <row r="569" spans="1:4" x14ac:dyDescent="0.2">
      <c r="A569" s="1">
        <v>44362</v>
      </c>
      <c r="B569">
        <f>16.4055</f>
        <v>16.4055</v>
      </c>
      <c r="C569">
        <f>17.02</f>
        <v>17.02</v>
      </c>
      <c r="D569">
        <f>232.08</f>
        <v>232.08</v>
      </c>
    </row>
    <row r="570" spans="1:4" x14ac:dyDescent="0.2">
      <c r="A570" s="1">
        <v>44361</v>
      </c>
      <c r="B570">
        <f>16.0495</f>
        <v>16.049499999999998</v>
      </c>
      <c r="C570">
        <f>16.39</f>
        <v>16.39</v>
      </c>
      <c r="D570">
        <f>157.37</f>
        <v>157.37</v>
      </c>
    </row>
    <row r="571" spans="1:4" x14ac:dyDescent="0.2">
      <c r="A571" s="1">
        <v>44358</v>
      </c>
      <c r="B571">
        <f>15.1511</f>
        <v>15.1511</v>
      </c>
      <c r="C571">
        <f>15.65</f>
        <v>15.65</v>
      </c>
      <c r="D571">
        <f>194.5</f>
        <v>194.5</v>
      </c>
    </row>
    <row r="572" spans="1:4" x14ac:dyDescent="0.2">
      <c r="A572" s="1">
        <v>44357</v>
      </c>
      <c r="B572">
        <f>16.6565</f>
        <v>16.656500000000001</v>
      </c>
      <c r="C572">
        <f>16.1</f>
        <v>16.100000000000001</v>
      </c>
      <c r="D572">
        <f>225.05</f>
        <v>225.05</v>
      </c>
    </row>
    <row r="573" spans="1:4" x14ac:dyDescent="0.2">
      <c r="A573" s="1">
        <v>44356</v>
      </c>
      <c r="B573">
        <f>17.2322</f>
        <v>17.232199999999999</v>
      </c>
      <c r="C573">
        <f>17.89</f>
        <v>17.89</v>
      </c>
      <c r="D573">
        <f>256.37</f>
        <v>256.37</v>
      </c>
    </row>
    <row r="574" spans="1:4" x14ac:dyDescent="0.2">
      <c r="A574" s="1">
        <v>44355</v>
      </c>
      <c r="B574">
        <f>17.7247</f>
        <v>17.724699999999999</v>
      </c>
      <c r="C574">
        <f>17.07</f>
        <v>17.07</v>
      </c>
      <c r="D574">
        <f>246.14</f>
        <v>246.14</v>
      </c>
    </row>
    <row r="575" spans="1:4" x14ac:dyDescent="0.2">
      <c r="A575" s="1">
        <v>44354</v>
      </c>
      <c r="B575">
        <f>17.711</f>
        <v>17.710999999999999</v>
      </c>
      <c r="C575">
        <f>16.42</f>
        <v>16.420000000000002</v>
      </c>
      <c r="D575">
        <f>169.48</f>
        <v>169.48</v>
      </c>
    </row>
    <row r="576" spans="1:4" x14ac:dyDescent="0.2">
      <c r="A576" s="1">
        <v>44351</v>
      </c>
      <c r="B576">
        <f>17.376</f>
        <v>17.376000000000001</v>
      </c>
      <c r="C576">
        <f>16.42</f>
        <v>16.420000000000002</v>
      </c>
      <c r="D576">
        <f>209.56</f>
        <v>209.56</v>
      </c>
    </row>
    <row r="577" spans="1:4" x14ac:dyDescent="0.2">
      <c r="A577" s="1">
        <v>44350</v>
      </c>
      <c r="B577">
        <f>18.2446</f>
        <v>18.244599999999998</v>
      </c>
      <c r="C577">
        <f>18.04</f>
        <v>18.04</v>
      </c>
      <c r="D577">
        <f>226.97</f>
        <v>226.97</v>
      </c>
    </row>
    <row r="578" spans="1:4" x14ac:dyDescent="0.2">
      <c r="A578" s="1">
        <v>44349</v>
      </c>
      <c r="B578">
        <f>17.8481</f>
        <v>17.848099999999999</v>
      </c>
      <c r="C578">
        <f>17.48</f>
        <v>17.48</v>
      </c>
      <c r="D578">
        <f>232.85</f>
        <v>232.85</v>
      </c>
    </row>
    <row r="579" spans="1:4" x14ac:dyDescent="0.2">
      <c r="A579" s="1">
        <v>44348</v>
      </c>
      <c r="B579">
        <f>18.7726</f>
        <v>18.772600000000001</v>
      </c>
      <c r="C579">
        <f>17.9</f>
        <v>17.899999999999999</v>
      </c>
      <c r="D579">
        <f>272.25</f>
        <v>272.25</v>
      </c>
    </row>
    <row r="580" spans="1:4" x14ac:dyDescent="0.2">
      <c r="A580" s="1">
        <v>44347</v>
      </c>
      <c r="B580">
        <f>19.0981</f>
        <v>19.098099999999999</v>
      </c>
      <c r="C580" t="e">
        <f>NA()</f>
        <v>#N/A</v>
      </c>
      <c r="D580">
        <f>139.73</f>
        <v>139.72999999999999</v>
      </c>
    </row>
    <row r="581" spans="1:4" x14ac:dyDescent="0.2">
      <c r="A581" s="1">
        <v>44344</v>
      </c>
      <c r="B581">
        <f>17.1662</f>
        <v>17.1662</v>
      </c>
      <c r="C581">
        <f>16.76</f>
        <v>16.760000000000002</v>
      </c>
      <c r="D581">
        <f>297.36</f>
        <v>297.36</v>
      </c>
    </row>
    <row r="582" spans="1:4" x14ac:dyDescent="0.2">
      <c r="A582" s="1">
        <v>44343</v>
      </c>
      <c r="B582">
        <f>17.8227</f>
        <v>17.822700000000001</v>
      </c>
      <c r="C582">
        <f>16.74</f>
        <v>16.739999999999998</v>
      </c>
      <c r="D582">
        <f>416.2</f>
        <v>416.2</v>
      </c>
    </row>
    <row r="583" spans="1:4" x14ac:dyDescent="0.2">
      <c r="A583" s="1">
        <v>44342</v>
      </c>
      <c r="B583">
        <f>18.2823</f>
        <v>18.282299999999999</v>
      </c>
      <c r="C583">
        <f>17.36</f>
        <v>17.36</v>
      </c>
      <c r="D583">
        <f>200.43</f>
        <v>200.43</v>
      </c>
    </row>
    <row r="584" spans="1:4" x14ac:dyDescent="0.2">
      <c r="A584" s="1">
        <v>44341</v>
      </c>
      <c r="B584">
        <f>19.0816</f>
        <v>19.081600000000002</v>
      </c>
      <c r="C584">
        <f>18.84</f>
        <v>18.84</v>
      </c>
      <c r="D584">
        <f>292.44</f>
        <v>292.44</v>
      </c>
    </row>
    <row r="585" spans="1:4" x14ac:dyDescent="0.2">
      <c r="A585" s="1">
        <v>44340</v>
      </c>
      <c r="B585">
        <f>19.2364</f>
        <v>19.2364</v>
      </c>
      <c r="C585">
        <f>18.4</f>
        <v>18.399999999999999</v>
      </c>
      <c r="D585">
        <f>195.28</f>
        <v>195.28</v>
      </c>
    </row>
    <row r="586" spans="1:4" x14ac:dyDescent="0.2">
      <c r="A586" s="1">
        <v>44337</v>
      </c>
      <c r="B586">
        <f>20.3521</f>
        <v>20.3521</v>
      </c>
      <c r="C586">
        <f>20.15</f>
        <v>20.149999999999999</v>
      </c>
      <c r="D586">
        <f>190.16</f>
        <v>190.16</v>
      </c>
    </row>
    <row r="587" spans="1:4" x14ac:dyDescent="0.2">
      <c r="A587" s="1">
        <v>44336</v>
      </c>
      <c r="B587">
        <f>22.1023</f>
        <v>22.1023</v>
      </c>
      <c r="C587">
        <f>20.67</f>
        <v>20.67</v>
      </c>
      <c r="D587">
        <f>200.75</f>
        <v>200.75</v>
      </c>
    </row>
    <row r="588" spans="1:4" x14ac:dyDescent="0.2">
      <c r="A588" s="1">
        <v>44335</v>
      </c>
      <c r="B588">
        <f>24.4802</f>
        <v>24.4802</v>
      </c>
      <c r="C588">
        <f>22.18</f>
        <v>22.18</v>
      </c>
      <c r="D588">
        <f>209.81</f>
        <v>209.81</v>
      </c>
    </row>
    <row r="589" spans="1:4" x14ac:dyDescent="0.2">
      <c r="A589" s="1">
        <v>44334</v>
      </c>
      <c r="B589">
        <f>21.3082</f>
        <v>21.308199999999999</v>
      </c>
      <c r="C589">
        <f>21.34</f>
        <v>21.34</v>
      </c>
      <c r="D589">
        <f>243.29</f>
        <v>243.29</v>
      </c>
    </row>
    <row r="590" spans="1:4" x14ac:dyDescent="0.2">
      <c r="A590" s="1">
        <v>44333</v>
      </c>
      <c r="B590">
        <f>21.8052</f>
        <v>21.805199999999999</v>
      </c>
      <c r="C590">
        <f>19.72</f>
        <v>19.72</v>
      </c>
      <c r="D590">
        <f>181.05</f>
        <v>181.05</v>
      </c>
    </row>
    <row r="591" spans="1:4" x14ac:dyDescent="0.2">
      <c r="A591" s="1">
        <v>44330</v>
      </c>
      <c r="B591">
        <f>19.5457</f>
        <v>19.5457</v>
      </c>
      <c r="C591">
        <f>18.81</f>
        <v>18.809999999999999</v>
      </c>
      <c r="D591">
        <f>275.43</f>
        <v>275.43</v>
      </c>
    </row>
    <row r="592" spans="1:4" x14ac:dyDescent="0.2">
      <c r="A592" s="1">
        <v>44329</v>
      </c>
      <c r="B592">
        <f>23.3498</f>
        <v>23.349799999999998</v>
      </c>
      <c r="C592">
        <f>23.13</f>
        <v>23.13</v>
      </c>
      <c r="D592">
        <f>220.58</f>
        <v>220.58</v>
      </c>
    </row>
    <row r="593" spans="1:4" x14ac:dyDescent="0.2">
      <c r="A593" s="1">
        <v>44328</v>
      </c>
      <c r="B593">
        <f>23.9387</f>
        <v>23.938700000000001</v>
      </c>
      <c r="C593">
        <f>27.59</f>
        <v>27.59</v>
      </c>
      <c r="D593">
        <f>193.34</f>
        <v>193.34</v>
      </c>
    </row>
    <row r="594" spans="1:4" x14ac:dyDescent="0.2">
      <c r="A594" s="1">
        <v>44327</v>
      </c>
      <c r="B594">
        <f>22.5573</f>
        <v>22.557300000000001</v>
      </c>
      <c r="C594">
        <f>21.84</f>
        <v>21.84</v>
      </c>
      <c r="D594">
        <f>235.02</f>
        <v>235.02</v>
      </c>
    </row>
    <row r="595" spans="1:4" x14ac:dyDescent="0.2">
      <c r="A595" s="1">
        <v>44326</v>
      </c>
      <c r="B595">
        <f>18.5019</f>
        <v>18.501899999999999</v>
      </c>
      <c r="C595">
        <f>19.66</f>
        <v>19.66</v>
      </c>
      <c r="D595">
        <f>240.55</f>
        <v>240.55</v>
      </c>
    </row>
    <row r="596" spans="1:4" x14ac:dyDescent="0.2">
      <c r="A596" s="1">
        <v>44323</v>
      </c>
      <c r="B596">
        <f>18.3838</f>
        <v>18.383800000000001</v>
      </c>
      <c r="C596">
        <f>16.69</f>
        <v>16.690000000000001</v>
      </c>
      <c r="D596">
        <f>276.35</f>
        <v>276.35000000000002</v>
      </c>
    </row>
    <row r="597" spans="1:4" x14ac:dyDescent="0.2">
      <c r="A597" s="1">
        <v>44322</v>
      </c>
      <c r="B597">
        <f>20.3775</f>
        <v>20.377500000000001</v>
      </c>
      <c r="C597">
        <f>18.39</f>
        <v>18.39</v>
      </c>
      <c r="D597">
        <f>258.87</f>
        <v>258.87</v>
      </c>
    </row>
    <row r="598" spans="1:4" x14ac:dyDescent="0.2">
      <c r="A598" s="1">
        <v>44321</v>
      </c>
      <c r="B598">
        <f>19.9042</f>
        <v>19.904199999999999</v>
      </c>
      <c r="C598">
        <f>19.15</f>
        <v>19.149999999999999</v>
      </c>
      <c r="D598">
        <f>229.92</f>
        <v>229.92</v>
      </c>
    </row>
    <row r="599" spans="1:4" x14ac:dyDescent="0.2">
      <c r="A599" s="1">
        <v>44320</v>
      </c>
      <c r="B599">
        <f>22.8185</f>
        <v>22.8185</v>
      </c>
      <c r="C599">
        <f>19.48</f>
        <v>19.48</v>
      </c>
      <c r="D599">
        <f>202.7</f>
        <v>202.7</v>
      </c>
    </row>
    <row r="600" spans="1:4" x14ac:dyDescent="0.2">
      <c r="A600" s="1">
        <v>44319</v>
      </c>
      <c r="B600">
        <f>19.9314</f>
        <v>19.9314</v>
      </c>
      <c r="C600">
        <f>18.31</f>
        <v>18.309999999999999</v>
      </c>
      <c r="D600">
        <f>180.83</f>
        <v>180.83</v>
      </c>
    </row>
    <row r="601" spans="1:4" x14ac:dyDescent="0.2">
      <c r="A601" s="1">
        <v>44316</v>
      </c>
      <c r="B601">
        <f>20.6309</f>
        <v>20.6309</v>
      </c>
      <c r="C601">
        <f>18.61</f>
        <v>18.61</v>
      </c>
      <c r="D601">
        <f>278.46</f>
        <v>278.45999999999998</v>
      </c>
    </row>
    <row r="602" spans="1:4" x14ac:dyDescent="0.2">
      <c r="A602" s="1">
        <v>44315</v>
      </c>
      <c r="B602">
        <f>18.8768</f>
        <v>18.876799999999999</v>
      </c>
      <c r="C602">
        <f>17.61</f>
        <v>17.61</v>
      </c>
      <c r="D602">
        <f>214.16</f>
        <v>214.16</v>
      </c>
    </row>
    <row r="603" spans="1:4" x14ac:dyDescent="0.2">
      <c r="A603" s="1">
        <v>44314</v>
      </c>
      <c r="B603">
        <f>18.377</f>
        <v>18.376999999999999</v>
      </c>
      <c r="C603">
        <f>17.28</f>
        <v>17.28</v>
      </c>
      <c r="D603">
        <f>217.92</f>
        <v>217.92</v>
      </c>
    </row>
    <row r="604" spans="1:4" x14ac:dyDescent="0.2">
      <c r="A604" s="1">
        <v>44313</v>
      </c>
      <c r="B604">
        <f>19.2123</f>
        <v>19.212299999999999</v>
      </c>
      <c r="C604">
        <f>17.56</f>
        <v>17.559999999999999</v>
      </c>
      <c r="D604" t="e">
        <f>NA()</f>
        <v>#N/A</v>
      </c>
    </row>
    <row r="605" spans="1:4" x14ac:dyDescent="0.2">
      <c r="A605" s="1">
        <v>44312</v>
      </c>
      <c r="B605">
        <f>18.2841</f>
        <v>18.284099999999999</v>
      </c>
      <c r="C605">
        <f>17.64</f>
        <v>17.64</v>
      </c>
      <c r="D605">
        <f>132.37</f>
        <v>132.37</v>
      </c>
    </row>
    <row r="606" spans="1:4" x14ac:dyDescent="0.2">
      <c r="A606" s="1">
        <v>44309</v>
      </c>
      <c r="B606">
        <f>18.1883</f>
        <v>18.188300000000002</v>
      </c>
      <c r="C606">
        <f>17.33</f>
        <v>17.329999999999998</v>
      </c>
      <c r="D606">
        <f>195.84</f>
        <v>195.84</v>
      </c>
    </row>
    <row r="607" spans="1:4" x14ac:dyDescent="0.2">
      <c r="A607" s="1">
        <v>44308</v>
      </c>
      <c r="B607">
        <f>17.7562</f>
        <v>17.7562</v>
      </c>
      <c r="C607">
        <f>18.71</f>
        <v>18.71</v>
      </c>
      <c r="D607">
        <f>186.63</f>
        <v>186.63</v>
      </c>
    </row>
    <row r="608" spans="1:4" x14ac:dyDescent="0.2">
      <c r="A608" s="1">
        <v>44307</v>
      </c>
      <c r="B608">
        <f>19.2813</f>
        <v>19.281300000000002</v>
      </c>
      <c r="C608">
        <f>17.5</f>
        <v>17.5</v>
      </c>
      <c r="D608">
        <f>197.02</f>
        <v>197.02</v>
      </c>
    </row>
    <row r="609" spans="1:4" x14ac:dyDescent="0.2">
      <c r="A609" s="1">
        <v>44306</v>
      </c>
      <c r="B609">
        <f>21.0797</f>
        <v>21.079699999999999</v>
      </c>
      <c r="C609">
        <f>18.68</f>
        <v>18.68</v>
      </c>
      <c r="D609">
        <f>217.55</f>
        <v>217.55</v>
      </c>
    </row>
    <row r="610" spans="1:4" x14ac:dyDescent="0.2">
      <c r="A610" s="1">
        <v>44305</v>
      </c>
      <c r="B610">
        <f>17.2101</f>
        <v>17.210100000000001</v>
      </c>
      <c r="C610">
        <f>17.29</f>
        <v>17.29</v>
      </c>
      <c r="D610">
        <f>188.32</f>
        <v>188.32</v>
      </c>
    </row>
    <row r="611" spans="1:4" x14ac:dyDescent="0.2">
      <c r="A611" s="1">
        <v>44302</v>
      </c>
      <c r="B611">
        <f>16.1131</f>
        <v>16.113099999999999</v>
      </c>
      <c r="C611">
        <f>16.25</f>
        <v>16.25</v>
      </c>
      <c r="D611">
        <f>224.89</f>
        <v>224.89</v>
      </c>
    </row>
    <row r="612" spans="1:4" x14ac:dyDescent="0.2">
      <c r="A612" s="1">
        <v>44301</v>
      </c>
      <c r="B612">
        <f>15.7081</f>
        <v>15.7081</v>
      </c>
      <c r="C612">
        <f>16.57</f>
        <v>16.57</v>
      </c>
      <c r="D612">
        <f>210.14</f>
        <v>210.14</v>
      </c>
    </row>
    <row r="613" spans="1:4" x14ac:dyDescent="0.2">
      <c r="A613" s="1">
        <v>44300</v>
      </c>
      <c r="B613">
        <f>16.1903</f>
        <v>16.190300000000001</v>
      </c>
      <c r="C613">
        <f>16.99</f>
        <v>16.989999999999998</v>
      </c>
      <c r="D613">
        <f>261.27</f>
        <v>261.27</v>
      </c>
    </row>
    <row r="614" spans="1:4" x14ac:dyDescent="0.2">
      <c r="A614" s="1">
        <v>44299</v>
      </c>
      <c r="B614">
        <f>16.3086</f>
        <v>16.308599999999998</v>
      </c>
      <c r="C614">
        <f>16.65</f>
        <v>16.649999999999999</v>
      </c>
      <c r="D614">
        <f>285.69</f>
        <v>285.69</v>
      </c>
    </row>
    <row r="615" spans="1:4" x14ac:dyDescent="0.2">
      <c r="A615" s="1">
        <v>44298</v>
      </c>
      <c r="B615">
        <f>17.0514</f>
        <v>17.051400000000001</v>
      </c>
      <c r="C615">
        <f>16.91</f>
        <v>16.91</v>
      </c>
      <c r="D615">
        <f>221.7</f>
        <v>221.7</v>
      </c>
    </row>
    <row r="616" spans="1:4" x14ac:dyDescent="0.2">
      <c r="A616" s="1">
        <v>44295</v>
      </c>
      <c r="B616">
        <f>16.1768</f>
        <v>16.1768</v>
      </c>
      <c r="C616">
        <f>16.69</f>
        <v>16.690000000000001</v>
      </c>
      <c r="D616">
        <f>171.86</f>
        <v>171.86</v>
      </c>
    </row>
    <row r="617" spans="1:4" x14ac:dyDescent="0.2">
      <c r="A617" s="1">
        <v>44294</v>
      </c>
      <c r="B617">
        <f>16.1602</f>
        <v>16.1602</v>
      </c>
      <c r="C617">
        <f>16.95</f>
        <v>16.95</v>
      </c>
      <c r="D617">
        <f>194.91</f>
        <v>194.91</v>
      </c>
    </row>
    <row r="618" spans="1:4" x14ac:dyDescent="0.2">
      <c r="A618" s="1">
        <v>44293</v>
      </c>
      <c r="B618">
        <f>16.6645</f>
        <v>16.6645</v>
      </c>
      <c r="C618">
        <f>17.16</f>
        <v>17.16</v>
      </c>
      <c r="D618">
        <f>247.45</f>
        <v>247.45</v>
      </c>
    </row>
    <row r="619" spans="1:4" x14ac:dyDescent="0.2">
      <c r="A619" s="1">
        <v>44292</v>
      </c>
      <c r="B619">
        <f>17.1057</f>
        <v>17.105699999999999</v>
      </c>
      <c r="C619">
        <f>18.12</f>
        <v>18.12</v>
      </c>
      <c r="D619">
        <f>169.27</f>
        <v>169.27</v>
      </c>
    </row>
    <row r="620" spans="1:4" x14ac:dyDescent="0.2">
      <c r="A620" s="1">
        <v>44291</v>
      </c>
      <c r="B620" t="e">
        <f>NA()</f>
        <v>#N/A</v>
      </c>
      <c r="C620">
        <f>17.91</f>
        <v>17.91</v>
      </c>
      <c r="D620" t="e">
        <f>NA()</f>
        <v>#N/A</v>
      </c>
    </row>
    <row r="621" spans="1:4" x14ac:dyDescent="0.2">
      <c r="A621" s="1">
        <v>44287</v>
      </c>
      <c r="B621">
        <f>16.8956</f>
        <v>16.895600000000002</v>
      </c>
      <c r="C621">
        <f>17.33</f>
        <v>17.329999999999998</v>
      </c>
      <c r="D621">
        <f>305.5</f>
        <v>305.5</v>
      </c>
    </row>
    <row r="622" spans="1:4" x14ac:dyDescent="0.2">
      <c r="A622" s="1">
        <v>44286</v>
      </c>
      <c r="B622">
        <f>17.9742</f>
        <v>17.9742</v>
      </c>
      <c r="C622">
        <f>19.4</f>
        <v>19.399999999999999</v>
      </c>
      <c r="D622">
        <f>242.76</f>
        <v>242.76</v>
      </c>
    </row>
    <row r="623" spans="1:4" x14ac:dyDescent="0.2">
      <c r="A623" s="1">
        <v>44285</v>
      </c>
      <c r="B623">
        <f>18.4722</f>
        <v>18.472200000000001</v>
      </c>
      <c r="C623">
        <f>19.61</f>
        <v>19.61</v>
      </c>
      <c r="D623">
        <f>244.41</f>
        <v>244.41</v>
      </c>
    </row>
    <row r="624" spans="1:4" x14ac:dyDescent="0.2">
      <c r="A624" s="1">
        <v>44284</v>
      </c>
      <c r="B624">
        <f>18.348</f>
        <v>18.347999999999999</v>
      </c>
      <c r="C624">
        <f>20.74</f>
        <v>20.74</v>
      </c>
      <c r="D624">
        <f>226.32</f>
        <v>226.32</v>
      </c>
    </row>
    <row r="625" spans="1:4" x14ac:dyDescent="0.2">
      <c r="A625" s="1">
        <v>44281</v>
      </c>
      <c r="B625">
        <f>17.112</f>
        <v>17.111999999999998</v>
      </c>
      <c r="C625">
        <f>18.86</f>
        <v>18.86</v>
      </c>
      <c r="D625">
        <f>222.59</f>
        <v>222.59</v>
      </c>
    </row>
    <row r="626" spans="1:4" x14ac:dyDescent="0.2">
      <c r="A626" s="1">
        <v>44280</v>
      </c>
      <c r="B626">
        <f>18.8836</f>
        <v>18.883600000000001</v>
      </c>
      <c r="C626">
        <f>19.81</f>
        <v>19.809999999999999</v>
      </c>
      <c r="D626">
        <f>247.45</f>
        <v>247.45</v>
      </c>
    </row>
    <row r="627" spans="1:4" x14ac:dyDescent="0.2">
      <c r="A627" s="1">
        <v>44279</v>
      </c>
      <c r="B627">
        <f>17.7712</f>
        <v>17.7712</v>
      </c>
      <c r="C627">
        <f>21.2</f>
        <v>21.2</v>
      </c>
      <c r="D627">
        <f>315.09</f>
        <v>315.08999999999997</v>
      </c>
    </row>
    <row r="628" spans="1:4" x14ac:dyDescent="0.2">
      <c r="A628" s="1">
        <v>44278</v>
      </c>
      <c r="B628">
        <f>17.5964</f>
        <v>17.596399999999999</v>
      </c>
      <c r="C628">
        <f>20.3</f>
        <v>20.3</v>
      </c>
      <c r="D628">
        <f>315.82</f>
        <v>315.82</v>
      </c>
    </row>
    <row r="629" spans="1:4" x14ac:dyDescent="0.2">
      <c r="A629" s="1">
        <v>44277</v>
      </c>
      <c r="B629">
        <f>17.6826</f>
        <v>17.682600000000001</v>
      </c>
      <c r="C629">
        <f>18.88</f>
        <v>18.88</v>
      </c>
      <c r="D629" t="e">
        <f>NA()</f>
        <v>#N/A</v>
      </c>
    </row>
    <row r="630" spans="1:4" x14ac:dyDescent="0.2">
      <c r="A630" s="1">
        <v>44274</v>
      </c>
      <c r="B630">
        <f>18.395</f>
        <v>18.395</v>
      </c>
      <c r="C630">
        <f>20.95</f>
        <v>20.95</v>
      </c>
      <c r="D630">
        <f>666.75</f>
        <v>666.75</v>
      </c>
    </row>
    <row r="631" spans="1:4" x14ac:dyDescent="0.2">
      <c r="A631" s="1">
        <v>44273</v>
      </c>
      <c r="B631">
        <f>17.4622</f>
        <v>17.462199999999999</v>
      </c>
      <c r="C631">
        <f>21.58</f>
        <v>21.58</v>
      </c>
      <c r="D631">
        <f>560.42</f>
        <v>560.41999999999996</v>
      </c>
    </row>
    <row r="632" spans="1:4" x14ac:dyDescent="0.2">
      <c r="A632" s="1">
        <v>44272</v>
      </c>
      <c r="B632">
        <f>17.5706</f>
        <v>17.570599999999999</v>
      </c>
      <c r="C632">
        <f>19.23</f>
        <v>19.23</v>
      </c>
      <c r="D632">
        <f>313.41</f>
        <v>313.41000000000003</v>
      </c>
    </row>
    <row r="633" spans="1:4" x14ac:dyDescent="0.2">
      <c r="A633" s="1">
        <v>44271</v>
      </c>
      <c r="B633">
        <f>17.5488</f>
        <v>17.5488</v>
      </c>
      <c r="C633">
        <f>19.79</f>
        <v>19.79</v>
      </c>
      <c r="D633">
        <f>288.87</f>
        <v>288.87</v>
      </c>
    </row>
    <row r="634" spans="1:4" x14ac:dyDescent="0.2">
      <c r="A634" s="1">
        <v>44270</v>
      </c>
      <c r="B634">
        <f>18.6234</f>
        <v>18.6234</v>
      </c>
      <c r="C634">
        <f>20.03</f>
        <v>20.03</v>
      </c>
      <c r="D634">
        <f>258.1</f>
        <v>258.10000000000002</v>
      </c>
    </row>
    <row r="635" spans="1:4" x14ac:dyDescent="0.2">
      <c r="A635" s="1">
        <v>44267</v>
      </c>
      <c r="B635">
        <f>18.7087</f>
        <v>18.7087</v>
      </c>
      <c r="C635">
        <f>20.69</f>
        <v>20.69</v>
      </c>
      <c r="D635">
        <f>289.06</f>
        <v>289.06</v>
      </c>
    </row>
    <row r="636" spans="1:4" x14ac:dyDescent="0.2">
      <c r="A636" s="1">
        <v>44266</v>
      </c>
      <c r="B636">
        <f>18.8846</f>
        <v>18.884599999999999</v>
      </c>
      <c r="C636">
        <f>21.91</f>
        <v>21.91</v>
      </c>
      <c r="D636">
        <f>330.63</f>
        <v>330.63</v>
      </c>
    </row>
    <row r="637" spans="1:4" x14ac:dyDescent="0.2">
      <c r="A637" s="1">
        <v>44265</v>
      </c>
      <c r="B637">
        <f>19.6671</f>
        <v>19.667100000000001</v>
      </c>
      <c r="C637">
        <f>22.56</f>
        <v>22.56</v>
      </c>
      <c r="D637">
        <f>257.5</f>
        <v>257.5</v>
      </c>
    </row>
    <row r="638" spans="1:4" x14ac:dyDescent="0.2">
      <c r="A638" s="1">
        <v>44264</v>
      </c>
      <c r="B638">
        <f>20.2608</f>
        <v>20.2608</v>
      </c>
      <c r="C638">
        <f>24.03</f>
        <v>24.03</v>
      </c>
      <c r="D638">
        <f>321.73</f>
        <v>321.73</v>
      </c>
    </row>
    <row r="639" spans="1:4" x14ac:dyDescent="0.2">
      <c r="A639" s="1">
        <v>44263</v>
      </c>
      <c r="B639">
        <f>20.8952</f>
        <v>20.895199999999999</v>
      </c>
      <c r="C639">
        <f>25.47</f>
        <v>25.47</v>
      </c>
      <c r="D639">
        <f>255.46</f>
        <v>255.46</v>
      </c>
    </row>
    <row r="640" spans="1:4" x14ac:dyDescent="0.2">
      <c r="A640" s="1">
        <v>44260</v>
      </c>
      <c r="B640">
        <f>25.0782</f>
        <v>25.078199999999999</v>
      </c>
      <c r="C640">
        <f>24.66</f>
        <v>24.66</v>
      </c>
      <c r="D640">
        <f>208.33</f>
        <v>208.33</v>
      </c>
    </row>
    <row r="641" spans="1:4" x14ac:dyDescent="0.2">
      <c r="A641" s="1">
        <v>44259</v>
      </c>
      <c r="B641">
        <f>22.0916</f>
        <v>22.0916</v>
      </c>
      <c r="C641">
        <f>28.57</f>
        <v>28.57</v>
      </c>
      <c r="D641">
        <f>255.51</f>
        <v>255.51</v>
      </c>
    </row>
    <row r="642" spans="1:4" x14ac:dyDescent="0.2">
      <c r="A642" s="1">
        <v>44258</v>
      </c>
      <c r="B642">
        <f>21.6956</f>
        <v>21.695599999999999</v>
      </c>
      <c r="C642">
        <f>26.67</f>
        <v>26.67</v>
      </c>
      <c r="D642">
        <f>245.11</f>
        <v>245.11</v>
      </c>
    </row>
    <row r="643" spans="1:4" x14ac:dyDescent="0.2">
      <c r="A643" s="1">
        <v>44257</v>
      </c>
      <c r="B643">
        <f>21.8134</f>
        <v>21.813400000000001</v>
      </c>
      <c r="C643">
        <f>24.1</f>
        <v>24.1</v>
      </c>
      <c r="D643">
        <f>245.86</f>
        <v>245.86</v>
      </c>
    </row>
    <row r="644" spans="1:4" x14ac:dyDescent="0.2">
      <c r="A644" s="1">
        <v>44256</v>
      </c>
      <c r="B644">
        <f>22.1594</f>
        <v>22.159400000000002</v>
      </c>
      <c r="C644">
        <f>23.35</f>
        <v>23.35</v>
      </c>
      <c r="D644">
        <f>246.42</f>
        <v>246.42</v>
      </c>
    </row>
    <row r="645" spans="1:4" x14ac:dyDescent="0.2">
      <c r="A645" s="1">
        <v>44253</v>
      </c>
      <c r="B645">
        <f>26.8632</f>
        <v>26.863199999999999</v>
      </c>
      <c r="C645">
        <f>27.95</f>
        <v>27.95</v>
      </c>
      <c r="D645">
        <f>449.75</f>
        <v>449.75</v>
      </c>
    </row>
    <row r="646" spans="1:4" x14ac:dyDescent="0.2">
      <c r="A646" s="1">
        <v>44252</v>
      </c>
      <c r="B646">
        <f>22.0962</f>
        <v>22.0962</v>
      </c>
      <c r="C646">
        <f>28.89</f>
        <v>28.89</v>
      </c>
      <c r="D646">
        <f>336.6</f>
        <v>336.6</v>
      </c>
    </row>
    <row r="647" spans="1:4" x14ac:dyDescent="0.2">
      <c r="A647" s="1">
        <v>44251</v>
      </c>
      <c r="B647">
        <f>21.4258</f>
        <v>21.425799999999999</v>
      </c>
      <c r="C647">
        <f>21.34</f>
        <v>21.34</v>
      </c>
      <c r="D647">
        <f>275.44</f>
        <v>275.44</v>
      </c>
    </row>
    <row r="648" spans="1:4" x14ac:dyDescent="0.2">
      <c r="A648" s="1">
        <v>44250</v>
      </c>
      <c r="B648">
        <f>23.1325</f>
        <v>23.1325</v>
      </c>
      <c r="C648">
        <f>23.11</f>
        <v>23.11</v>
      </c>
      <c r="D648">
        <f>257.05</f>
        <v>257.05</v>
      </c>
    </row>
    <row r="649" spans="1:4" x14ac:dyDescent="0.2">
      <c r="A649" s="1">
        <v>44249</v>
      </c>
      <c r="B649">
        <f>21.6934</f>
        <v>21.6934</v>
      </c>
      <c r="C649">
        <f>23.45</f>
        <v>23.45</v>
      </c>
      <c r="D649">
        <f>236.9</f>
        <v>236.9</v>
      </c>
    </row>
    <row r="650" spans="1:4" x14ac:dyDescent="0.2">
      <c r="A650" s="1">
        <v>44246</v>
      </c>
      <c r="B650">
        <f>20.4844</f>
        <v>20.484400000000001</v>
      </c>
      <c r="C650">
        <f>22.05</f>
        <v>22.05</v>
      </c>
      <c r="D650">
        <f>300.86</f>
        <v>300.86</v>
      </c>
    </row>
    <row r="651" spans="1:4" x14ac:dyDescent="0.2">
      <c r="A651" s="1">
        <v>44245</v>
      </c>
      <c r="B651">
        <f>22.5234</f>
        <v>22.523399999999999</v>
      </c>
      <c r="C651">
        <f>22.49</f>
        <v>22.49</v>
      </c>
      <c r="D651">
        <f>365.35</f>
        <v>365.35</v>
      </c>
    </row>
    <row r="652" spans="1:4" x14ac:dyDescent="0.2">
      <c r="A652" s="1">
        <v>44244</v>
      </c>
      <c r="B652">
        <f>21.829</f>
        <v>21.829000000000001</v>
      </c>
      <c r="C652">
        <f>21.5</f>
        <v>21.5</v>
      </c>
      <c r="D652">
        <f>381.71</f>
        <v>381.71</v>
      </c>
    </row>
    <row r="653" spans="1:4" x14ac:dyDescent="0.2">
      <c r="A653" s="1">
        <v>44243</v>
      </c>
      <c r="B653">
        <f>20.9294</f>
        <v>20.929400000000001</v>
      </c>
      <c r="C653">
        <f>21.46</f>
        <v>21.46</v>
      </c>
      <c r="D653">
        <f>309.96</f>
        <v>309.95999999999998</v>
      </c>
    </row>
    <row r="654" spans="1:4" x14ac:dyDescent="0.2">
      <c r="A654" s="1">
        <v>44242</v>
      </c>
      <c r="B654">
        <f>20.1531</f>
        <v>20.153099999999998</v>
      </c>
      <c r="C654" t="e">
        <f>NA()</f>
        <v>#N/A</v>
      </c>
      <c r="D654">
        <f>270.88</f>
        <v>270.88</v>
      </c>
    </row>
    <row r="655" spans="1:4" x14ac:dyDescent="0.2">
      <c r="A655" s="1">
        <v>44239</v>
      </c>
      <c r="B655">
        <f>20.0616</f>
        <v>20.061599999999999</v>
      </c>
      <c r="C655">
        <f>19.97</f>
        <v>19.97</v>
      </c>
      <c r="D655">
        <f>264</f>
        <v>264</v>
      </c>
    </row>
    <row r="656" spans="1:4" x14ac:dyDescent="0.2">
      <c r="A656" s="1">
        <v>44238</v>
      </c>
      <c r="B656">
        <f>21.2082</f>
        <v>21.208200000000001</v>
      </c>
      <c r="C656">
        <f>21.25</f>
        <v>21.25</v>
      </c>
      <c r="D656">
        <f>301.89</f>
        <v>301.89</v>
      </c>
    </row>
    <row r="657" spans="1:4" x14ac:dyDescent="0.2">
      <c r="A657" s="1">
        <v>44237</v>
      </c>
      <c r="B657">
        <f>22.4678</f>
        <v>22.4678</v>
      </c>
      <c r="C657">
        <f>21.99</f>
        <v>21.99</v>
      </c>
      <c r="D657">
        <f>408.83</f>
        <v>408.83</v>
      </c>
    </row>
    <row r="658" spans="1:4" x14ac:dyDescent="0.2">
      <c r="A658" s="1">
        <v>44236</v>
      </c>
      <c r="B658">
        <f>21.1232</f>
        <v>21.123200000000001</v>
      </c>
      <c r="C658">
        <f>21.63</f>
        <v>21.63</v>
      </c>
      <c r="D658">
        <f>323.36</f>
        <v>323.36</v>
      </c>
    </row>
    <row r="659" spans="1:4" x14ac:dyDescent="0.2">
      <c r="A659" s="1">
        <v>44235</v>
      </c>
      <c r="B659">
        <f>20.4375</f>
        <v>20.4375</v>
      </c>
      <c r="C659">
        <f>21.24</f>
        <v>21.24</v>
      </c>
      <c r="D659">
        <f>336.38</f>
        <v>336.38</v>
      </c>
    </row>
    <row r="660" spans="1:4" x14ac:dyDescent="0.2">
      <c r="A660" s="1">
        <v>44232</v>
      </c>
      <c r="B660">
        <f>20.6436</f>
        <v>20.643599999999999</v>
      </c>
      <c r="C660">
        <f>20.87</f>
        <v>20.87</v>
      </c>
      <c r="D660">
        <f>428.14</f>
        <v>428.14</v>
      </c>
    </row>
    <row r="661" spans="1:4" x14ac:dyDescent="0.2">
      <c r="A661" s="1">
        <v>44231</v>
      </c>
      <c r="B661">
        <f>21.3727</f>
        <v>21.372699999999998</v>
      </c>
      <c r="C661">
        <f>21.77</f>
        <v>21.77</v>
      </c>
      <c r="D661">
        <f>346.03</f>
        <v>346.03</v>
      </c>
    </row>
    <row r="662" spans="1:4" x14ac:dyDescent="0.2">
      <c r="A662" s="1">
        <v>44230</v>
      </c>
      <c r="B662">
        <f>22.7195</f>
        <v>22.7195</v>
      </c>
      <c r="C662">
        <f>22.91</f>
        <v>22.91</v>
      </c>
      <c r="D662">
        <f>278.37</f>
        <v>278.37</v>
      </c>
    </row>
    <row r="663" spans="1:4" x14ac:dyDescent="0.2">
      <c r="A663" s="1">
        <v>44229</v>
      </c>
      <c r="B663">
        <f>24.0219</f>
        <v>24.021899999999999</v>
      </c>
      <c r="C663">
        <f>25.56</f>
        <v>25.56</v>
      </c>
      <c r="D663">
        <f>266.58</f>
        <v>266.58</v>
      </c>
    </row>
    <row r="664" spans="1:4" x14ac:dyDescent="0.2">
      <c r="A664" s="1">
        <v>44228</v>
      </c>
      <c r="B664">
        <f>27.3261</f>
        <v>27.3261</v>
      </c>
      <c r="C664">
        <f>30.24</f>
        <v>30.24</v>
      </c>
      <c r="D664">
        <f>249.91</f>
        <v>249.91</v>
      </c>
    </row>
    <row r="665" spans="1:4" x14ac:dyDescent="0.2">
      <c r="A665" s="1">
        <v>44225</v>
      </c>
      <c r="B665">
        <f>29.0082</f>
        <v>29.008199999999999</v>
      </c>
      <c r="C665">
        <f>33.09</f>
        <v>33.090000000000003</v>
      </c>
      <c r="D665">
        <f>344.14</f>
        <v>344.14</v>
      </c>
    </row>
    <row r="666" spans="1:4" x14ac:dyDescent="0.2">
      <c r="A666" s="1">
        <v>44224</v>
      </c>
      <c r="B666">
        <f>25.9287</f>
        <v>25.928699999999999</v>
      </c>
      <c r="C666">
        <f>30.21</f>
        <v>30.21</v>
      </c>
      <c r="D666">
        <f>299.66</f>
        <v>299.66000000000003</v>
      </c>
    </row>
    <row r="667" spans="1:4" x14ac:dyDescent="0.2">
      <c r="A667" s="1">
        <v>44223</v>
      </c>
      <c r="B667">
        <f>26.7698</f>
        <v>26.7698</v>
      </c>
      <c r="C667">
        <f>37.21</f>
        <v>37.21</v>
      </c>
      <c r="D667">
        <f>346.56</f>
        <v>346.56</v>
      </c>
    </row>
    <row r="668" spans="1:4" x14ac:dyDescent="0.2">
      <c r="A668" s="1">
        <v>44222</v>
      </c>
      <c r="B668">
        <f>23.0994</f>
        <v>23.099399999999999</v>
      </c>
      <c r="C668">
        <f>23.02</f>
        <v>23.02</v>
      </c>
      <c r="D668">
        <f>303.99</f>
        <v>303.99</v>
      </c>
    </row>
    <row r="669" spans="1:4" x14ac:dyDescent="0.2">
      <c r="A669" s="1">
        <v>44221</v>
      </c>
      <c r="B669">
        <f>26.0059</f>
        <v>26.0059</v>
      </c>
      <c r="C669">
        <f>23.19</f>
        <v>23.19</v>
      </c>
      <c r="D669">
        <f>279.47</f>
        <v>279.47000000000003</v>
      </c>
    </row>
    <row r="670" spans="1:4" x14ac:dyDescent="0.2">
      <c r="A670" s="1">
        <v>44218</v>
      </c>
      <c r="B670">
        <f>21.317</f>
        <v>21.317</v>
      </c>
      <c r="C670">
        <f>21.91</f>
        <v>21.91</v>
      </c>
      <c r="D670">
        <f>243.28</f>
        <v>243.28</v>
      </c>
    </row>
    <row r="671" spans="1:4" x14ac:dyDescent="0.2">
      <c r="A671" s="1">
        <v>44217</v>
      </c>
      <c r="B671">
        <f>19.9362</f>
        <v>19.936199999999999</v>
      </c>
      <c r="C671">
        <f>21.32</f>
        <v>21.32</v>
      </c>
      <c r="D671">
        <f>244.37</f>
        <v>244.37</v>
      </c>
    </row>
    <row r="672" spans="1:4" x14ac:dyDescent="0.2">
      <c r="A672" s="1">
        <v>44216</v>
      </c>
      <c r="B672">
        <f>20.2772</f>
        <v>20.277200000000001</v>
      </c>
      <c r="C672">
        <f>21.58</f>
        <v>21.58</v>
      </c>
      <c r="D672">
        <f>247.52</f>
        <v>247.52</v>
      </c>
    </row>
    <row r="673" spans="1:4" x14ac:dyDescent="0.2">
      <c r="A673" s="1">
        <v>44215</v>
      </c>
      <c r="B673">
        <f>21.749</f>
        <v>21.748999999999999</v>
      </c>
      <c r="C673">
        <f>23.24</f>
        <v>23.24</v>
      </c>
      <c r="D673">
        <f>223.87</f>
        <v>223.87</v>
      </c>
    </row>
    <row r="674" spans="1:4" x14ac:dyDescent="0.2">
      <c r="A674" s="1">
        <v>44214</v>
      </c>
      <c r="B674">
        <f>21.9473</f>
        <v>21.947299999999998</v>
      </c>
      <c r="C674" t="e">
        <f>NA()</f>
        <v>#N/A</v>
      </c>
      <c r="D674">
        <f>165.95</f>
        <v>165.95</v>
      </c>
    </row>
    <row r="675" spans="1:4" x14ac:dyDescent="0.2">
      <c r="A675" s="1">
        <v>44211</v>
      </c>
      <c r="B675">
        <f>22.4344</f>
        <v>22.4344</v>
      </c>
      <c r="C675">
        <f>24.34</f>
        <v>24.34</v>
      </c>
      <c r="D675">
        <f>259.39</f>
        <v>259.39</v>
      </c>
    </row>
    <row r="676" spans="1:4" x14ac:dyDescent="0.2">
      <c r="A676" s="1">
        <v>44210</v>
      </c>
      <c r="B676">
        <f>19.6932</f>
        <v>19.693200000000001</v>
      </c>
      <c r="C676">
        <f>23.25</f>
        <v>23.25</v>
      </c>
      <c r="D676">
        <f>254.57</f>
        <v>254.57</v>
      </c>
    </row>
    <row r="677" spans="1:4" x14ac:dyDescent="0.2">
      <c r="A677" s="1">
        <v>44209</v>
      </c>
      <c r="B677">
        <f>21.0937</f>
        <v>21.093699999999998</v>
      </c>
      <c r="C677">
        <f>22.21</f>
        <v>22.21</v>
      </c>
      <c r="D677">
        <f>320.47</f>
        <v>320.47000000000003</v>
      </c>
    </row>
    <row r="678" spans="1:4" x14ac:dyDescent="0.2">
      <c r="A678" s="1">
        <v>44208</v>
      </c>
      <c r="B678">
        <f>21.9516</f>
        <v>21.951599999999999</v>
      </c>
      <c r="C678">
        <f>23.33</f>
        <v>23.33</v>
      </c>
      <c r="D678">
        <f>246.41</f>
        <v>246.41</v>
      </c>
    </row>
    <row r="679" spans="1:4" x14ac:dyDescent="0.2">
      <c r="A679" s="1">
        <v>44207</v>
      </c>
      <c r="B679">
        <f>21.9797</f>
        <v>21.979700000000001</v>
      </c>
      <c r="C679">
        <f>24.08</f>
        <v>24.08</v>
      </c>
      <c r="D679">
        <f>206.55</f>
        <v>206.55</v>
      </c>
    </row>
    <row r="680" spans="1:4" x14ac:dyDescent="0.2">
      <c r="A680" s="1">
        <v>44204</v>
      </c>
      <c r="B680">
        <f>20.5276</f>
        <v>20.5276</v>
      </c>
      <c r="C680">
        <f>21.56</f>
        <v>21.56</v>
      </c>
      <c r="D680">
        <f>238.98</f>
        <v>238.98</v>
      </c>
    </row>
    <row r="681" spans="1:4" x14ac:dyDescent="0.2">
      <c r="A681" s="1">
        <v>44203</v>
      </c>
      <c r="B681">
        <f>21.0154</f>
        <v>21.0154</v>
      </c>
      <c r="C681">
        <f>22.37</f>
        <v>22.37</v>
      </c>
      <c r="D681">
        <f>202.37</f>
        <v>202.37</v>
      </c>
    </row>
    <row r="682" spans="1:4" x14ac:dyDescent="0.2">
      <c r="A682" s="1">
        <v>44202</v>
      </c>
      <c r="B682">
        <f>21.4423</f>
        <v>21.442299999999999</v>
      </c>
      <c r="C682">
        <f>25.07</f>
        <v>25.07</v>
      </c>
      <c r="D682">
        <f>201.64</f>
        <v>201.64</v>
      </c>
    </row>
    <row r="683" spans="1:4" x14ac:dyDescent="0.2">
      <c r="A683" s="1">
        <v>44201</v>
      </c>
      <c r="B683">
        <f>25.1986</f>
        <v>25.198599999999999</v>
      </c>
      <c r="C683">
        <f>25.34</f>
        <v>25.34</v>
      </c>
      <c r="D683">
        <f>249.91</f>
        <v>249.91</v>
      </c>
    </row>
    <row r="684" spans="1:4" x14ac:dyDescent="0.2">
      <c r="A684" s="1">
        <v>44200</v>
      </c>
      <c r="B684">
        <f>24.8416</f>
        <v>24.8416</v>
      </c>
      <c r="C684">
        <f>26.97</f>
        <v>26.97</v>
      </c>
      <c r="D684">
        <f>180.77</f>
        <v>180.77</v>
      </c>
    </row>
    <row r="685" spans="1:4" x14ac:dyDescent="0.2">
      <c r="A685" s="1">
        <v>44196</v>
      </c>
      <c r="B685" t="e">
        <f>NA()</f>
        <v>#N/A</v>
      </c>
      <c r="C685">
        <f>22.75</f>
        <v>22.75</v>
      </c>
      <c r="D685">
        <f>67.16</f>
        <v>67.16</v>
      </c>
    </row>
    <row r="686" spans="1:4" x14ac:dyDescent="0.2">
      <c r="A686" s="1">
        <v>44195</v>
      </c>
      <c r="B686">
        <f>23.369</f>
        <v>23.369</v>
      </c>
      <c r="C686">
        <f>22.77</f>
        <v>22.77</v>
      </c>
      <c r="D686">
        <f>103.7</f>
        <v>103.7</v>
      </c>
    </row>
    <row r="687" spans="1:4" x14ac:dyDescent="0.2">
      <c r="A687" s="1">
        <v>44194</v>
      </c>
      <c r="B687">
        <f>22.3828</f>
        <v>22.3828</v>
      </c>
      <c r="C687">
        <f>23.08</f>
        <v>23.08</v>
      </c>
      <c r="D687">
        <f>117.77</f>
        <v>117.77</v>
      </c>
    </row>
    <row r="688" spans="1:4" x14ac:dyDescent="0.2">
      <c r="A688" s="1">
        <v>44193</v>
      </c>
      <c r="B688">
        <f>21.7054</f>
        <v>21.705400000000001</v>
      </c>
      <c r="C688">
        <f>21.7</f>
        <v>21.7</v>
      </c>
      <c r="D688">
        <f>96.95</f>
        <v>96.95</v>
      </c>
    </row>
    <row r="689" spans="1:4" x14ac:dyDescent="0.2">
      <c r="A689" s="1">
        <v>44189</v>
      </c>
      <c r="B689" t="e">
        <f>NA()</f>
        <v>#N/A</v>
      </c>
      <c r="C689">
        <f>21.53</f>
        <v>21.53</v>
      </c>
      <c r="D689">
        <f>47.28</f>
        <v>47.28</v>
      </c>
    </row>
    <row r="690" spans="1:4" x14ac:dyDescent="0.2">
      <c r="A690" s="1">
        <v>44188</v>
      </c>
      <c r="B690">
        <f>23.1531</f>
        <v>23.153099999999998</v>
      </c>
      <c r="C690">
        <f>23.31</f>
        <v>23.31</v>
      </c>
      <c r="D690">
        <f>102.19</f>
        <v>102.19</v>
      </c>
    </row>
    <row r="691" spans="1:4" x14ac:dyDescent="0.2">
      <c r="A691" s="1">
        <v>44187</v>
      </c>
      <c r="B691">
        <f>25.2067</f>
        <v>25.206700000000001</v>
      </c>
      <c r="C691">
        <f>24.23</f>
        <v>24.23</v>
      </c>
      <c r="D691">
        <f>185.72</f>
        <v>185.72</v>
      </c>
    </row>
    <row r="692" spans="1:4" x14ac:dyDescent="0.2">
      <c r="A692" s="1">
        <v>44186</v>
      </c>
      <c r="B692">
        <f>27.2641</f>
        <v>27.264099999999999</v>
      </c>
      <c r="C692">
        <f>25.16</f>
        <v>25.16</v>
      </c>
      <c r="D692">
        <f>321.64</f>
        <v>321.64</v>
      </c>
    </row>
    <row r="693" spans="1:4" x14ac:dyDescent="0.2">
      <c r="A693" s="1">
        <v>44183</v>
      </c>
      <c r="B693">
        <f>21.6252</f>
        <v>21.6252</v>
      </c>
      <c r="C693">
        <f>21.57</f>
        <v>21.57</v>
      </c>
      <c r="D693">
        <f>623.42</f>
        <v>623.41999999999996</v>
      </c>
    </row>
    <row r="694" spans="1:4" x14ac:dyDescent="0.2">
      <c r="A694" s="1">
        <v>44182</v>
      </c>
      <c r="B694">
        <f>20.5099</f>
        <v>20.509899999999998</v>
      </c>
      <c r="C694">
        <f>21.93</f>
        <v>21.93</v>
      </c>
      <c r="D694">
        <f>574.88</f>
        <v>574.88</v>
      </c>
    </row>
    <row r="695" spans="1:4" x14ac:dyDescent="0.2">
      <c r="A695" s="1">
        <v>44181</v>
      </c>
      <c r="B695">
        <f>21.1372</f>
        <v>21.1372</v>
      </c>
      <c r="C695">
        <f>22.5</f>
        <v>22.5</v>
      </c>
      <c r="D695" t="e">
        <f>NA()</f>
        <v>#N/A</v>
      </c>
    </row>
    <row r="696" spans="1:4" x14ac:dyDescent="0.2">
      <c r="A696" s="1">
        <v>44180</v>
      </c>
      <c r="B696">
        <f>21.7301</f>
        <v>21.7301</v>
      </c>
      <c r="C696">
        <f>22.89</f>
        <v>22.89</v>
      </c>
      <c r="D696">
        <f>266.03</f>
        <v>266.02999999999997</v>
      </c>
    </row>
    <row r="697" spans="1:4" x14ac:dyDescent="0.2">
      <c r="A697" s="1">
        <v>44179</v>
      </c>
      <c r="B697">
        <f>22.521</f>
        <v>22.521000000000001</v>
      </c>
      <c r="C697">
        <f>24.72</f>
        <v>24.72</v>
      </c>
      <c r="D697">
        <f>263.17</f>
        <v>263.17</v>
      </c>
    </row>
    <row r="698" spans="1:4" x14ac:dyDescent="0.2">
      <c r="A698" s="1">
        <v>44176</v>
      </c>
      <c r="B698">
        <f>23.6144</f>
        <v>23.6144</v>
      </c>
      <c r="C698">
        <f>23.31</f>
        <v>23.31</v>
      </c>
      <c r="D698">
        <f>362.23</f>
        <v>362.23</v>
      </c>
    </row>
    <row r="699" spans="1:4" x14ac:dyDescent="0.2">
      <c r="A699" s="1">
        <v>44175</v>
      </c>
      <c r="B699">
        <f>20.6617</f>
        <v>20.6617</v>
      </c>
      <c r="C699">
        <f>22.52</f>
        <v>22.52</v>
      </c>
      <c r="D699">
        <f>424.93</f>
        <v>424.93</v>
      </c>
    </row>
    <row r="700" spans="1:4" x14ac:dyDescent="0.2">
      <c r="A700" s="1">
        <v>44174</v>
      </c>
      <c r="B700">
        <f>20.0186</f>
        <v>20.018599999999999</v>
      </c>
      <c r="C700">
        <f>22.27</f>
        <v>22.27</v>
      </c>
      <c r="D700">
        <f>380.81</f>
        <v>380.81</v>
      </c>
    </row>
    <row r="701" spans="1:4" x14ac:dyDescent="0.2">
      <c r="A701" s="1">
        <v>44173</v>
      </c>
      <c r="B701">
        <f>20.5353</f>
        <v>20.535299999999999</v>
      </c>
      <c r="C701">
        <f>20.68</f>
        <v>20.68</v>
      </c>
      <c r="D701">
        <f>288.51</f>
        <v>288.51</v>
      </c>
    </row>
    <row r="702" spans="1:4" x14ac:dyDescent="0.2">
      <c r="A702" s="1">
        <v>44172</v>
      </c>
      <c r="B702">
        <f>21.4355</f>
        <v>21.435500000000001</v>
      </c>
      <c r="C702">
        <f>21.3</f>
        <v>21.3</v>
      </c>
      <c r="D702">
        <f>323.22</f>
        <v>323.22000000000003</v>
      </c>
    </row>
    <row r="703" spans="1:4" x14ac:dyDescent="0.2">
      <c r="A703" s="1">
        <v>44169</v>
      </c>
      <c r="B703">
        <f>20.8186</f>
        <v>20.8186</v>
      </c>
      <c r="C703">
        <f>20.79</f>
        <v>20.79</v>
      </c>
      <c r="D703">
        <f>410.19</f>
        <v>410.19</v>
      </c>
    </row>
    <row r="704" spans="1:4" x14ac:dyDescent="0.2">
      <c r="A704" s="1">
        <v>44168</v>
      </c>
      <c r="B704">
        <f>21.3172</f>
        <v>21.3172</v>
      </c>
      <c r="C704">
        <f>21.28</f>
        <v>21.28</v>
      </c>
      <c r="D704">
        <f>445.72</f>
        <v>445.72</v>
      </c>
    </row>
    <row r="705" spans="1:4" x14ac:dyDescent="0.2">
      <c r="A705" s="1">
        <v>44167</v>
      </c>
      <c r="B705">
        <f>21.694</f>
        <v>21.693999999999999</v>
      </c>
      <c r="C705">
        <f>21.17</f>
        <v>21.17</v>
      </c>
      <c r="D705">
        <f>371.89</f>
        <v>371.89</v>
      </c>
    </row>
    <row r="706" spans="1:4" x14ac:dyDescent="0.2">
      <c r="A706" s="1">
        <v>44166</v>
      </c>
      <c r="B706">
        <f>21.3014</f>
        <v>21.301400000000001</v>
      </c>
      <c r="C706">
        <f>20.77</f>
        <v>20.77</v>
      </c>
      <c r="D706">
        <f>318.02</f>
        <v>318.02</v>
      </c>
    </row>
    <row r="707" spans="1:4" x14ac:dyDescent="0.2">
      <c r="A707" s="1">
        <v>44165</v>
      </c>
      <c r="B707">
        <f>22.9149</f>
        <v>22.914899999999999</v>
      </c>
      <c r="C707">
        <f>20.57</f>
        <v>20.57</v>
      </c>
      <c r="D707">
        <f>868.05</f>
        <v>868.05</v>
      </c>
    </row>
    <row r="708" spans="1:4" x14ac:dyDescent="0.2">
      <c r="A708" s="1">
        <v>44162</v>
      </c>
      <c r="B708">
        <f>20.0788</f>
        <v>20.078800000000001</v>
      </c>
      <c r="C708">
        <f>20.84</f>
        <v>20.84</v>
      </c>
      <c r="D708">
        <f>265.26</f>
        <v>265.26</v>
      </c>
    </row>
    <row r="709" spans="1:4" x14ac:dyDescent="0.2">
      <c r="A709" s="1">
        <v>44161</v>
      </c>
      <c r="B709">
        <f>20.2346</f>
        <v>20.2346</v>
      </c>
      <c r="C709" t="e">
        <f>NA()</f>
        <v>#N/A</v>
      </c>
      <c r="D709">
        <f>255.44</f>
        <v>255.44</v>
      </c>
    </row>
    <row r="710" spans="1:4" x14ac:dyDescent="0.2">
      <c r="A710" s="1">
        <v>44160</v>
      </c>
      <c r="B710">
        <f>20.7778</f>
        <v>20.777799999999999</v>
      </c>
      <c r="C710">
        <f>21.25</f>
        <v>21.25</v>
      </c>
      <c r="D710">
        <f>322.37</f>
        <v>322.37</v>
      </c>
    </row>
    <row r="711" spans="1:4" x14ac:dyDescent="0.2">
      <c r="A711" s="1">
        <v>44159</v>
      </c>
      <c r="B711">
        <f>21.3674</f>
        <v>21.3674</v>
      </c>
      <c r="C711">
        <f>21.64</f>
        <v>21.64</v>
      </c>
      <c r="D711">
        <f>308.06</f>
        <v>308.06</v>
      </c>
    </row>
    <row r="712" spans="1:4" x14ac:dyDescent="0.2">
      <c r="A712" s="1">
        <v>44158</v>
      </c>
      <c r="B712">
        <f>22.4894</f>
        <v>22.4894</v>
      </c>
      <c r="C712">
        <f>22.66</f>
        <v>22.66</v>
      </c>
      <c r="D712">
        <f>290.12</f>
        <v>290.12</v>
      </c>
    </row>
    <row r="713" spans="1:4" x14ac:dyDescent="0.2">
      <c r="A713" s="1">
        <v>44155</v>
      </c>
      <c r="B713">
        <f>21.4393</f>
        <v>21.439299999999999</v>
      </c>
      <c r="C713">
        <f>23.7</f>
        <v>23.7</v>
      </c>
      <c r="D713">
        <f>247.68</f>
        <v>247.68</v>
      </c>
    </row>
    <row r="714" spans="1:4" x14ac:dyDescent="0.2">
      <c r="A714" s="1">
        <v>44154</v>
      </c>
      <c r="B714">
        <f>21.9714</f>
        <v>21.971399999999999</v>
      </c>
      <c r="C714">
        <f>23.11</f>
        <v>23.11</v>
      </c>
      <c r="D714">
        <f>336.01</f>
        <v>336.01</v>
      </c>
    </row>
    <row r="715" spans="1:4" x14ac:dyDescent="0.2">
      <c r="A715" s="1">
        <v>44153</v>
      </c>
      <c r="B715">
        <f>20.9029</f>
        <v>20.902899999999999</v>
      </c>
      <c r="C715">
        <f>23.84</f>
        <v>23.84</v>
      </c>
      <c r="D715">
        <f>352.82</f>
        <v>352.82</v>
      </c>
    </row>
    <row r="716" spans="1:4" x14ac:dyDescent="0.2">
      <c r="A716" s="1">
        <v>44152</v>
      </c>
      <c r="B716">
        <f>22.2529</f>
        <v>22.2529</v>
      </c>
      <c r="C716">
        <f>22.71</f>
        <v>22.71</v>
      </c>
      <c r="D716">
        <f>347.01</f>
        <v>347.01</v>
      </c>
    </row>
    <row r="717" spans="1:4" x14ac:dyDescent="0.2">
      <c r="A717" s="1">
        <v>44151</v>
      </c>
      <c r="B717">
        <f>22.3849</f>
        <v>22.384899999999998</v>
      </c>
      <c r="C717">
        <f>22.45</f>
        <v>22.45</v>
      </c>
      <c r="D717">
        <f>432.92</f>
        <v>432.92</v>
      </c>
    </row>
    <row r="718" spans="1:4" x14ac:dyDescent="0.2">
      <c r="A718" s="1">
        <v>44148</v>
      </c>
      <c r="B718">
        <f>23.1431</f>
        <v>23.1431</v>
      </c>
      <c r="C718">
        <f>23.1</f>
        <v>23.1</v>
      </c>
      <c r="D718">
        <f>333.01</f>
        <v>333.01</v>
      </c>
    </row>
    <row r="719" spans="1:4" x14ac:dyDescent="0.2">
      <c r="A719" s="1">
        <v>44147</v>
      </c>
      <c r="B719">
        <f>23.3023</f>
        <v>23.302299999999999</v>
      </c>
      <c r="C719">
        <f>25.35</f>
        <v>25.35</v>
      </c>
      <c r="D719">
        <f>472.43</f>
        <v>472.43</v>
      </c>
    </row>
    <row r="720" spans="1:4" x14ac:dyDescent="0.2">
      <c r="A720" s="1">
        <v>44146</v>
      </c>
      <c r="B720">
        <f>23.1256</f>
        <v>23.125599999999999</v>
      </c>
      <c r="C720">
        <f>23.45</f>
        <v>23.45</v>
      </c>
      <c r="D720">
        <f>520.64</f>
        <v>520.64</v>
      </c>
    </row>
    <row r="721" spans="1:4" x14ac:dyDescent="0.2">
      <c r="A721" s="1">
        <v>44145</v>
      </c>
      <c r="B721">
        <f>25.0803</f>
        <v>25.080300000000001</v>
      </c>
      <c r="C721">
        <f>24.8</f>
        <v>24.8</v>
      </c>
      <c r="D721">
        <f>393.4</f>
        <v>393.4</v>
      </c>
    </row>
    <row r="722" spans="1:4" x14ac:dyDescent="0.2">
      <c r="A722" s="1">
        <v>44144</v>
      </c>
      <c r="B722">
        <f>23.8631</f>
        <v>23.863099999999999</v>
      </c>
      <c r="C722">
        <f>25.75</f>
        <v>25.75</v>
      </c>
      <c r="D722">
        <f>486.32</f>
        <v>486.32</v>
      </c>
    </row>
    <row r="723" spans="1:4" x14ac:dyDescent="0.2">
      <c r="A723" s="1">
        <v>44141</v>
      </c>
      <c r="B723">
        <f>25.6153</f>
        <v>25.615300000000001</v>
      </c>
      <c r="C723">
        <f>24.86</f>
        <v>24.86</v>
      </c>
      <c r="D723">
        <f>278.4</f>
        <v>278.39999999999998</v>
      </c>
    </row>
    <row r="724" spans="1:4" x14ac:dyDescent="0.2">
      <c r="A724" s="1">
        <v>44140</v>
      </c>
      <c r="B724">
        <f>26.3725</f>
        <v>26.372499999999999</v>
      </c>
      <c r="C724">
        <f>27.58</f>
        <v>27.58</v>
      </c>
      <c r="D724">
        <f>313.49</f>
        <v>313.49</v>
      </c>
    </row>
    <row r="725" spans="1:4" x14ac:dyDescent="0.2">
      <c r="A725" s="1">
        <v>44139</v>
      </c>
      <c r="B725">
        <f>28.0023</f>
        <v>28.002300000000002</v>
      </c>
      <c r="C725">
        <f>29.57</f>
        <v>29.57</v>
      </c>
      <c r="D725">
        <f>293.95</f>
        <v>293.95</v>
      </c>
    </row>
    <row r="726" spans="1:4" x14ac:dyDescent="0.2">
      <c r="A726" s="1">
        <v>44138</v>
      </c>
      <c r="B726">
        <f>32.763</f>
        <v>32.762999999999998</v>
      </c>
      <c r="C726">
        <f>35.55</f>
        <v>35.549999999999997</v>
      </c>
      <c r="D726">
        <f>246.1</f>
        <v>246.1</v>
      </c>
    </row>
    <row r="727" spans="1:4" x14ac:dyDescent="0.2">
      <c r="A727" s="1">
        <v>44137</v>
      </c>
      <c r="B727">
        <f>35.233</f>
        <v>35.232999999999997</v>
      </c>
      <c r="C727">
        <f>37.13</f>
        <v>37.130000000000003</v>
      </c>
      <c r="D727">
        <f>249.21</f>
        <v>249.21</v>
      </c>
    </row>
    <row r="728" spans="1:4" x14ac:dyDescent="0.2">
      <c r="A728" s="1">
        <v>44134</v>
      </c>
      <c r="B728">
        <f>35.3472</f>
        <v>35.347200000000001</v>
      </c>
      <c r="C728">
        <f>38.02</f>
        <v>38.020000000000003</v>
      </c>
      <c r="D728">
        <f>319.54</f>
        <v>319.54000000000002</v>
      </c>
    </row>
    <row r="729" spans="1:4" x14ac:dyDescent="0.2">
      <c r="A729" s="1">
        <v>44133</v>
      </c>
      <c r="B729">
        <f>37.5504</f>
        <v>37.550400000000003</v>
      </c>
      <c r="C729">
        <f>37.59</f>
        <v>37.590000000000003</v>
      </c>
      <c r="D729">
        <f>273.18</f>
        <v>273.18</v>
      </c>
    </row>
    <row r="730" spans="1:4" x14ac:dyDescent="0.2">
      <c r="A730" s="1">
        <v>44132</v>
      </c>
      <c r="B730">
        <f>38.2587</f>
        <v>38.258699999999997</v>
      </c>
      <c r="C730">
        <f>40.28</f>
        <v>40.28</v>
      </c>
      <c r="D730">
        <f>252.27</f>
        <v>252.27</v>
      </c>
    </row>
    <row r="731" spans="1:4" x14ac:dyDescent="0.2">
      <c r="A731" s="1">
        <v>44131</v>
      </c>
      <c r="B731">
        <f>32.7397</f>
        <v>32.739699999999999</v>
      </c>
      <c r="C731">
        <f>33.35</f>
        <v>33.35</v>
      </c>
      <c r="D731">
        <f>211.37</f>
        <v>211.37</v>
      </c>
    </row>
    <row r="732" spans="1:4" x14ac:dyDescent="0.2">
      <c r="A732" s="1">
        <v>44130</v>
      </c>
      <c r="B732">
        <f>31.7557</f>
        <v>31.755700000000001</v>
      </c>
      <c r="C732">
        <f>32.46</f>
        <v>32.46</v>
      </c>
      <c r="D732">
        <f>229.6</f>
        <v>229.6</v>
      </c>
    </row>
    <row r="733" spans="1:4" x14ac:dyDescent="0.2">
      <c r="A733" s="1">
        <v>44127</v>
      </c>
      <c r="B733">
        <f>28.157</f>
        <v>28.157</v>
      </c>
      <c r="C733">
        <f>27.55</f>
        <v>27.55</v>
      </c>
      <c r="D733">
        <f>357.49</f>
        <v>357.49</v>
      </c>
    </row>
    <row r="734" spans="1:4" x14ac:dyDescent="0.2">
      <c r="A734" s="1">
        <v>44126</v>
      </c>
      <c r="B734">
        <f>28.9879</f>
        <v>28.9879</v>
      </c>
      <c r="C734">
        <f>28.11</f>
        <v>28.11</v>
      </c>
      <c r="D734">
        <f>376.6</f>
        <v>376.6</v>
      </c>
    </row>
    <row r="735" spans="1:4" x14ac:dyDescent="0.2">
      <c r="A735" s="1">
        <v>44125</v>
      </c>
      <c r="B735">
        <f>29.4488</f>
        <v>29.448799999999999</v>
      </c>
      <c r="C735">
        <f>28.65</f>
        <v>28.65</v>
      </c>
      <c r="D735">
        <f>267.9</f>
        <v>267.89999999999998</v>
      </c>
    </row>
    <row r="736" spans="1:4" x14ac:dyDescent="0.2">
      <c r="A736" s="1">
        <v>44124</v>
      </c>
      <c r="B736">
        <f>27.6293</f>
        <v>27.629300000000001</v>
      </c>
      <c r="C736">
        <f>29.35</f>
        <v>29.35</v>
      </c>
      <c r="D736">
        <f>222.31</f>
        <v>222.31</v>
      </c>
    </row>
    <row r="737" spans="1:4" x14ac:dyDescent="0.2">
      <c r="A737" s="1">
        <v>44123</v>
      </c>
      <c r="B737">
        <f>26.6186</f>
        <v>26.618600000000001</v>
      </c>
      <c r="C737">
        <f>29.18</f>
        <v>29.18</v>
      </c>
      <c r="D737">
        <f>241.01</f>
        <v>241.01</v>
      </c>
    </row>
    <row r="738" spans="1:4" x14ac:dyDescent="0.2">
      <c r="A738" s="1">
        <v>44120</v>
      </c>
      <c r="B738">
        <f>25.3165</f>
        <v>25.316500000000001</v>
      </c>
      <c r="C738">
        <f>27.41</f>
        <v>27.41</v>
      </c>
      <c r="D738">
        <f>232.19</f>
        <v>232.19</v>
      </c>
    </row>
    <row r="739" spans="1:4" x14ac:dyDescent="0.2">
      <c r="A739" s="1">
        <v>44119</v>
      </c>
      <c r="B739">
        <f>26.8422</f>
        <v>26.842199999999998</v>
      </c>
      <c r="C739">
        <f>26.97</f>
        <v>26.97</v>
      </c>
      <c r="D739">
        <f>270.04</f>
        <v>270.04000000000002</v>
      </c>
    </row>
    <row r="740" spans="1:4" x14ac:dyDescent="0.2">
      <c r="A740" s="1">
        <v>44118</v>
      </c>
      <c r="B740">
        <f>23.2425</f>
        <v>23.2425</v>
      </c>
      <c r="C740">
        <f>26.4</f>
        <v>26.4</v>
      </c>
      <c r="D740">
        <f>245.28</f>
        <v>245.28</v>
      </c>
    </row>
    <row r="741" spans="1:4" x14ac:dyDescent="0.2">
      <c r="A741" s="1">
        <v>44117</v>
      </c>
      <c r="B741">
        <f>22.9397</f>
        <v>22.939699999999998</v>
      </c>
      <c r="C741">
        <f>26.07</f>
        <v>26.07</v>
      </c>
      <c r="D741">
        <f>226.39</f>
        <v>226.39</v>
      </c>
    </row>
    <row r="742" spans="1:4" x14ac:dyDescent="0.2">
      <c r="A742" s="1">
        <v>44116</v>
      </c>
      <c r="B742">
        <f>22.2531</f>
        <v>22.2531</v>
      </c>
      <c r="C742">
        <f>25.07</f>
        <v>25.07</v>
      </c>
      <c r="D742">
        <f>261.29</f>
        <v>261.29000000000002</v>
      </c>
    </row>
    <row r="743" spans="1:4" x14ac:dyDescent="0.2">
      <c r="A743" s="1">
        <v>44113</v>
      </c>
      <c r="B743">
        <f>22.2369</f>
        <v>22.236899999999999</v>
      </c>
      <c r="C743">
        <f>25</f>
        <v>25</v>
      </c>
      <c r="D743">
        <f>234.51</f>
        <v>234.51</v>
      </c>
    </row>
    <row r="744" spans="1:4" x14ac:dyDescent="0.2">
      <c r="A744" s="1">
        <v>44112</v>
      </c>
      <c r="B744">
        <f>23.98</f>
        <v>23.98</v>
      </c>
      <c r="C744">
        <f>26.36</f>
        <v>26.36</v>
      </c>
      <c r="D744">
        <f>272.66</f>
        <v>272.66000000000003</v>
      </c>
    </row>
    <row r="745" spans="1:4" x14ac:dyDescent="0.2">
      <c r="A745" s="1">
        <v>44111</v>
      </c>
      <c r="B745">
        <f>24.9744</f>
        <v>24.974399999999999</v>
      </c>
      <c r="C745">
        <f>28.06</f>
        <v>28.06</v>
      </c>
      <c r="D745">
        <f>229.55</f>
        <v>229.55</v>
      </c>
    </row>
    <row r="746" spans="1:4" x14ac:dyDescent="0.2">
      <c r="A746" s="1">
        <v>44110</v>
      </c>
      <c r="B746">
        <f>25.2128</f>
        <v>25.212800000000001</v>
      </c>
      <c r="C746">
        <f>29.48</f>
        <v>29.48</v>
      </c>
      <c r="D746">
        <f>266.75</f>
        <v>266.75</v>
      </c>
    </row>
    <row r="747" spans="1:4" x14ac:dyDescent="0.2">
      <c r="A747" s="1">
        <v>44109</v>
      </c>
      <c r="B747">
        <f>26.2763</f>
        <v>26.276299999999999</v>
      </c>
      <c r="C747">
        <f>27.96</f>
        <v>27.96</v>
      </c>
      <c r="D747">
        <f>267.21</f>
        <v>267.20999999999998</v>
      </c>
    </row>
    <row r="748" spans="1:4" x14ac:dyDescent="0.2">
      <c r="A748" s="1">
        <v>44106</v>
      </c>
      <c r="B748">
        <f>26.8168</f>
        <v>26.816800000000001</v>
      </c>
      <c r="C748">
        <f>27.63</f>
        <v>27.63</v>
      </c>
      <c r="D748">
        <f>292.64</f>
        <v>292.64</v>
      </c>
    </row>
    <row r="749" spans="1:4" x14ac:dyDescent="0.2">
      <c r="A749" s="1">
        <v>44105</v>
      </c>
      <c r="B749">
        <f>26.5374</f>
        <v>26.537400000000002</v>
      </c>
      <c r="C749">
        <f>26.7</f>
        <v>26.7</v>
      </c>
      <c r="D749">
        <f>281.74</f>
        <v>281.74</v>
      </c>
    </row>
    <row r="750" spans="1:4" x14ac:dyDescent="0.2">
      <c r="A750" s="1">
        <v>44104</v>
      </c>
      <c r="B750">
        <f>26.0598</f>
        <v>26.059799999999999</v>
      </c>
      <c r="C750">
        <f>26.37</f>
        <v>26.37</v>
      </c>
      <c r="D750">
        <f>377.72</f>
        <v>377.72</v>
      </c>
    </row>
    <row r="751" spans="1:4" x14ac:dyDescent="0.2">
      <c r="A751" s="1">
        <v>44103</v>
      </c>
      <c r="B751">
        <f>26.9026</f>
        <v>26.9026</v>
      </c>
      <c r="C751">
        <f>26.27</f>
        <v>26.27</v>
      </c>
      <c r="D751">
        <f>299.69</f>
        <v>299.69</v>
      </c>
    </row>
    <row r="752" spans="1:4" x14ac:dyDescent="0.2">
      <c r="A752" s="1">
        <v>44102</v>
      </c>
      <c r="B752">
        <f>26.8241</f>
        <v>26.824100000000001</v>
      </c>
      <c r="C752">
        <f>26.19</f>
        <v>26.19</v>
      </c>
      <c r="D752">
        <f>224.28</f>
        <v>224.28</v>
      </c>
    </row>
    <row r="753" spans="1:4" x14ac:dyDescent="0.2">
      <c r="A753" s="1">
        <v>44099</v>
      </c>
      <c r="B753">
        <f>27.8075</f>
        <v>27.807500000000001</v>
      </c>
      <c r="C753">
        <f>26.38</f>
        <v>26.38</v>
      </c>
      <c r="D753">
        <f>270.21</f>
        <v>270.20999999999998</v>
      </c>
    </row>
    <row r="754" spans="1:4" x14ac:dyDescent="0.2">
      <c r="A754" s="1">
        <v>44098</v>
      </c>
      <c r="B754">
        <f>28.3437</f>
        <v>28.343699999999998</v>
      </c>
      <c r="C754">
        <f>28.51</f>
        <v>28.51</v>
      </c>
      <c r="D754" t="e">
        <f>NA()</f>
        <v>#N/A</v>
      </c>
    </row>
    <row r="755" spans="1:4" x14ac:dyDescent="0.2">
      <c r="A755" s="1">
        <v>44097</v>
      </c>
      <c r="B755">
        <f>27.1669</f>
        <v>27.166899999999998</v>
      </c>
      <c r="C755">
        <f>28.58</f>
        <v>28.58</v>
      </c>
      <c r="D755">
        <f>258.69</f>
        <v>258.69</v>
      </c>
    </row>
    <row r="756" spans="1:4" x14ac:dyDescent="0.2">
      <c r="A756" s="1">
        <v>44096</v>
      </c>
      <c r="B756">
        <f>28.1097</f>
        <v>28.1097</v>
      </c>
      <c r="C756">
        <f>26.86</f>
        <v>26.86</v>
      </c>
      <c r="D756">
        <f>251.12</f>
        <v>251.12</v>
      </c>
    </row>
    <row r="757" spans="1:4" x14ac:dyDescent="0.2">
      <c r="A757" s="1">
        <v>44095</v>
      </c>
      <c r="B757">
        <f>29.8809</f>
        <v>29.8809</v>
      </c>
      <c r="C757">
        <f>27.78</f>
        <v>27.78</v>
      </c>
      <c r="D757">
        <f>297.55</f>
        <v>297.55</v>
      </c>
    </row>
    <row r="758" spans="1:4" x14ac:dyDescent="0.2">
      <c r="A758" s="1">
        <v>44092</v>
      </c>
      <c r="B758">
        <f>22.6496</f>
        <v>22.6496</v>
      </c>
      <c r="C758">
        <f>25.83</f>
        <v>25.83</v>
      </c>
      <c r="D758">
        <f>849.67</f>
        <v>849.67</v>
      </c>
    </row>
    <row r="759" spans="1:4" x14ac:dyDescent="0.2">
      <c r="A759" s="1">
        <v>44091</v>
      </c>
      <c r="B759">
        <f>22.5468</f>
        <v>22.546800000000001</v>
      </c>
      <c r="C759">
        <f>26.46</f>
        <v>26.46</v>
      </c>
      <c r="D759">
        <f>523.41</f>
        <v>523.41</v>
      </c>
    </row>
    <row r="760" spans="1:4" x14ac:dyDescent="0.2">
      <c r="A760" s="1">
        <v>44090</v>
      </c>
      <c r="B760">
        <f>21.9927</f>
        <v>21.992699999999999</v>
      </c>
      <c r="C760">
        <f>26.04</f>
        <v>26.04</v>
      </c>
      <c r="D760">
        <f>383.16</f>
        <v>383.16</v>
      </c>
    </row>
    <row r="761" spans="1:4" x14ac:dyDescent="0.2">
      <c r="A761" s="1">
        <v>44089</v>
      </c>
      <c r="B761">
        <f>22.1155</f>
        <v>22.115500000000001</v>
      </c>
      <c r="C761">
        <f>25.59</f>
        <v>25.59</v>
      </c>
      <c r="D761">
        <f>369.01</f>
        <v>369.01</v>
      </c>
    </row>
    <row r="762" spans="1:4" x14ac:dyDescent="0.2">
      <c r="A762" s="1">
        <v>44088</v>
      </c>
      <c r="B762">
        <f>22.5682</f>
        <v>22.568200000000001</v>
      </c>
      <c r="C762">
        <f>25.85</f>
        <v>25.85</v>
      </c>
      <c r="D762">
        <f>250.6</f>
        <v>250.6</v>
      </c>
    </row>
    <row r="763" spans="1:4" x14ac:dyDescent="0.2">
      <c r="A763" s="1">
        <v>44085</v>
      </c>
      <c r="B763">
        <f>23.7249</f>
        <v>23.724900000000002</v>
      </c>
      <c r="C763">
        <f>26.87</f>
        <v>26.87</v>
      </c>
      <c r="D763">
        <f>318.96</f>
        <v>318.95999999999998</v>
      </c>
    </row>
    <row r="764" spans="1:4" x14ac:dyDescent="0.2">
      <c r="A764" s="1">
        <v>44084</v>
      </c>
      <c r="B764">
        <f>25.0052</f>
        <v>25.005199999999999</v>
      </c>
      <c r="C764">
        <f>29.71</f>
        <v>29.71</v>
      </c>
      <c r="D764">
        <f>434.34</f>
        <v>434.34</v>
      </c>
    </row>
    <row r="765" spans="1:4" x14ac:dyDescent="0.2">
      <c r="A765" s="1">
        <v>44083</v>
      </c>
      <c r="B765">
        <f>25.8888</f>
        <v>25.8888</v>
      </c>
      <c r="C765">
        <f>28.81</f>
        <v>28.81</v>
      </c>
      <c r="D765">
        <f>375.44</f>
        <v>375.44</v>
      </c>
    </row>
    <row r="766" spans="1:4" x14ac:dyDescent="0.2">
      <c r="A766" s="1">
        <v>44082</v>
      </c>
      <c r="B766">
        <f>28.4501</f>
        <v>28.450099999999999</v>
      </c>
      <c r="C766">
        <f>31.46</f>
        <v>31.46</v>
      </c>
      <c r="D766">
        <f>305.01</f>
        <v>305.01</v>
      </c>
    </row>
    <row r="767" spans="1:4" x14ac:dyDescent="0.2">
      <c r="A767" s="1">
        <v>44081</v>
      </c>
      <c r="B767">
        <f>27.922</f>
        <v>27.922000000000001</v>
      </c>
      <c r="C767" t="e">
        <f>NA()</f>
        <v>#N/A</v>
      </c>
      <c r="D767">
        <f>202.9</f>
        <v>202.9</v>
      </c>
    </row>
    <row r="768" spans="1:4" x14ac:dyDescent="0.2">
      <c r="A768" s="1">
        <v>44078</v>
      </c>
      <c r="B768">
        <f>31.7117</f>
        <v>31.7117</v>
      </c>
      <c r="C768">
        <f>30.75</f>
        <v>30.75</v>
      </c>
      <c r="D768">
        <f>292.78</f>
        <v>292.77999999999997</v>
      </c>
    </row>
    <row r="769" spans="1:4" x14ac:dyDescent="0.2">
      <c r="A769" s="1">
        <v>44077</v>
      </c>
      <c r="B769">
        <f>29.0121</f>
        <v>29.0121</v>
      </c>
      <c r="C769">
        <f>33.6</f>
        <v>33.6</v>
      </c>
      <c r="D769">
        <f>294.79</f>
        <v>294.79000000000002</v>
      </c>
    </row>
    <row r="770" spans="1:4" x14ac:dyDescent="0.2">
      <c r="A770" s="1">
        <v>44076</v>
      </c>
      <c r="B770">
        <f>26.6145</f>
        <v>26.6145</v>
      </c>
      <c r="C770">
        <f>26.57</f>
        <v>26.57</v>
      </c>
      <c r="D770">
        <f>300.67</f>
        <v>300.67</v>
      </c>
    </row>
    <row r="771" spans="1:4" x14ac:dyDescent="0.2">
      <c r="A771" s="1">
        <v>44075</v>
      </c>
      <c r="B771">
        <f>27.1192</f>
        <v>27.119199999999999</v>
      </c>
      <c r="C771">
        <f>26.12</f>
        <v>26.12</v>
      </c>
      <c r="D771">
        <f>384.83</f>
        <v>384.83</v>
      </c>
    </row>
    <row r="772" spans="1:4" x14ac:dyDescent="0.2">
      <c r="A772" s="1">
        <v>44074</v>
      </c>
      <c r="B772">
        <f>26.7213</f>
        <v>26.721299999999999</v>
      </c>
      <c r="C772">
        <f>26.41</f>
        <v>26.41</v>
      </c>
      <c r="D772">
        <f>533.41</f>
        <v>533.41</v>
      </c>
    </row>
    <row r="773" spans="1:4" x14ac:dyDescent="0.2">
      <c r="A773" s="1">
        <v>44071</v>
      </c>
      <c r="B773">
        <f>25.1579</f>
        <v>25.157900000000001</v>
      </c>
      <c r="C773">
        <f>22.96</f>
        <v>22.96</v>
      </c>
      <c r="D773">
        <f>265.75</f>
        <v>265.75</v>
      </c>
    </row>
    <row r="774" spans="1:4" x14ac:dyDescent="0.2">
      <c r="A774" s="1">
        <v>44070</v>
      </c>
      <c r="B774">
        <f>23.5584</f>
        <v>23.558399999999999</v>
      </c>
      <c r="C774">
        <f>24.47</f>
        <v>24.47</v>
      </c>
      <c r="D774">
        <f>289.5</f>
        <v>289.5</v>
      </c>
    </row>
    <row r="775" spans="1:4" x14ac:dyDescent="0.2">
      <c r="A775" s="1">
        <v>44069</v>
      </c>
      <c r="B775">
        <f>22.0013</f>
        <v>22.001300000000001</v>
      </c>
      <c r="C775">
        <f>23.27</f>
        <v>23.27</v>
      </c>
      <c r="D775">
        <f>257.06</f>
        <v>257.06</v>
      </c>
    </row>
    <row r="776" spans="1:4" x14ac:dyDescent="0.2">
      <c r="A776" s="1">
        <v>44068</v>
      </c>
      <c r="B776">
        <f>23.3594</f>
        <v>23.359400000000001</v>
      </c>
      <c r="C776">
        <f>22.03</f>
        <v>22.03</v>
      </c>
      <c r="D776">
        <f>249.11</f>
        <v>249.11</v>
      </c>
    </row>
    <row r="777" spans="1:4" x14ac:dyDescent="0.2">
      <c r="A777" s="1">
        <v>44067</v>
      </c>
      <c r="B777">
        <f>23.1101</f>
        <v>23.110099999999999</v>
      </c>
      <c r="C777">
        <f>22.37</f>
        <v>22.37</v>
      </c>
      <c r="D777">
        <f>269.3</f>
        <v>269.3</v>
      </c>
    </row>
    <row r="778" spans="1:4" x14ac:dyDescent="0.2">
      <c r="A778" s="1">
        <v>44064</v>
      </c>
      <c r="B778">
        <f>24.3375</f>
        <v>24.337499999999999</v>
      </c>
      <c r="C778">
        <f>22.54</f>
        <v>22.54</v>
      </c>
      <c r="D778">
        <f>237.65</f>
        <v>237.65</v>
      </c>
    </row>
    <row r="779" spans="1:4" x14ac:dyDescent="0.2">
      <c r="A779" s="1">
        <v>44063</v>
      </c>
      <c r="B779">
        <f>24.0354</f>
        <v>24.035399999999999</v>
      </c>
      <c r="C779">
        <f>22.72</f>
        <v>22.72</v>
      </c>
      <c r="D779">
        <f>267.83</f>
        <v>267.83</v>
      </c>
    </row>
    <row r="780" spans="1:4" x14ac:dyDescent="0.2">
      <c r="A780" s="1">
        <v>44062</v>
      </c>
      <c r="B780">
        <f>21.9882</f>
        <v>21.988199999999999</v>
      </c>
      <c r="C780">
        <f>22.54</f>
        <v>22.54</v>
      </c>
      <c r="D780">
        <f>285.37</f>
        <v>285.37</v>
      </c>
    </row>
    <row r="781" spans="1:4" x14ac:dyDescent="0.2">
      <c r="A781" s="1">
        <v>44061</v>
      </c>
      <c r="B781">
        <f>23.269</f>
        <v>23.268999999999998</v>
      </c>
      <c r="C781">
        <f>21.51</f>
        <v>21.51</v>
      </c>
      <c r="D781">
        <f>347.4</f>
        <v>347.4</v>
      </c>
    </row>
    <row r="782" spans="1:4" x14ac:dyDescent="0.2">
      <c r="A782" s="1">
        <v>44060</v>
      </c>
      <c r="B782">
        <f>22.7835</f>
        <v>22.7835</v>
      </c>
      <c r="C782">
        <f>21.35</f>
        <v>21.35</v>
      </c>
      <c r="D782">
        <f>287.2</f>
        <v>287.2</v>
      </c>
    </row>
    <row r="783" spans="1:4" x14ac:dyDescent="0.2">
      <c r="A783" s="1">
        <v>44057</v>
      </c>
      <c r="B783">
        <f>23.8671</f>
        <v>23.867100000000001</v>
      </c>
      <c r="C783">
        <f>22.05</f>
        <v>22.05</v>
      </c>
      <c r="D783">
        <f>258.31</f>
        <v>258.31</v>
      </c>
    </row>
    <row r="784" spans="1:4" x14ac:dyDescent="0.2">
      <c r="A784" s="1">
        <v>44056</v>
      </c>
      <c r="B784">
        <f>22.691</f>
        <v>22.690999999999999</v>
      </c>
      <c r="C784">
        <f>22.13</f>
        <v>22.13</v>
      </c>
      <c r="D784">
        <f>376.27</f>
        <v>376.27</v>
      </c>
    </row>
    <row r="785" spans="1:4" x14ac:dyDescent="0.2">
      <c r="A785" s="1">
        <v>44055</v>
      </c>
      <c r="B785">
        <f>22.4674</f>
        <v>22.467400000000001</v>
      </c>
      <c r="C785">
        <f>22.28</f>
        <v>22.28</v>
      </c>
      <c r="D785">
        <f>367.75</f>
        <v>367.75</v>
      </c>
    </row>
    <row r="786" spans="1:4" x14ac:dyDescent="0.2">
      <c r="A786" s="1">
        <v>44054</v>
      </c>
      <c r="B786">
        <f>23.3863</f>
        <v>23.386299999999999</v>
      </c>
      <c r="C786">
        <f>24.03</f>
        <v>24.03</v>
      </c>
      <c r="D786">
        <f>370.53</f>
        <v>370.53</v>
      </c>
    </row>
    <row r="787" spans="1:4" x14ac:dyDescent="0.2">
      <c r="A787" s="1">
        <v>44053</v>
      </c>
      <c r="B787">
        <f>24.1127</f>
        <v>24.1127</v>
      </c>
      <c r="C787">
        <f>22.13</f>
        <v>22.13</v>
      </c>
      <c r="D787" t="e">
        <f>NA()</f>
        <v>#N/A</v>
      </c>
    </row>
    <row r="788" spans="1:4" x14ac:dyDescent="0.2">
      <c r="A788" s="1">
        <v>44050</v>
      </c>
      <c r="B788">
        <f>24.1977</f>
        <v>24.197700000000001</v>
      </c>
      <c r="C788">
        <f>22.21</f>
        <v>22.21</v>
      </c>
      <c r="D788">
        <f>274.12</f>
        <v>274.12</v>
      </c>
    </row>
    <row r="789" spans="1:4" x14ac:dyDescent="0.2">
      <c r="A789" s="1">
        <v>44049</v>
      </c>
      <c r="B789">
        <f>24.9371</f>
        <v>24.937100000000001</v>
      </c>
      <c r="C789">
        <f>22.65</f>
        <v>22.65</v>
      </c>
      <c r="D789">
        <f>325.61</f>
        <v>325.61</v>
      </c>
    </row>
    <row r="790" spans="1:4" x14ac:dyDescent="0.2">
      <c r="A790" s="1">
        <v>44048</v>
      </c>
      <c r="B790">
        <f>23.9421</f>
        <v>23.9421</v>
      </c>
      <c r="C790">
        <f>22.99</f>
        <v>22.99</v>
      </c>
      <c r="D790">
        <f>310.45</f>
        <v>310.45</v>
      </c>
    </row>
    <row r="791" spans="1:4" x14ac:dyDescent="0.2">
      <c r="A791" s="1">
        <v>44047</v>
      </c>
      <c r="B791">
        <f>25.087</f>
        <v>25.087</v>
      </c>
      <c r="C791">
        <f>23.76</f>
        <v>23.76</v>
      </c>
      <c r="D791">
        <f>261.18</f>
        <v>261.18</v>
      </c>
    </row>
    <row r="792" spans="1:4" x14ac:dyDescent="0.2">
      <c r="A792" s="1">
        <v>44046</v>
      </c>
      <c r="B792">
        <f>25.7571</f>
        <v>25.757100000000001</v>
      </c>
      <c r="C792">
        <f>24.28</f>
        <v>24.28</v>
      </c>
      <c r="D792">
        <f>296.63</f>
        <v>296.63</v>
      </c>
    </row>
    <row r="793" spans="1:4" x14ac:dyDescent="0.2">
      <c r="A793" s="1">
        <v>44043</v>
      </c>
      <c r="B793">
        <f>26.6625</f>
        <v>26.662500000000001</v>
      </c>
      <c r="C793">
        <f>24.46</f>
        <v>24.46</v>
      </c>
      <c r="D793">
        <f>375.52</f>
        <v>375.52</v>
      </c>
    </row>
    <row r="794" spans="1:4" x14ac:dyDescent="0.2">
      <c r="A794" s="1">
        <v>44042</v>
      </c>
      <c r="B794">
        <f>28.024</f>
        <v>28.024000000000001</v>
      </c>
      <c r="C794">
        <f>24.76</f>
        <v>24.76</v>
      </c>
      <c r="D794">
        <f>326.88</f>
        <v>326.88</v>
      </c>
    </row>
    <row r="795" spans="1:4" x14ac:dyDescent="0.2">
      <c r="A795" s="1">
        <v>44041</v>
      </c>
      <c r="B795">
        <f>24.2316</f>
        <v>24.2316</v>
      </c>
      <c r="C795">
        <f>24.1</f>
        <v>24.1</v>
      </c>
      <c r="D795">
        <f>284.61</f>
        <v>284.61</v>
      </c>
    </row>
    <row r="796" spans="1:4" x14ac:dyDescent="0.2">
      <c r="A796" s="1">
        <v>44040</v>
      </c>
      <c r="B796">
        <f>24.3987</f>
        <v>24.398700000000002</v>
      </c>
      <c r="C796">
        <f>25.44</f>
        <v>25.44</v>
      </c>
      <c r="D796">
        <f>279.54</f>
        <v>279.54000000000002</v>
      </c>
    </row>
    <row r="797" spans="1:4" x14ac:dyDescent="0.2">
      <c r="A797" s="1">
        <v>44039</v>
      </c>
      <c r="B797">
        <f>25.238</f>
        <v>25.238</v>
      </c>
      <c r="C797">
        <f>24.74</f>
        <v>24.74</v>
      </c>
      <c r="D797">
        <f>329.74</f>
        <v>329.74</v>
      </c>
    </row>
    <row r="798" spans="1:4" x14ac:dyDescent="0.2">
      <c r="A798" s="1">
        <v>44036</v>
      </c>
      <c r="B798">
        <f>25.5773</f>
        <v>25.577300000000001</v>
      </c>
      <c r="C798">
        <f>25.84</f>
        <v>25.84</v>
      </c>
      <c r="D798">
        <f>294.45</f>
        <v>294.45</v>
      </c>
    </row>
    <row r="799" spans="1:4" x14ac:dyDescent="0.2">
      <c r="A799" s="1">
        <v>44035</v>
      </c>
      <c r="B799">
        <f>23.3144</f>
        <v>23.314399999999999</v>
      </c>
      <c r="C799">
        <f>26.08</f>
        <v>26.08</v>
      </c>
      <c r="D799">
        <f>310.28</f>
        <v>310.27999999999997</v>
      </c>
    </row>
    <row r="800" spans="1:4" x14ac:dyDescent="0.2">
      <c r="A800" s="1">
        <v>44034</v>
      </c>
      <c r="B800">
        <f>24.2123</f>
        <v>24.212299999999999</v>
      </c>
      <c r="C800">
        <f>24.32</f>
        <v>24.32</v>
      </c>
      <c r="D800">
        <f>307.37</f>
        <v>307.37</v>
      </c>
    </row>
    <row r="801" spans="1:4" x14ac:dyDescent="0.2">
      <c r="A801" s="1">
        <v>44033</v>
      </c>
      <c r="B801">
        <f>23.4879</f>
        <v>23.4879</v>
      </c>
      <c r="C801">
        <f>24.84</f>
        <v>24.84</v>
      </c>
      <c r="D801">
        <f>327.32</f>
        <v>327.32</v>
      </c>
    </row>
    <row r="802" spans="1:4" x14ac:dyDescent="0.2">
      <c r="A802" s="1">
        <v>44032</v>
      </c>
      <c r="B802">
        <f>24.2112</f>
        <v>24.211200000000002</v>
      </c>
      <c r="C802">
        <f>24.46</f>
        <v>24.46</v>
      </c>
      <c r="D802">
        <f>269.1</f>
        <v>269.10000000000002</v>
      </c>
    </row>
    <row r="803" spans="1:4" x14ac:dyDescent="0.2">
      <c r="A803" s="1">
        <v>44029</v>
      </c>
      <c r="B803">
        <f>25.5762</f>
        <v>25.5762</v>
      </c>
      <c r="C803">
        <f>25.68</f>
        <v>25.68</v>
      </c>
      <c r="D803">
        <f>201.41</f>
        <v>201.41</v>
      </c>
    </row>
    <row r="804" spans="1:4" x14ac:dyDescent="0.2">
      <c r="A804" s="1">
        <v>44028</v>
      </c>
      <c r="B804">
        <f>26.8067</f>
        <v>26.806699999999999</v>
      </c>
      <c r="C804">
        <f>28</f>
        <v>28</v>
      </c>
      <c r="D804">
        <f>281.47</f>
        <v>281.47000000000003</v>
      </c>
    </row>
    <row r="805" spans="1:4" x14ac:dyDescent="0.2">
      <c r="A805" s="1">
        <v>44027</v>
      </c>
      <c r="B805">
        <f>27.5724</f>
        <v>27.572399999999998</v>
      </c>
      <c r="C805">
        <f>27.76</f>
        <v>27.76</v>
      </c>
      <c r="D805">
        <f>349.85</f>
        <v>349.85</v>
      </c>
    </row>
    <row r="806" spans="1:4" x14ac:dyDescent="0.2">
      <c r="A806" s="1">
        <v>44026</v>
      </c>
      <c r="B806">
        <f>28.9278</f>
        <v>28.927800000000001</v>
      </c>
      <c r="C806">
        <f>29.52</f>
        <v>29.52</v>
      </c>
      <c r="D806">
        <f>324.89</f>
        <v>324.89</v>
      </c>
    </row>
    <row r="807" spans="1:4" x14ac:dyDescent="0.2">
      <c r="A807" s="1">
        <v>44025</v>
      </c>
      <c r="B807">
        <f>27.1352</f>
        <v>27.135200000000001</v>
      </c>
      <c r="C807">
        <f>32.19</f>
        <v>32.19</v>
      </c>
      <c r="D807">
        <f>319.95</f>
        <v>319.95</v>
      </c>
    </row>
    <row r="808" spans="1:4" x14ac:dyDescent="0.2">
      <c r="A808" s="1">
        <v>44022</v>
      </c>
      <c r="B808">
        <f>28.4276</f>
        <v>28.427600000000002</v>
      </c>
      <c r="C808">
        <f>27.29</f>
        <v>27.29</v>
      </c>
      <c r="D808">
        <f>351.62</f>
        <v>351.62</v>
      </c>
    </row>
    <row r="809" spans="1:4" x14ac:dyDescent="0.2">
      <c r="A809" s="1">
        <v>44021</v>
      </c>
      <c r="B809">
        <f>30.4505</f>
        <v>30.450500000000002</v>
      </c>
      <c r="C809">
        <f>29.26</f>
        <v>29.26</v>
      </c>
      <c r="D809">
        <f>441.7</f>
        <v>441.7</v>
      </c>
    </row>
    <row r="810" spans="1:4" x14ac:dyDescent="0.2">
      <c r="A810" s="1">
        <v>44020</v>
      </c>
      <c r="B810">
        <f>29.5725</f>
        <v>29.572500000000002</v>
      </c>
      <c r="C810">
        <f>28.08</f>
        <v>28.08</v>
      </c>
      <c r="D810">
        <f>351.54</f>
        <v>351.54</v>
      </c>
    </row>
    <row r="811" spans="1:4" x14ac:dyDescent="0.2">
      <c r="A811" s="1">
        <v>44019</v>
      </c>
      <c r="B811">
        <f>27.9345</f>
        <v>27.9345</v>
      </c>
      <c r="C811">
        <f>29.43</f>
        <v>29.43</v>
      </c>
      <c r="D811">
        <f>333.35</f>
        <v>333.35</v>
      </c>
    </row>
    <row r="812" spans="1:4" x14ac:dyDescent="0.2">
      <c r="A812" s="1">
        <v>44018</v>
      </c>
      <c r="B812">
        <f>27.6015</f>
        <v>27.601500000000001</v>
      </c>
      <c r="C812">
        <f>27.94</f>
        <v>27.94</v>
      </c>
      <c r="D812">
        <f>260.19</f>
        <v>260.19</v>
      </c>
    </row>
    <row r="813" spans="1:4" x14ac:dyDescent="0.2">
      <c r="A813" s="1">
        <v>44015</v>
      </c>
      <c r="B813">
        <f>28.2699</f>
        <v>28.2699</v>
      </c>
      <c r="C813" t="e">
        <f>NA()</f>
        <v>#N/A</v>
      </c>
      <c r="D813">
        <f>200.62</f>
        <v>200.62</v>
      </c>
    </row>
    <row r="814" spans="1:4" x14ac:dyDescent="0.2">
      <c r="A814" s="1">
        <v>44014</v>
      </c>
      <c r="B814">
        <f>27.5942</f>
        <v>27.594200000000001</v>
      </c>
      <c r="C814">
        <f>27.68</f>
        <v>27.68</v>
      </c>
      <c r="D814">
        <f>297.75</f>
        <v>297.75</v>
      </c>
    </row>
    <row r="815" spans="1:4" x14ac:dyDescent="0.2">
      <c r="A815" s="1">
        <v>44013</v>
      </c>
      <c r="B815">
        <f>30.1305</f>
        <v>30.130500000000001</v>
      </c>
      <c r="C815">
        <f>28.62</f>
        <v>28.62</v>
      </c>
      <c r="D815">
        <f>396.39</f>
        <v>396.39</v>
      </c>
    </row>
    <row r="816" spans="1:4" x14ac:dyDescent="0.2">
      <c r="A816" s="1">
        <v>44012</v>
      </c>
      <c r="B816">
        <f>31.7179</f>
        <v>31.7179</v>
      </c>
      <c r="C816">
        <f>30.43</f>
        <v>30.43</v>
      </c>
      <c r="D816">
        <f>486.78</f>
        <v>486.78</v>
      </c>
    </row>
    <row r="817" spans="1:4" x14ac:dyDescent="0.2">
      <c r="A817" s="1">
        <v>44011</v>
      </c>
      <c r="B817">
        <f>34.4922</f>
        <v>34.492199999999997</v>
      </c>
      <c r="C817">
        <f>31.78</f>
        <v>31.78</v>
      </c>
      <c r="D817">
        <f>371.29</f>
        <v>371.29</v>
      </c>
    </row>
    <row r="818" spans="1:4" x14ac:dyDescent="0.2">
      <c r="A818" s="1">
        <v>44008</v>
      </c>
      <c r="B818">
        <f>35.1735</f>
        <v>35.173499999999997</v>
      </c>
      <c r="C818">
        <f>34.73</f>
        <v>34.729999999999997</v>
      </c>
      <c r="D818">
        <f>382.26</f>
        <v>382.26</v>
      </c>
    </row>
    <row r="819" spans="1:4" x14ac:dyDescent="0.2">
      <c r="A819" s="1">
        <v>44007</v>
      </c>
      <c r="B819">
        <f>34.6839</f>
        <v>34.683900000000001</v>
      </c>
      <c r="C819">
        <f>32.22</f>
        <v>32.22</v>
      </c>
      <c r="D819">
        <f>489.35</f>
        <v>489.35</v>
      </c>
    </row>
    <row r="820" spans="1:4" x14ac:dyDescent="0.2">
      <c r="A820" s="1">
        <v>44006</v>
      </c>
      <c r="B820">
        <f>36.8071</f>
        <v>36.807099999999998</v>
      </c>
      <c r="C820">
        <f>33.84</f>
        <v>33.840000000000003</v>
      </c>
      <c r="D820">
        <f>613.26</f>
        <v>613.26</v>
      </c>
    </row>
    <row r="821" spans="1:4" x14ac:dyDescent="0.2">
      <c r="A821" s="1">
        <v>44005</v>
      </c>
      <c r="B821">
        <f>31.3419</f>
        <v>31.341899999999999</v>
      </c>
      <c r="C821">
        <f>31.37</f>
        <v>31.37</v>
      </c>
      <c r="D821">
        <f>366.35</f>
        <v>366.35</v>
      </c>
    </row>
    <row r="822" spans="1:4" x14ac:dyDescent="0.2">
      <c r="A822" s="1">
        <v>44004</v>
      </c>
      <c r="B822">
        <f>33.781</f>
        <v>33.780999999999999</v>
      </c>
      <c r="C822">
        <f>31.77</f>
        <v>31.77</v>
      </c>
      <c r="D822">
        <f>339.67</f>
        <v>339.67</v>
      </c>
    </row>
    <row r="823" spans="1:4" x14ac:dyDescent="0.2">
      <c r="A823" s="1">
        <v>44001</v>
      </c>
      <c r="B823">
        <f>32.2142</f>
        <v>32.214199999999998</v>
      </c>
      <c r="C823">
        <f>35.12</f>
        <v>35.119999999999997</v>
      </c>
      <c r="D823">
        <f>1093.24</f>
        <v>1093.24</v>
      </c>
    </row>
    <row r="824" spans="1:4" x14ac:dyDescent="0.2">
      <c r="A824" s="1">
        <v>44000</v>
      </c>
      <c r="B824">
        <f>35.0461</f>
        <v>35.046100000000003</v>
      </c>
      <c r="C824">
        <f>32.94</f>
        <v>32.94</v>
      </c>
      <c r="D824">
        <f>614.62</f>
        <v>614.62</v>
      </c>
    </row>
    <row r="825" spans="1:4" x14ac:dyDescent="0.2">
      <c r="A825" s="1">
        <v>43999</v>
      </c>
      <c r="B825">
        <f>35.3603</f>
        <v>35.360300000000002</v>
      </c>
      <c r="C825">
        <f>33.47</f>
        <v>33.47</v>
      </c>
      <c r="D825">
        <f>429.6</f>
        <v>429.6</v>
      </c>
    </row>
    <row r="826" spans="1:4" x14ac:dyDescent="0.2">
      <c r="A826" s="1">
        <v>43998</v>
      </c>
      <c r="B826">
        <f>36.0977</f>
        <v>36.097700000000003</v>
      </c>
      <c r="C826">
        <f>33.67</f>
        <v>33.67</v>
      </c>
      <c r="D826" t="e">
        <f>NA()</f>
        <v>#N/A</v>
      </c>
    </row>
    <row r="827" spans="1:4" x14ac:dyDescent="0.2">
      <c r="A827" s="1">
        <v>43997</v>
      </c>
      <c r="B827">
        <f>38.4135</f>
        <v>38.413499999999999</v>
      </c>
      <c r="C827">
        <f>34.4</f>
        <v>34.4</v>
      </c>
      <c r="D827">
        <f>310.6</f>
        <v>310.60000000000002</v>
      </c>
    </row>
    <row r="828" spans="1:4" x14ac:dyDescent="0.2">
      <c r="A828" s="1">
        <v>43994</v>
      </c>
      <c r="B828">
        <f>41.4116</f>
        <v>41.4116</v>
      </c>
      <c r="C828">
        <f>36.09</f>
        <v>36.090000000000003</v>
      </c>
      <c r="D828">
        <f>309.48</f>
        <v>309.48</v>
      </c>
    </row>
    <row r="829" spans="1:4" x14ac:dyDescent="0.2">
      <c r="A829" s="1">
        <v>43993</v>
      </c>
      <c r="B829">
        <f>36.0215</f>
        <v>36.021500000000003</v>
      </c>
      <c r="C829">
        <f>40.79</f>
        <v>40.79</v>
      </c>
      <c r="D829">
        <f>428.6</f>
        <v>428.6</v>
      </c>
    </row>
    <row r="830" spans="1:4" x14ac:dyDescent="0.2">
      <c r="A830" s="1">
        <v>43992</v>
      </c>
      <c r="B830">
        <f>30.0524</f>
        <v>30.052399999999999</v>
      </c>
      <c r="C830">
        <f>27.57</f>
        <v>27.57</v>
      </c>
      <c r="D830">
        <f>411.79</f>
        <v>411.79</v>
      </c>
    </row>
    <row r="831" spans="1:4" x14ac:dyDescent="0.2">
      <c r="A831" s="1">
        <v>43991</v>
      </c>
      <c r="B831">
        <f>29.7453</f>
        <v>29.7453</v>
      </c>
      <c r="C831">
        <f>27.57</f>
        <v>27.57</v>
      </c>
      <c r="D831">
        <f>467.91</f>
        <v>467.91</v>
      </c>
    </row>
    <row r="832" spans="1:4" x14ac:dyDescent="0.2">
      <c r="A832" s="1">
        <v>43990</v>
      </c>
      <c r="B832">
        <f>28.1197</f>
        <v>28.119700000000002</v>
      </c>
      <c r="C832">
        <f>25.81</f>
        <v>25.81</v>
      </c>
      <c r="D832">
        <f>497.97</f>
        <v>497.97</v>
      </c>
    </row>
    <row r="833" spans="1:4" x14ac:dyDescent="0.2">
      <c r="A833" s="1">
        <v>43987</v>
      </c>
      <c r="B833">
        <f>27.8909</f>
        <v>27.890899999999998</v>
      </c>
      <c r="C833">
        <f>24.52</f>
        <v>24.52</v>
      </c>
      <c r="D833">
        <f>595.09</f>
        <v>595.09</v>
      </c>
    </row>
    <row r="834" spans="1:4" x14ac:dyDescent="0.2">
      <c r="A834" s="1">
        <v>43986</v>
      </c>
      <c r="B834">
        <f>27.6617</f>
        <v>27.6617</v>
      </c>
      <c r="C834">
        <f>25.81</f>
        <v>25.81</v>
      </c>
      <c r="D834">
        <f>484.22</f>
        <v>484.22</v>
      </c>
    </row>
    <row r="835" spans="1:4" x14ac:dyDescent="0.2">
      <c r="A835" s="1">
        <v>43985</v>
      </c>
      <c r="B835">
        <f>29.6082</f>
        <v>29.6082</v>
      </c>
      <c r="C835">
        <f>25.66</f>
        <v>25.66</v>
      </c>
      <c r="D835">
        <f>599.53</f>
        <v>599.53</v>
      </c>
    </row>
    <row r="836" spans="1:4" x14ac:dyDescent="0.2">
      <c r="A836" s="1">
        <v>43984</v>
      </c>
      <c r="B836">
        <f>30.678</f>
        <v>30.678000000000001</v>
      </c>
      <c r="C836">
        <f>26.84</f>
        <v>26.84</v>
      </c>
      <c r="D836">
        <f>522.2</f>
        <v>522.20000000000005</v>
      </c>
    </row>
    <row r="837" spans="1:4" x14ac:dyDescent="0.2">
      <c r="A837" s="1">
        <v>43983</v>
      </c>
      <c r="B837">
        <f>30.099</f>
        <v>30.099</v>
      </c>
      <c r="C837">
        <f>28.23</f>
        <v>28.23</v>
      </c>
      <c r="D837">
        <f>288.97</f>
        <v>288.97000000000003</v>
      </c>
    </row>
    <row r="838" spans="1:4" x14ac:dyDescent="0.2">
      <c r="A838" s="1">
        <v>43980</v>
      </c>
      <c r="B838">
        <f>31.1263</f>
        <v>31.126300000000001</v>
      </c>
      <c r="C838">
        <f>27.51</f>
        <v>27.51</v>
      </c>
      <c r="D838">
        <f>1322.82</f>
        <v>1322.82</v>
      </c>
    </row>
    <row r="839" spans="1:4" x14ac:dyDescent="0.2">
      <c r="A839" s="1">
        <v>43979</v>
      </c>
      <c r="B839">
        <f>29.0063</f>
        <v>29.0063</v>
      </c>
      <c r="C839">
        <f>28.59</f>
        <v>28.59</v>
      </c>
      <c r="D839">
        <f>427.78</f>
        <v>427.78</v>
      </c>
    </row>
    <row r="840" spans="1:4" x14ac:dyDescent="0.2">
      <c r="A840" s="1">
        <v>43978</v>
      </c>
      <c r="B840">
        <f>29.3988</f>
        <v>29.398800000000001</v>
      </c>
      <c r="C840">
        <f>27.62</f>
        <v>27.62</v>
      </c>
      <c r="D840">
        <f>326.82</f>
        <v>326.82</v>
      </c>
    </row>
    <row r="841" spans="1:4" x14ac:dyDescent="0.2">
      <c r="A841" s="1">
        <v>43977</v>
      </c>
      <c r="B841">
        <f>28.0385</f>
        <v>28.038499999999999</v>
      </c>
      <c r="C841">
        <f>28.01</f>
        <v>28.01</v>
      </c>
      <c r="D841">
        <f>358.91</f>
        <v>358.91</v>
      </c>
    </row>
    <row r="842" spans="1:4" x14ac:dyDescent="0.2">
      <c r="A842" s="1">
        <v>43976</v>
      </c>
      <c r="B842">
        <f>29.1565</f>
        <v>29.156500000000001</v>
      </c>
      <c r="C842" t="e">
        <f>NA()</f>
        <v>#N/A</v>
      </c>
      <c r="D842">
        <f>215.81</f>
        <v>215.81</v>
      </c>
    </row>
    <row r="843" spans="1:4" x14ac:dyDescent="0.2">
      <c r="A843" s="1">
        <v>43973</v>
      </c>
      <c r="B843">
        <f>31.4161</f>
        <v>31.4161</v>
      </c>
      <c r="C843">
        <f>28.16</f>
        <v>28.16</v>
      </c>
      <c r="D843">
        <f>378.52</f>
        <v>378.52</v>
      </c>
    </row>
    <row r="844" spans="1:4" x14ac:dyDescent="0.2">
      <c r="A844" s="1">
        <v>43972</v>
      </c>
      <c r="B844">
        <f>32.315</f>
        <v>32.314999999999998</v>
      </c>
      <c r="C844">
        <f>29.53</f>
        <v>29.53</v>
      </c>
      <c r="D844">
        <f>411.14</f>
        <v>411.14</v>
      </c>
    </row>
    <row r="845" spans="1:4" x14ac:dyDescent="0.2">
      <c r="A845" s="1">
        <v>43971</v>
      </c>
      <c r="B845">
        <f>29.1093</f>
        <v>29.109300000000001</v>
      </c>
      <c r="C845">
        <f>27.99</f>
        <v>27.99</v>
      </c>
      <c r="D845">
        <f>367.11</f>
        <v>367.11</v>
      </c>
    </row>
    <row r="846" spans="1:4" x14ac:dyDescent="0.2">
      <c r="A846" s="1">
        <v>43970</v>
      </c>
      <c r="B846">
        <f>30.1699</f>
        <v>30.169899999999998</v>
      </c>
      <c r="C846">
        <f>30.53</f>
        <v>30.53</v>
      </c>
      <c r="D846">
        <f>383.62</f>
        <v>383.62</v>
      </c>
    </row>
    <row r="847" spans="1:4" x14ac:dyDescent="0.2">
      <c r="A847" s="1">
        <v>43969</v>
      </c>
      <c r="B847">
        <f>29.0582</f>
        <v>29.058199999999999</v>
      </c>
      <c r="C847">
        <f>29.3</f>
        <v>29.3</v>
      </c>
      <c r="D847">
        <f>345.65</f>
        <v>345.65</v>
      </c>
    </row>
    <row r="848" spans="1:4" x14ac:dyDescent="0.2">
      <c r="A848" s="1">
        <v>43966</v>
      </c>
      <c r="B848">
        <f>34.4706</f>
        <v>34.470599999999997</v>
      </c>
      <c r="C848">
        <f>31.89</f>
        <v>31.89</v>
      </c>
      <c r="D848">
        <f>308.6</f>
        <v>308.60000000000002</v>
      </c>
    </row>
    <row r="849" spans="1:4" x14ac:dyDescent="0.2">
      <c r="A849" s="1">
        <v>43965</v>
      </c>
      <c r="B849">
        <f>36.3219</f>
        <v>36.321899999999999</v>
      </c>
      <c r="C849">
        <f>32.61</f>
        <v>32.61</v>
      </c>
      <c r="D849">
        <f>342.33</f>
        <v>342.33</v>
      </c>
    </row>
    <row r="850" spans="1:4" x14ac:dyDescent="0.2">
      <c r="A850" s="1">
        <v>43964</v>
      </c>
      <c r="B850">
        <f>33.4196</f>
        <v>33.419600000000003</v>
      </c>
      <c r="C850">
        <f>35.28</f>
        <v>35.28</v>
      </c>
      <c r="D850">
        <f>368.8</f>
        <v>368.8</v>
      </c>
    </row>
    <row r="851" spans="1:4" x14ac:dyDescent="0.2">
      <c r="A851" s="1">
        <v>43963</v>
      </c>
      <c r="B851">
        <f>27.6697</f>
        <v>27.669699999999999</v>
      </c>
      <c r="C851">
        <f>33.04</f>
        <v>33.04</v>
      </c>
      <c r="D851">
        <f>368.1</f>
        <v>368.1</v>
      </c>
    </row>
    <row r="852" spans="1:4" x14ac:dyDescent="0.2">
      <c r="A852" s="1">
        <v>43962</v>
      </c>
      <c r="B852">
        <f>29.9068</f>
        <v>29.9068</v>
      </c>
      <c r="C852">
        <f>27.57</f>
        <v>27.57</v>
      </c>
      <c r="D852">
        <f>263.3</f>
        <v>263.3</v>
      </c>
    </row>
    <row r="853" spans="1:4" x14ac:dyDescent="0.2">
      <c r="A853" s="1">
        <v>43959</v>
      </c>
      <c r="B853">
        <f>29.6643</f>
        <v>29.664300000000001</v>
      </c>
      <c r="C853">
        <f>27.98</f>
        <v>27.98</v>
      </c>
      <c r="D853">
        <f>396.35</f>
        <v>396.35</v>
      </c>
    </row>
    <row r="854" spans="1:4" x14ac:dyDescent="0.2">
      <c r="A854" s="1">
        <v>43958</v>
      </c>
      <c r="B854">
        <f>32.4312</f>
        <v>32.431199999999997</v>
      </c>
      <c r="C854">
        <f>31.44</f>
        <v>31.44</v>
      </c>
      <c r="D854">
        <f>308.57</f>
        <v>308.57</v>
      </c>
    </row>
    <row r="855" spans="1:4" x14ac:dyDescent="0.2">
      <c r="A855" s="1">
        <v>43957</v>
      </c>
      <c r="B855">
        <f>34.8075</f>
        <v>34.807499999999997</v>
      </c>
      <c r="C855">
        <f>34.12</f>
        <v>34.119999999999997</v>
      </c>
      <c r="D855">
        <f>310.55</f>
        <v>310.55</v>
      </c>
    </row>
    <row r="856" spans="1:4" x14ac:dyDescent="0.2">
      <c r="A856" s="1">
        <v>43956</v>
      </c>
      <c r="B856">
        <f>34.5055</f>
        <v>34.505499999999998</v>
      </c>
      <c r="C856">
        <f>33.61</f>
        <v>33.61</v>
      </c>
      <c r="D856">
        <f>333.06</f>
        <v>333.06</v>
      </c>
    </row>
    <row r="857" spans="1:4" x14ac:dyDescent="0.2">
      <c r="A857" s="1">
        <v>43955</v>
      </c>
      <c r="B857">
        <f>38.322</f>
        <v>38.322000000000003</v>
      </c>
      <c r="C857">
        <f>35.97</f>
        <v>35.97</v>
      </c>
      <c r="D857">
        <f>342.31</f>
        <v>342.31</v>
      </c>
    </row>
    <row r="858" spans="1:4" x14ac:dyDescent="0.2">
      <c r="A858" s="1">
        <v>43952</v>
      </c>
      <c r="B858" t="e">
        <f>NA()</f>
        <v>#N/A</v>
      </c>
      <c r="C858">
        <f>37.19</f>
        <v>37.19</v>
      </c>
      <c r="D858" t="e">
        <f>NA()</f>
        <v>#N/A</v>
      </c>
    </row>
    <row r="859" spans="1:4" x14ac:dyDescent="0.2">
      <c r="A859" s="1">
        <v>43951</v>
      </c>
      <c r="B859">
        <f>33.9105</f>
        <v>33.910499999999999</v>
      </c>
      <c r="C859">
        <f>34.15</f>
        <v>34.15</v>
      </c>
      <c r="D859">
        <f>404.78</f>
        <v>404.78</v>
      </c>
    </row>
    <row r="860" spans="1:4" x14ac:dyDescent="0.2">
      <c r="A860" s="1">
        <v>43950</v>
      </c>
      <c r="B860">
        <f>30.7205</f>
        <v>30.720500000000001</v>
      </c>
      <c r="C860">
        <f>31.23</f>
        <v>31.23</v>
      </c>
      <c r="D860">
        <f>574.41</f>
        <v>574.41</v>
      </c>
    </row>
    <row r="861" spans="1:4" x14ac:dyDescent="0.2">
      <c r="A861" s="1">
        <v>43949</v>
      </c>
      <c r="B861">
        <f>33.012</f>
        <v>33.012</v>
      </c>
      <c r="C861">
        <f>33.57</f>
        <v>33.57</v>
      </c>
      <c r="D861">
        <f>418.15</f>
        <v>418.15</v>
      </c>
    </row>
    <row r="862" spans="1:4" x14ac:dyDescent="0.2">
      <c r="A862" s="1">
        <v>43948</v>
      </c>
      <c r="B862">
        <f>34.7193</f>
        <v>34.719299999999997</v>
      </c>
      <c r="C862">
        <f>33.29</f>
        <v>33.29</v>
      </c>
      <c r="D862" t="e">
        <f>NA()</f>
        <v>#N/A</v>
      </c>
    </row>
    <row r="863" spans="1:4" x14ac:dyDescent="0.2">
      <c r="A863" s="1">
        <v>43945</v>
      </c>
      <c r="B863">
        <f>40.1744</f>
        <v>40.174399999999999</v>
      </c>
      <c r="C863">
        <f>35.93</f>
        <v>35.93</v>
      </c>
      <c r="D863">
        <f>408.28</f>
        <v>408.28</v>
      </c>
    </row>
    <row r="864" spans="1:4" x14ac:dyDescent="0.2">
      <c r="A864" s="1">
        <v>43944</v>
      </c>
      <c r="B864">
        <f>40.3534</f>
        <v>40.353400000000001</v>
      </c>
      <c r="C864">
        <f>41.38</f>
        <v>41.38</v>
      </c>
      <c r="D864">
        <f>340.4</f>
        <v>340.4</v>
      </c>
    </row>
    <row r="865" spans="1:4" x14ac:dyDescent="0.2">
      <c r="A865" s="1">
        <v>43943</v>
      </c>
      <c r="B865">
        <f>43.9569</f>
        <v>43.956899999999997</v>
      </c>
      <c r="C865">
        <f>41.98</f>
        <v>41.98</v>
      </c>
      <c r="D865">
        <f>357.31</f>
        <v>357.31</v>
      </c>
    </row>
    <row r="866" spans="1:4" x14ac:dyDescent="0.2">
      <c r="A866" s="1">
        <v>43942</v>
      </c>
      <c r="B866">
        <f>48.2215</f>
        <v>48.221499999999999</v>
      </c>
      <c r="C866">
        <f>45.41</f>
        <v>45.41</v>
      </c>
      <c r="D866">
        <f>374.13</f>
        <v>374.13</v>
      </c>
    </row>
    <row r="867" spans="1:4" x14ac:dyDescent="0.2">
      <c r="A867" s="1">
        <v>43941</v>
      </c>
      <c r="B867">
        <f>41.2975</f>
        <v>41.297499999999999</v>
      </c>
      <c r="C867">
        <f>43.83</f>
        <v>43.83</v>
      </c>
      <c r="D867">
        <f>325.51</f>
        <v>325.51</v>
      </c>
    </row>
    <row r="868" spans="1:4" x14ac:dyDescent="0.2">
      <c r="A868" s="1">
        <v>43938</v>
      </c>
      <c r="B868">
        <f>41.201</f>
        <v>41.201000000000001</v>
      </c>
      <c r="C868">
        <f>38.15</f>
        <v>38.15</v>
      </c>
      <c r="D868">
        <f>342.2</f>
        <v>342.2</v>
      </c>
    </row>
    <row r="869" spans="1:4" x14ac:dyDescent="0.2">
      <c r="A869" s="1">
        <v>43937</v>
      </c>
      <c r="B869">
        <f>43.2623</f>
        <v>43.262300000000003</v>
      </c>
      <c r="C869">
        <f>40.11</f>
        <v>40.11</v>
      </c>
      <c r="D869">
        <f>449.74</f>
        <v>449.74</v>
      </c>
    </row>
    <row r="870" spans="1:4" x14ac:dyDescent="0.2">
      <c r="A870" s="1">
        <v>43936</v>
      </c>
      <c r="B870">
        <f>44.9575</f>
        <v>44.957500000000003</v>
      </c>
      <c r="C870">
        <f>40.84</f>
        <v>40.840000000000003</v>
      </c>
      <c r="D870">
        <f>444.19</f>
        <v>444.19</v>
      </c>
    </row>
    <row r="871" spans="1:4" x14ac:dyDescent="0.2">
      <c r="A871" s="1">
        <v>43935</v>
      </c>
      <c r="B871">
        <f>40.4768</f>
        <v>40.476799999999997</v>
      </c>
      <c r="C871">
        <f>37.76</f>
        <v>37.76</v>
      </c>
      <c r="D871">
        <f>463.95</f>
        <v>463.95</v>
      </c>
    </row>
    <row r="872" spans="1:4" x14ac:dyDescent="0.2">
      <c r="A872" s="1">
        <v>43934</v>
      </c>
      <c r="B872" t="e">
        <f>NA()</f>
        <v>#N/A</v>
      </c>
      <c r="C872">
        <f>41.17</f>
        <v>41.17</v>
      </c>
      <c r="D872" t="e">
        <f>NA()</f>
        <v>#N/A</v>
      </c>
    </row>
    <row r="873" spans="1:4" x14ac:dyDescent="0.2">
      <c r="A873" s="1">
        <v>43930</v>
      </c>
      <c r="B873">
        <f>44.7106</f>
        <v>44.710599999999999</v>
      </c>
      <c r="C873">
        <f>41.67</f>
        <v>41.67</v>
      </c>
      <c r="D873">
        <f>420.09</f>
        <v>420.09</v>
      </c>
    </row>
    <row r="874" spans="1:4" x14ac:dyDescent="0.2">
      <c r="A874" s="1">
        <v>43929</v>
      </c>
      <c r="B874">
        <f>45.2972</f>
        <v>45.297199999999997</v>
      </c>
      <c r="C874">
        <f>43.35</f>
        <v>43.35</v>
      </c>
      <c r="D874">
        <f>349.93</f>
        <v>349.93</v>
      </c>
    </row>
    <row r="875" spans="1:4" x14ac:dyDescent="0.2">
      <c r="A875" s="1">
        <v>43928</v>
      </c>
      <c r="B875">
        <f>46.2871</f>
        <v>46.287100000000002</v>
      </c>
      <c r="C875">
        <f>46.7</f>
        <v>46.7</v>
      </c>
      <c r="D875">
        <f>544.79</f>
        <v>544.79</v>
      </c>
    </row>
    <row r="876" spans="1:4" x14ac:dyDescent="0.2">
      <c r="A876" s="1">
        <v>43927</v>
      </c>
      <c r="B876">
        <f>43.0301</f>
        <v>43.030099999999997</v>
      </c>
      <c r="C876">
        <f>45.24</f>
        <v>45.24</v>
      </c>
      <c r="D876">
        <f>338.24</f>
        <v>338.24</v>
      </c>
    </row>
    <row r="877" spans="1:4" x14ac:dyDescent="0.2">
      <c r="A877" s="1">
        <v>43924</v>
      </c>
      <c r="B877">
        <f>45.8806</f>
        <v>45.880600000000001</v>
      </c>
      <c r="C877">
        <f>46.8</f>
        <v>46.8</v>
      </c>
      <c r="D877">
        <f>364.49</f>
        <v>364.49</v>
      </c>
    </row>
    <row r="878" spans="1:4" x14ac:dyDescent="0.2">
      <c r="A878" s="1">
        <v>43923</v>
      </c>
      <c r="B878">
        <f>49.9156</f>
        <v>49.915599999999998</v>
      </c>
      <c r="C878">
        <f>50.91</f>
        <v>50.91</v>
      </c>
      <c r="D878">
        <f>394.23</f>
        <v>394.23</v>
      </c>
    </row>
    <row r="879" spans="1:4" x14ac:dyDescent="0.2">
      <c r="A879" s="1">
        <v>43922</v>
      </c>
      <c r="B879">
        <f>51.1408</f>
        <v>51.140799999999999</v>
      </c>
      <c r="C879">
        <f>57.06</f>
        <v>57.06</v>
      </c>
      <c r="D879">
        <f>354.64</f>
        <v>354.64</v>
      </c>
    </row>
    <row r="880" spans="1:4" x14ac:dyDescent="0.2">
      <c r="A880" s="1">
        <v>43921</v>
      </c>
      <c r="B880">
        <f>48.5926</f>
        <v>48.592599999999997</v>
      </c>
      <c r="C880">
        <f>53.54</f>
        <v>53.54</v>
      </c>
      <c r="D880">
        <f>478.48</f>
        <v>478.48</v>
      </c>
    </row>
    <row r="881" spans="1:4" x14ac:dyDescent="0.2">
      <c r="A881" s="1">
        <v>43920</v>
      </c>
      <c r="B881">
        <f>55.6324</f>
        <v>55.632399999999997</v>
      </c>
      <c r="C881">
        <f>57.08</f>
        <v>57.08</v>
      </c>
      <c r="D881">
        <f>384.57</f>
        <v>384.57</v>
      </c>
    </row>
    <row r="882" spans="1:4" x14ac:dyDescent="0.2">
      <c r="A882" s="1">
        <v>43917</v>
      </c>
      <c r="B882">
        <f>60.9948</f>
        <v>60.994799999999998</v>
      </c>
      <c r="C882">
        <f>65.54</f>
        <v>65.540000000000006</v>
      </c>
      <c r="D882">
        <f>447.2</f>
        <v>447.2</v>
      </c>
    </row>
    <row r="883" spans="1:4" x14ac:dyDescent="0.2">
      <c r="A883" s="1">
        <v>43916</v>
      </c>
      <c r="B883">
        <f>54.3148</f>
        <v>54.314799999999998</v>
      </c>
      <c r="C883">
        <f>61</f>
        <v>61</v>
      </c>
      <c r="D883">
        <f>548.52</f>
        <v>548.52</v>
      </c>
    </row>
    <row r="884" spans="1:4" x14ac:dyDescent="0.2">
      <c r="A884" s="1">
        <v>43915</v>
      </c>
      <c r="B884">
        <f>57.1305</f>
        <v>57.130499999999998</v>
      </c>
      <c r="C884">
        <f>63.95</f>
        <v>63.95</v>
      </c>
      <c r="D884">
        <f>547.27</f>
        <v>547.27</v>
      </c>
    </row>
    <row r="885" spans="1:4" x14ac:dyDescent="0.2">
      <c r="A885" s="1">
        <v>43914</v>
      </c>
      <c r="B885">
        <f>52.5304</f>
        <v>52.5304</v>
      </c>
      <c r="C885">
        <f>61.67</f>
        <v>61.67</v>
      </c>
      <c r="D885">
        <f>647.29</f>
        <v>647.29</v>
      </c>
    </row>
    <row r="886" spans="1:4" x14ac:dyDescent="0.2">
      <c r="A886" s="1">
        <v>43913</v>
      </c>
      <c r="B886">
        <f>64.4283</f>
        <v>64.428299999999993</v>
      </c>
      <c r="C886">
        <f>61.59</f>
        <v>61.59</v>
      </c>
      <c r="D886">
        <f>578.33</f>
        <v>578.33000000000004</v>
      </c>
    </row>
    <row r="887" spans="1:4" x14ac:dyDescent="0.2">
      <c r="A887" s="1">
        <v>43910</v>
      </c>
      <c r="B887">
        <f>68.2146</f>
        <v>68.214600000000004</v>
      </c>
      <c r="C887">
        <f>66.04</f>
        <v>66.040000000000006</v>
      </c>
      <c r="D887">
        <f>1172.19</f>
        <v>1172.19</v>
      </c>
    </row>
    <row r="888" spans="1:4" x14ac:dyDescent="0.2">
      <c r="A888" s="1">
        <v>43909</v>
      </c>
      <c r="B888">
        <f>78.3461</f>
        <v>78.346100000000007</v>
      </c>
      <c r="C888">
        <f>72</f>
        <v>72</v>
      </c>
      <c r="D888">
        <f>930.8</f>
        <v>930.8</v>
      </c>
    </row>
    <row r="889" spans="1:4" x14ac:dyDescent="0.2">
      <c r="A889" s="1">
        <v>43908</v>
      </c>
      <c r="B889">
        <f>84.7969</f>
        <v>84.796899999999994</v>
      </c>
      <c r="C889">
        <f>76.45</f>
        <v>76.45</v>
      </c>
      <c r="D889">
        <f>642.95</f>
        <v>642.95000000000005</v>
      </c>
    </row>
    <row r="890" spans="1:4" x14ac:dyDescent="0.2">
      <c r="A890" s="1">
        <v>43907</v>
      </c>
      <c r="B890">
        <f>77.2625</f>
        <v>77.262500000000003</v>
      </c>
      <c r="C890">
        <f>75.91</f>
        <v>75.91</v>
      </c>
      <c r="D890">
        <f>567.03</f>
        <v>567.03</v>
      </c>
    </row>
    <row r="891" spans="1:4" x14ac:dyDescent="0.2">
      <c r="A891" s="1">
        <v>43906</v>
      </c>
      <c r="B891">
        <f>85.6206</f>
        <v>85.620599999999996</v>
      </c>
      <c r="C891">
        <f>82.69</f>
        <v>82.69</v>
      </c>
      <c r="D891">
        <f>539.09</f>
        <v>539.09</v>
      </c>
    </row>
    <row r="892" spans="1:4" x14ac:dyDescent="0.2">
      <c r="A892" s="1">
        <v>43903</v>
      </c>
      <c r="B892">
        <f>74.3321</f>
        <v>74.332099999999997</v>
      </c>
      <c r="C892">
        <f>57.83</f>
        <v>57.83</v>
      </c>
      <c r="D892">
        <f>524.1</f>
        <v>524.1</v>
      </c>
    </row>
    <row r="893" spans="1:4" x14ac:dyDescent="0.2">
      <c r="A893" s="1">
        <v>43902</v>
      </c>
      <c r="B893">
        <f>71.5196</f>
        <v>71.519599999999997</v>
      </c>
      <c r="C893">
        <f>75.47</f>
        <v>75.47</v>
      </c>
      <c r="D893">
        <f>557.57</f>
        <v>557.57000000000005</v>
      </c>
    </row>
    <row r="894" spans="1:4" x14ac:dyDescent="0.2">
      <c r="A894" s="1">
        <v>43901</v>
      </c>
      <c r="B894">
        <f>53.7615</f>
        <v>53.761499999999998</v>
      </c>
      <c r="C894">
        <f>53.9</f>
        <v>53.9</v>
      </c>
      <c r="D894">
        <f>420.2</f>
        <v>420.2</v>
      </c>
    </row>
    <row r="895" spans="1:4" x14ac:dyDescent="0.2">
      <c r="A895" s="1">
        <v>43900</v>
      </c>
      <c r="B895">
        <f>53.8031</f>
        <v>53.803100000000001</v>
      </c>
      <c r="C895">
        <f>47.3</f>
        <v>47.3</v>
      </c>
      <c r="D895">
        <f>402.36</f>
        <v>402.36</v>
      </c>
    </row>
    <row r="896" spans="1:4" x14ac:dyDescent="0.2">
      <c r="A896" s="1">
        <v>43899</v>
      </c>
      <c r="B896">
        <f>54.0993</f>
        <v>54.099299999999999</v>
      </c>
      <c r="C896">
        <f>54.46</f>
        <v>54.46</v>
      </c>
      <c r="D896">
        <f>480.89</f>
        <v>480.89</v>
      </c>
    </row>
    <row r="897" spans="1:4" x14ac:dyDescent="0.2">
      <c r="A897" s="1">
        <v>43896</v>
      </c>
      <c r="B897">
        <f>43.0212</f>
        <v>43.0212</v>
      </c>
      <c r="C897">
        <f>41.94</f>
        <v>41.94</v>
      </c>
      <c r="D897">
        <f>434.68</f>
        <v>434.68</v>
      </c>
    </row>
    <row r="898" spans="1:4" x14ac:dyDescent="0.2">
      <c r="A898" s="1">
        <v>43895</v>
      </c>
      <c r="B898">
        <f>33.1404</f>
        <v>33.1404</v>
      </c>
      <c r="C898">
        <f>39.62</f>
        <v>39.619999999999997</v>
      </c>
      <c r="D898">
        <f>410.74</f>
        <v>410.74</v>
      </c>
    </row>
    <row r="899" spans="1:4" x14ac:dyDescent="0.2">
      <c r="A899" s="1">
        <v>43894</v>
      </c>
      <c r="B899">
        <f>29.7565</f>
        <v>29.756499999999999</v>
      </c>
      <c r="C899">
        <f>31.99</f>
        <v>31.99</v>
      </c>
      <c r="D899">
        <f>332.66</f>
        <v>332.66</v>
      </c>
    </row>
    <row r="900" spans="1:4" x14ac:dyDescent="0.2">
      <c r="A900" s="1">
        <v>43893</v>
      </c>
      <c r="B900">
        <f>33.4532</f>
        <v>33.453200000000002</v>
      </c>
      <c r="C900">
        <f>36.82</f>
        <v>36.82</v>
      </c>
      <c r="D900">
        <f>371.59</f>
        <v>371.59</v>
      </c>
    </row>
    <row r="901" spans="1:4" x14ac:dyDescent="0.2">
      <c r="A901" s="1">
        <v>43892</v>
      </c>
      <c r="B901">
        <f>36.1186</f>
        <v>36.118600000000001</v>
      </c>
      <c r="C901">
        <f>33.42</f>
        <v>33.42</v>
      </c>
      <c r="D901">
        <f>375.05</f>
        <v>375.05</v>
      </c>
    </row>
    <row r="902" spans="1:4" x14ac:dyDescent="0.2">
      <c r="A902" s="1">
        <v>43889</v>
      </c>
      <c r="B902">
        <f>42.2369</f>
        <v>42.236899999999999</v>
      </c>
      <c r="C902">
        <f>40.11</f>
        <v>40.11</v>
      </c>
      <c r="D902">
        <f>693.03</f>
        <v>693.03</v>
      </c>
    </row>
    <row r="903" spans="1:4" x14ac:dyDescent="0.2">
      <c r="A903" s="1">
        <v>43888</v>
      </c>
      <c r="B903">
        <f>34.6989</f>
        <v>34.698900000000002</v>
      </c>
      <c r="C903">
        <f>39.16</f>
        <v>39.159999999999997</v>
      </c>
      <c r="D903">
        <f>308.92</f>
        <v>308.92</v>
      </c>
    </row>
    <row r="904" spans="1:4" x14ac:dyDescent="0.2">
      <c r="A904" s="1">
        <v>43887</v>
      </c>
      <c r="B904">
        <f>24.5403</f>
        <v>24.540299999999998</v>
      </c>
      <c r="C904">
        <f>27.56</f>
        <v>27.56</v>
      </c>
      <c r="D904">
        <f>440.37</f>
        <v>440.37</v>
      </c>
    </row>
    <row r="905" spans="1:4" x14ac:dyDescent="0.2">
      <c r="A905" s="1">
        <v>43886</v>
      </c>
      <c r="B905">
        <f>27.4449</f>
        <v>27.444900000000001</v>
      </c>
      <c r="C905">
        <f>27.85</f>
        <v>27.85</v>
      </c>
      <c r="D905">
        <f>351.2</f>
        <v>351.2</v>
      </c>
    </row>
    <row r="906" spans="1:4" x14ac:dyDescent="0.2">
      <c r="A906" s="1">
        <v>43885</v>
      </c>
      <c r="B906">
        <f>22.6584</f>
        <v>22.6584</v>
      </c>
      <c r="C906">
        <f>25.03</f>
        <v>25.03</v>
      </c>
      <c r="D906">
        <f>392.31</f>
        <v>392.31</v>
      </c>
    </row>
    <row r="907" spans="1:4" x14ac:dyDescent="0.2">
      <c r="A907" s="1">
        <v>43882</v>
      </c>
      <c r="B907">
        <f>15.7536</f>
        <v>15.7536</v>
      </c>
      <c r="C907">
        <f>17.08</f>
        <v>17.079999999999998</v>
      </c>
      <c r="D907">
        <f>274.1</f>
        <v>274.10000000000002</v>
      </c>
    </row>
    <row r="908" spans="1:4" x14ac:dyDescent="0.2">
      <c r="A908" s="1">
        <v>43881</v>
      </c>
      <c r="B908">
        <f>14.09</f>
        <v>14.09</v>
      </c>
      <c r="C908">
        <f>15.56</f>
        <v>15.56</v>
      </c>
      <c r="D908">
        <f>280.45</f>
        <v>280.45</v>
      </c>
    </row>
    <row r="909" spans="1:4" x14ac:dyDescent="0.2">
      <c r="A909" s="1">
        <v>43880</v>
      </c>
      <c r="B909">
        <f>12.8829</f>
        <v>12.882899999999999</v>
      </c>
      <c r="C909">
        <f>14.38</f>
        <v>14.38</v>
      </c>
      <c r="D909">
        <f>356.68</f>
        <v>356.68</v>
      </c>
    </row>
    <row r="910" spans="1:4" x14ac:dyDescent="0.2">
      <c r="A910" s="1">
        <v>43879</v>
      </c>
      <c r="B910">
        <f>13.8431</f>
        <v>13.8431</v>
      </c>
      <c r="C910">
        <f>14.83</f>
        <v>14.83</v>
      </c>
      <c r="D910">
        <f>281.76</f>
        <v>281.76</v>
      </c>
    </row>
    <row r="911" spans="1:4" x14ac:dyDescent="0.2">
      <c r="A911" s="1">
        <v>43878</v>
      </c>
      <c r="B911">
        <f>12.9654</f>
        <v>12.965400000000001</v>
      </c>
      <c r="C911" t="e">
        <f>NA()</f>
        <v>#N/A</v>
      </c>
      <c r="D911">
        <f>263.86</f>
        <v>263.86</v>
      </c>
    </row>
    <row r="912" spans="1:4" x14ac:dyDescent="0.2">
      <c r="A912" s="1">
        <v>43875</v>
      </c>
      <c r="B912">
        <f>13.0625</f>
        <v>13.0625</v>
      </c>
      <c r="C912">
        <f>13.68</f>
        <v>13.68</v>
      </c>
      <c r="D912">
        <f>251.19</f>
        <v>251.19</v>
      </c>
    </row>
    <row r="913" spans="1:4" x14ac:dyDescent="0.2">
      <c r="A913" s="1">
        <v>43874</v>
      </c>
      <c r="B913">
        <f>13.2476</f>
        <v>13.2476</v>
      </c>
      <c r="C913">
        <f>14.15</f>
        <v>14.15</v>
      </c>
      <c r="D913">
        <f>294.2</f>
        <v>294.2</v>
      </c>
    </row>
    <row r="914" spans="1:4" x14ac:dyDescent="0.2">
      <c r="A914" s="1">
        <v>43873</v>
      </c>
      <c r="B914">
        <f>12.4526</f>
        <v>12.4526</v>
      </c>
      <c r="C914">
        <f>13.74</f>
        <v>13.74</v>
      </c>
      <c r="D914">
        <f>323.51</f>
        <v>323.51</v>
      </c>
    </row>
    <row r="915" spans="1:4" x14ac:dyDescent="0.2">
      <c r="A915" s="1">
        <v>43872</v>
      </c>
      <c r="B915">
        <f>12.9201</f>
        <v>12.9201</v>
      </c>
      <c r="C915">
        <f>15.18</f>
        <v>15.18</v>
      </c>
      <c r="D915">
        <f>223.07</f>
        <v>223.07</v>
      </c>
    </row>
    <row r="916" spans="1:4" x14ac:dyDescent="0.2">
      <c r="A916" s="1">
        <v>43871</v>
      </c>
      <c r="B916">
        <f>13.7034</f>
        <v>13.7034</v>
      </c>
      <c r="C916">
        <f>15.04</f>
        <v>15.04</v>
      </c>
      <c r="D916">
        <f>295.42</f>
        <v>295.42</v>
      </c>
    </row>
    <row r="917" spans="1:4" x14ac:dyDescent="0.2">
      <c r="A917" s="1">
        <v>43868</v>
      </c>
      <c r="B917">
        <f>13.3241</f>
        <v>13.3241</v>
      </c>
      <c r="C917">
        <f>15.47</f>
        <v>15.47</v>
      </c>
      <c r="D917">
        <f>260.01</f>
        <v>260.01</v>
      </c>
    </row>
    <row r="918" spans="1:4" x14ac:dyDescent="0.2">
      <c r="A918" s="1">
        <v>43867</v>
      </c>
      <c r="B918">
        <f>12.9889</f>
        <v>12.988899999999999</v>
      </c>
      <c r="C918">
        <f>14.96</f>
        <v>14.96</v>
      </c>
      <c r="D918">
        <f>227.68</f>
        <v>227.68</v>
      </c>
    </row>
    <row r="919" spans="1:4" x14ac:dyDescent="0.2">
      <c r="A919" s="1">
        <v>43866</v>
      </c>
      <c r="B919">
        <f>13.6052</f>
        <v>13.6052</v>
      </c>
      <c r="C919">
        <f>15.15</f>
        <v>15.15</v>
      </c>
      <c r="D919">
        <f>233.61</f>
        <v>233.61</v>
      </c>
    </row>
    <row r="920" spans="1:4" x14ac:dyDescent="0.2">
      <c r="A920" s="1">
        <v>43865</v>
      </c>
      <c r="B920">
        <f>14.4971</f>
        <v>14.4971</v>
      </c>
      <c r="C920">
        <f>16.05</f>
        <v>16.05</v>
      </c>
      <c r="D920">
        <f>258.62</f>
        <v>258.62</v>
      </c>
    </row>
    <row r="921" spans="1:4" x14ac:dyDescent="0.2">
      <c r="A921" s="1">
        <v>43864</v>
      </c>
      <c r="B921">
        <f>16.2837</f>
        <v>16.2837</v>
      </c>
      <c r="C921">
        <f>17.97</f>
        <v>17.97</v>
      </c>
      <c r="D921">
        <f>196.47</f>
        <v>196.47</v>
      </c>
    </row>
    <row r="922" spans="1:4" x14ac:dyDescent="0.2">
      <c r="A922" s="1">
        <v>43861</v>
      </c>
      <c r="B922">
        <f>17.1542</f>
        <v>17.154199999999999</v>
      </c>
      <c r="C922">
        <f>18.84</f>
        <v>18.84</v>
      </c>
      <c r="D922">
        <f>273.28</f>
        <v>273.27999999999997</v>
      </c>
    </row>
    <row r="923" spans="1:4" x14ac:dyDescent="0.2">
      <c r="A923" s="1">
        <v>43860</v>
      </c>
      <c r="B923">
        <f>16.4174</f>
        <v>16.417400000000001</v>
      </c>
      <c r="C923">
        <f>15.49</f>
        <v>15.49</v>
      </c>
      <c r="D923">
        <f>210.76</f>
        <v>210.76</v>
      </c>
    </row>
    <row r="924" spans="1:4" x14ac:dyDescent="0.2">
      <c r="A924" s="1">
        <v>43859</v>
      </c>
      <c r="B924">
        <f>14.4199</f>
        <v>14.4199</v>
      </c>
      <c r="C924">
        <f>16.39</f>
        <v>16.39</v>
      </c>
      <c r="D924">
        <f>259.56</f>
        <v>259.56</v>
      </c>
    </row>
    <row r="925" spans="1:4" x14ac:dyDescent="0.2">
      <c r="A925" s="1">
        <v>43858</v>
      </c>
      <c r="B925">
        <f>15.1979</f>
        <v>15.197900000000001</v>
      </c>
      <c r="C925">
        <f>16.28</f>
        <v>16.28</v>
      </c>
      <c r="D925">
        <f>226.84</f>
        <v>226.84</v>
      </c>
    </row>
    <row r="926" spans="1:4" x14ac:dyDescent="0.2">
      <c r="A926" s="1">
        <v>43857</v>
      </c>
      <c r="B926">
        <f>17.1711</f>
        <v>17.171099999999999</v>
      </c>
      <c r="C926">
        <f>18.23</f>
        <v>18.23</v>
      </c>
      <c r="D926">
        <f>201.39</f>
        <v>201.39</v>
      </c>
    </row>
    <row r="927" spans="1:4" x14ac:dyDescent="0.2">
      <c r="A927" s="1">
        <v>43854</v>
      </c>
      <c r="B927">
        <f>12.6665</f>
        <v>12.666499999999999</v>
      </c>
      <c r="C927">
        <f>14.56</f>
        <v>14.56</v>
      </c>
      <c r="D927">
        <f>185.36</f>
        <v>185.36</v>
      </c>
    </row>
    <row r="928" spans="1:4" x14ac:dyDescent="0.2">
      <c r="A928" s="1">
        <v>43853</v>
      </c>
      <c r="B928">
        <f>13.164</f>
        <v>13.164</v>
      </c>
      <c r="C928">
        <f>12.98</f>
        <v>12.98</v>
      </c>
      <c r="D928">
        <f>175.44</f>
        <v>175.44</v>
      </c>
    </row>
    <row r="929" spans="1:4" x14ac:dyDescent="0.2">
      <c r="A929" s="1">
        <v>43852</v>
      </c>
      <c r="B929">
        <f>12.2389</f>
        <v>12.238899999999999</v>
      </c>
      <c r="C929">
        <f>12.91</f>
        <v>12.91</v>
      </c>
      <c r="D929">
        <f>238.26</f>
        <v>238.26</v>
      </c>
    </row>
    <row r="930" spans="1:4" x14ac:dyDescent="0.2">
      <c r="A930" s="1">
        <v>43851</v>
      </c>
      <c r="B930">
        <f>11.8141</f>
        <v>11.8141</v>
      </c>
      <c r="C930">
        <f>12.85</f>
        <v>12.85</v>
      </c>
      <c r="D930">
        <f>228.35</f>
        <v>228.35</v>
      </c>
    </row>
    <row r="931" spans="1:4" x14ac:dyDescent="0.2">
      <c r="A931" s="1">
        <v>43850</v>
      </c>
      <c r="B931">
        <f>11.2522</f>
        <v>11.2522</v>
      </c>
      <c r="C931" t="e">
        <f>NA()</f>
        <v>#N/A</v>
      </c>
      <c r="D931">
        <f>181.14</f>
        <v>181.14</v>
      </c>
    </row>
    <row r="932" spans="1:4" x14ac:dyDescent="0.2">
      <c r="A932" s="1">
        <v>43847</v>
      </c>
      <c r="B932">
        <f>10.6899</f>
        <v>10.6899</v>
      </c>
      <c r="C932">
        <f>12.1</f>
        <v>12.1</v>
      </c>
      <c r="D932">
        <f>238.2</f>
        <v>238.2</v>
      </c>
    </row>
    <row r="933" spans="1:4" x14ac:dyDescent="0.2">
      <c r="A933" s="1">
        <v>43846</v>
      </c>
      <c r="B933">
        <f>11.0223</f>
        <v>11.0223</v>
      </c>
      <c r="C933">
        <f>12.32</f>
        <v>12.32</v>
      </c>
      <c r="D933">
        <f>252.75</f>
        <v>252.75</v>
      </c>
    </row>
    <row r="934" spans="1:4" x14ac:dyDescent="0.2">
      <c r="A934" s="1">
        <v>43845</v>
      </c>
      <c r="B934">
        <f>12.0408</f>
        <v>12.040800000000001</v>
      </c>
      <c r="C934">
        <f>12.42</f>
        <v>12.42</v>
      </c>
      <c r="D934">
        <f>189.91</f>
        <v>189.91</v>
      </c>
    </row>
    <row r="935" spans="1:4" x14ac:dyDescent="0.2">
      <c r="A935" s="1">
        <v>43844</v>
      </c>
      <c r="B935">
        <f>12.4099</f>
        <v>12.4099</v>
      </c>
      <c r="C935">
        <f>12.39</f>
        <v>12.39</v>
      </c>
      <c r="D935">
        <f>246.56</f>
        <v>246.56</v>
      </c>
    </row>
    <row r="936" spans="1:4" x14ac:dyDescent="0.2">
      <c r="A936" s="1">
        <v>43843</v>
      </c>
      <c r="B936">
        <f>12.7138</f>
        <v>12.713800000000001</v>
      </c>
      <c r="C936">
        <f>12.32</f>
        <v>12.32</v>
      </c>
      <c r="D936">
        <f>173.71</f>
        <v>173.71</v>
      </c>
    </row>
    <row r="937" spans="1:4" x14ac:dyDescent="0.2">
      <c r="A937" s="1">
        <v>43840</v>
      </c>
      <c r="B937">
        <f>12.3886</f>
        <v>12.3886</v>
      </c>
      <c r="C937">
        <f>12.56</f>
        <v>12.56</v>
      </c>
      <c r="D937">
        <f>142.03</f>
        <v>142.03</v>
      </c>
    </row>
    <row r="938" spans="1:4" x14ac:dyDescent="0.2">
      <c r="A938" s="1">
        <v>43839</v>
      </c>
      <c r="B938">
        <f>13.0363</f>
        <v>13.036300000000001</v>
      </c>
      <c r="C938">
        <f>12.54</f>
        <v>12.54</v>
      </c>
      <c r="D938">
        <f>167.18</f>
        <v>167.18</v>
      </c>
    </row>
    <row r="939" spans="1:4" x14ac:dyDescent="0.2">
      <c r="A939" s="1">
        <v>43838</v>
      </c>
      <c r="B939">
        <f>14.0401</f>
        <v>14.040100000000001</v>
      </c>
      <c r="C939">
        <f>13.45</f>
        <v>13.45</v>
      </c>
      <c r="D939">
        <f>177.23</f>
        <v>177.23</v>
      </c>
    </row>
    <row r="940" spans="1:4" x14ac:dyDescent="0.2">
      <c r="A940" s="1">
        <v>43837</v>
      </c>
      <c r="B940">
        <f>14.2117</f>
        <v>14.2117</v>
      </c>
      <c r="C940">
        <f>13.79</f>
        <v>13.79</v>
      </c>
      <c r="D940">
        <f>160.99</f>
        <v>160.99</v>
      </c>
    </row>
    <row r="941" spans="1:4" x14ac:dyDescent="0.2">
      <c r="A941" s="1">
        <v>43836</v>
      </c>
      <c r="B941">
        <f>15.1404</f>
        <v>15.1404</v>
      </c>
      <c r="C941">
        <f>13.85</f>
        <v>13.85</v>
      </c>
      <c r="D941">
        <f>146.34</f>
        <v>146.34</v>
      </c>
    </row>
    <row r="942" spans="1:4" x14ac:dyDescent="0.2">
      <c r="A942" s="1">
        <v>43833</v>
      </c>
      <c r="B942">
        <f>13.9588</f>
        <v>13.9588</v>
      </c>
      <c r="C942">
        <f>14.02</f>
        <v>14.02</v>
      </c>
      <c r="D942">
        <f>154.38</f>
        <v>154.38</v>
      </c>
    </row>
    <row r="943" spans="1:4" x14ac:dyDescent="0.2">
      <c r="A943" s="1">
        <v>43832</v>
      </c>
      <c r="B943">
        <f>12.6736</f>
        <v>12.6736</v>
      </c>
      <c r="C943">
        <f>12.47</f>
        <v>12.47</v>
      </c>
      <c r="D943">
        <f>91.42</f>
        <v>91.42</v>
      </c>
    </row>
    <row r="944" spans="1:4" x14ac:dyDescent="0.2">
      <c r="A944" s="1">
        <v>43830</v>
      </c>
      <c r="B944" t="e">
        <f>NA()</f>
        <v>#N/A</v>
      </c>
      <c r="C944">
        <f>13.78</f>
        <v>13.78</v>
      </c>
      <c r="D944">
        <f>51.81</f>
        <v>51.81</v>
      </c>
    </row>
    <row r="945" spans="1:4" x14ac:dyDescent="0.2">
      <c r="A945" s="1">
        <v>43829</v>
      </c>
      <c r="B945">
        <f>13.9548</f>
        <v>13.954800000000001</v>
      </c>
      <c r="C945">
        <f>14.82</f>
        <v>14.82</v>
      </c>
      <c r="D945">
        <f>103.19</f>
        <v>103.19</v>
      </c>
    </row>
    <row r="946" spans="1:4" x14ac:dyDescent="0.2">
      <c r="A946" s="1">
        <v>43826</v>
      </c>
      <c r="B946">
        <f>12.0913</f>
        <v>12.0913</v>
      </c>
      <c r="C946">
        <f>13.43</f>
        <v>13.43</v>
      </c>
      <c r="D946">
        <f>136.88</f>
        <v>136.88</v>
      </c>
    </row>
    <row r="947" spans="1:4" x14ac:dyDescent="0.2">
      <c r="A947" s="1">
        <v>43825</v>
      </c>
      <c r="B947" t="e">
        <f>NA()</f>
        <v>#N/A</v>
      </c>
      <c r="C947">
        <f>12.65</f>
        <v>12.65</v>
      </c>
      <c r="D947" t="e">
        <f>NA()</f>
        <v>#N/A</v>
      </c>
    </row>
    <row r="948" spans="1:4" x14ac:dyDescent="0.2">
      <c r="A948" s="1">
        <v>43823</v>
      </c>
      <c r="B948" t="e">
        <f>NA()</f>
        <v>#N/A</v>
      </c>
      <c r="C948">
        <f>12.67</f>
        <v>12.67</v>
      </c>
      <c r="D948">
        <f>54.97</f>
        <v>54.97</v>
      </c>
    </row>
    <row r="949" spans="1:4" x14ac:dyDescent="0.2">
      <c r="A949" s="1">
        <v>43822</v>
      </c>
      <c r="B949">
        <f>11.6482</f>
        <v>11.648199999999999</v>
      </c>
      <c r="C949">
        <f>12.61</f>
        <v>12.61</v>
      </c>
      <c r="D949">
        <f>135.57</f>
        <v>135.57</v>
      </c>
    </row>
    <row r="950" spans="1:4" x14ac:dyDescent="0.2">
      <c r="A950" s="1">
        <v>43819</v>
      </c>
      <c r="B950">
        <f>11.0774</f>
        <v>11.077400000000001</v>
      </c>
      <c r="C950">
        <f>12.51</f>
        <v>12.51</v>
      </c>
      <c r="D950">
        <f>417.97</f>
        <v>417.97</v>
      </c>
    </row>
    <row r="951" spans="1:4" x14ac:dyDescent="0.2">
      <c r="A951" s="1">
        <v>43818</v>
      </c>
      <c r="B951">
        <f>12.1761</f>
        <v>12.1761</v>
      </c>
      <c r="C951">
        <f>12.5</f>
        <v>12.5</v>
      </c>
      <c r="D951">
        <f>474.8</f>
        <v>474.8</v>
      </c>
    </row>
    <row r="952" spans="1:4" x14ac:dyDescent="0.2">
      <c r="A952" s="1">
        <v>43817</v>
      </c>
      <c r="B952">
        <f>11.8244</f>
        <v>11.824400000000001</v>
      </c>
      <c r="C952">
        <f>12.58</f>
        <v>12.58</v>
      </c>
      <c r="D952">
        <f>272.49</f>
        <v>272.49</v>
      </c>
    </row>
    <row r="953" spans="1:4" x14ac:dyDescent="0.2">
      <c r="A953" s="1">
        <v>43816</v>
      </c>
      <c r="B953">
        <f>12.1489</f>
        <v>12.148899999999999</v>
      </c>
      <c r="C953">
        <f>12.29</f>
        <v>12.29</v>
      </c>
      <c r="D953">
        <f>312.51</f>
        <v>312.51</v>
      </c>
    </row>
    <row r="954" spans="1:4" x14ac:dyDescent="0.2">
      <c r="A954" s="1">
        <v>43815</v>
      </c>
      <c r="B954">
        <f>11.644</f>
        <v>11.644</v>
      </c>
      <c r="C954">
        <f>12.14</f>
        <v>12.14</v>
      </c>
      <c r="D954" t="e">
        <f>NA()</f>
        <v>#N/A</v>
      </c>
    </row>
    <row r="955" spans="1:4" x14ac:dyDescent="0.2">
      <c r="A955" s="1">
        <v>43812</v>
      </c>
      <c r="B955">
        <f>13.1174</f>
        <v>13.1174</v>
      </c>
      <c r="C955">
        <f>12.63</f>
        <v>12.63</v>
      </c>
      <c r="D955">
        <f>302.56</f>
        <v>302.56</v>
      </c>
    </row>
    <row r="956" spans="1:4" x14ac:dyDescent="0.2">
      <c r="A956" s="1">
        <v>43811</v>
      </c>
      <c r="B956">
        <f>14.6631</f>
        <v>14.6631</v>
      </c>
      <c r="C956">
        <f>13.94</f>
        <v>13.94</v>
      </c>
      <c r="D956">
        <f>262.17</f>
        <v>262.17</v>
      </c>
    </row>
    <row r="957" spans="1:4" x14ac:dyDescent="0.2">
      <c r="A957" s="1">
        <v>43810</v>
      </c>
      <c r="B957">
        <f>15.2345</f>
        <v>15.234500000000001</v>
      </c>
      <c r="C957">
        <f>14.99</f>
        <v>14.99</v>
      </c>
      <c r="D957">
        <f>253.92</f>
        <v>253.92</v>
      </c>
    </row>
    <row r="958" spans="1:4" x14ac:dyDescent="0.2">
      <c r="A958" s="1">
        <v>43809</v>
      </c>
      <c r="B958">
        <f>15.022</f>
        <v>15.022</v>
      </c>
      <c r="C958">
        <f>15.68</f>
        <v>15.68</v>
      </c>
      <c r="D958">
        <f>250.63</f>
        <v>250.63</v>
      </c>
    </row>
    <row r="959" spans="1:4" x14ac:dyDescent="0.2">
      <c r="A959" s="1">
        <v>43808</v>
      </c>
      <c r="B959">
        <f>14.9246</f>
        <v>14.9246</v>
      </c>
      <c r="C959">
        <f>15.86</f>
        <v>15.86</v>
      </c>
      <c r="D959">
        <f>172.48</f>
        <v>172.48</v>
      </c>
    </row>
    <row r="960" spans="1:4" x14ac:dyDescent="0.2">
      <c r="A960" s="1">
        <v>43805</v>
      </c>
      <c r="B960">
        <f>14.1327</f>
        <v>14.1327</v>
      </c>
      <c r="C960">
        <f>13.62</f>
        <v>13.62</v>
      </c>
      <c r="D960">
        <f>269.61</f>
        <v>269.61</v>
      </c>
    </row>
    <row r="961" spans="1:4" x14ac:dyDescent="0.2">
      <c r="A961" s="1">
        <v>43804</v>
      </c>
      <c r="B961">
        <f>15.3707</f>
        <v>15.370699999999999</v>
      </c>
      <c r="C961">
        <f>14.52</f>
        <v>14.52</v>
      </c>
      <c r="D961">
        <f>281.43</f>
        <v>281.43</v>
      </c>
    </row>
    <row r="962" spans="1:4" x14ac:dyDescent="0.2">
      <c r="A962" s="1">
        <v>43803</v>
      </c>
      <c r="B962">
        <f>15.2237</f>
        <v>15.223699999999999</v>
      </c>
      <c r="C962">
        <f>14.8</f>
        <v>14.8</v>
      </c>
      <c r="D962">
        <f>270.55</f>
        <v>270.55</v>
      </c>
    </row>
    <row r="963" spans="1:4" x14ac:dyDescent="0.2">
      <c r="A963" s="1">
        <v>43802</v>
      </c>
      <c r="B963">
        <f>16.9096</f>
        <v>16.909600000000001</v>
      </c>
      <c r="C963">
        <f>15.96</f>
        <v>15.96</v>
      </c>
      <c r="D963">
        <f>343.93</f>
        <v>343.93</v>
      </c>
    </row>
    <row r="964" spans="1:4" x14ac:dyDescent="0.2">
      <c r="A964" s="1">
        <v>43801</v>
      </c>
      <c r="B964">
        <f>15.8889</f>
        <v>15.8889</v>
      </c>
      <c r="C964">
        <f>14.91</f>
        <v>14.91</v>
      </c>
      <c r="D964">
        <f>308.82</f>
        <v>308.82</v>
      </c>
    </row>
    <row r="965" spans="1:4" x14ac:dyDescent="0.2">
      <c r="A965" s="1">
        <v>43798</v>
      </c>
      <c r="B965">
        <f>13.174</f>
        <v>13.173999999999999</v>
      </c>
      <c r="C965">
        <f>12.62</f>
        <v>12.62</v>
      </c>
      <c r="D965">
        <f>254.18</f>
        <v>254.18</v>
      </c>
    </row>
    <row r="966" spans="1:4" x14ac:dyDescent="0.2">
      <c r="A966" s="1">
        <v>43797</v>
      </c>
      <c r="B966">
        <f>12.7959</f>
        <v>12.7959</v>
      </c>
      <c r="C966" t="e">
        <f>NA()</f>
        <v>#N/A</v>
      </c>
      <c r="D966">
        <f>207.62</f>
        <v>207.62</v>
      </c>
    </row>
    <row r="967" spans="1:4" x14ac:dyDescent="0.2">
      <c r="A967" s="1">
        <v>43796</v>
      </c>
      <c r="B967">
        <f>12.2032</f>
        <v>12.203200000000001</v>
      </c>
      <c r="C967">
        <f>11.75</f>
        <v>11.75</v>
      </c>
      <c r="D967">
        <f>250.62</f>
        <v>250.62</v>
      </c>
    </row>
    <row r="968" spans="1:4" x14ac:dyDescent="0.2">
      <c r="A968" s="1">
        <v>43795</v>
      </c>
      <c r="B968">
        <f>12.0954</f>
        <v>12.0954</v>
      </c>
      <c r="C968">
        <f>11.54</f>
        <v>11.54</v>
      </c>
      <c r="D968">
        <f>1128.04</f>
        <v>1128.04</v>
      </c>
    </row>
    <row r="969" spans="1:4" x14ac:dyDescent="0.2">
      <c r="A969" s="1">
        <v>43794</v>
      </c>
      <c r="B969">
        <f>12.3837</f>
        <v>12.383699999999999</v>
      </c>
      <c r="C969">
        <f>11.87</f>
        <v>11.87</v>
      </c>
      <c r="D969">
        <f>256.86</f>
        <v>256.86</v>
      </c>
    </row>
    <row r="970" spans="1:4" x14ac:dyDescent="0.2">
      <c r="A970" s="1">
        <v>43791</v>
      </c>
      <c r="B970">
        <f>13.0888</f>
        <v>13.088800000000001</v>
      </c>
      <c r="C970">
        <f>12.34</f>
        <v>12.34</v>
      </c>
      <c r="D970">
        <f>257.17</f>
        <v>257.17</v>
      </c>
    </row>
    <row r="971" spans="1:4" x14ac:dyDescent="0.2">
      <c r="A971" s="1">
        <v>43790</v>
      </c>
      <c r="B971">
        <f>13.1317</f>
        <v>13.1317</v>
      </c>
      <c r="C971">
        <f>13.13</f>
        <v>13.13</v>
      </c>
      <c r="D971">
        <f>283.94</f>
        <v>283.94</v>
      </c>
    </row>
    <row r="972" spans="1:4" x14ac:dyDescent="0.2">
      <c r="A972" s="1">
        <v>43789</v>
      </c>
      <c r="B972">
        <f>12.7274</f>
        <v>12.727399999999999</v>
      </c>
      <c r="C972">
        <f>12.78</f>
        <v>12.78</v>
      </c>
      <c r="D972">
        <f>255.4</f>
        <v>255.4</v>
      </c>
    </row>
    <row r="973" spans="1:4" x14ac:dyDescent="0.2">
      <c r="A973" s="1">
        <v>43788</v>
      </c>
      <c r="B973">
        <f>12.3699</f>
        <v>12.369899999999999</v>
      </c>
      <c r="C973">
        <f>12.86</f>
        <v>12.86</v>
      </c>
      <c r="D973">
        <f>262.55</f>
        <v>262.55</v>
      </c>
    </row>
    <row r="974" spans="1:4" x14ac:dyDescent="0.2">
      <c r="A974" s="1">
        <v>43787</v>
      </c>
      <c r="B974">
        <f>12.0372</f>
        <v>12.0372</v>
      </c>
      <c r="C974">
        <f>12.46</f>
        <v>12.46</v>
      </c>
      <c r="D974">
        <f>183.36</f>
        <v>183.36</v>
      </c>
    </row>
    <row r="975" spans="1:4" x14ac:dyDescent="0.2">
      <c r="A975" s="1">
        <v>43784</v>
      </c>
      <c r="B975">
        <f>11.537</f>
        <v>11.537000000000001</v>
      </c>
      <c r="C975">
        <f>12.05</f>
        <v>12.05</v>
      </c>
      <c r="D975">
        <f>237.26</f>
        <v>237.26</v>
      </c>
    </row>
    <row r="976" spans="1:4" x14ac:dyDescent="0.2">
      <c r="A976" s="1">
        <v>43783</v>
      </c>
      <c r="B976">
        <f>12.4735</f>
        <v>12.4735</v>
      </c>
      <c r="C976">
        <f>13.05</f>
        <v>13.05</v>
      </c>
      <c r="D976">
        <f>242.74</f>
        <v>242.74</v>
      </c>
    </row>
    <row r="977" spans="1:4" x14ac:dyDescent="0.2">
      <c r="A977" s="1">
        <v>43782</v>
      </c>
      <c r="B977">
        <f>12.7955</f>
        <v>12.795500000000001</v>
      </c>
      <c r="C977">
        <f>13</f>
        <v>13</v>
      </c>
      <c r="D977">
        <f>260.25</f>
        <v>260.25</v>
      </c>
    </row>
    <row r="978" spans="1:4" x14ac:dyDescent="0.2">
      <c r="A978" s="1">
        <v>43781</v>
      </c>
      <c r="B978">
        <f>12.6338</f>
        <v>12.633800000000001</v>
      </c>
      <c r="C978">
        <f>12.68</f>
        <v>12.68</v>
      </c>
      <c r="D978">
        <f>272.42</f>
        <v>272.42</v>
      </c>
    </row>
    <row r="979" spans="1:4" x14ac:dyDescent="0.2">
      <c r="A979" s="1">
        <v>43780</v>
      </c>
      <c r="B979">
        <f>13.0887</f>
        <v>13.088699999999999</v>
      </c>
      <c r="C979">
        <f>12.69</f>
        <v>12.69</v>
      </c>
      <c r="D979">
        <f>241.89</f>
        <v>241.89</v>
      </c>
    </row>
    <row r="980" spans="1:4" x14ac:dyDescent="0.2">
      <c r="A980" s="1">
        <v>43777</v>
      </c>
      <c r="B980">
        <f>12.8514</f>
        <v>12.8514</v>
      </c>
      <c r="C980">
        <f>12.07</f>
        <v>12.07</v>
      </c>
      <c r="D980">
        <f>293.06</f>
        <v>293.06</v>
      </c>
    </row>
    <row r="981" spans="1:4" x14ac:dyDescent="0.2">
      <c r="A981" s="1">
        <v>43776</v>
      </c>
      <c r="B981">
        <f>12.7542</f>
        <v>12.754200000000001</v>
      </c>
      <c r="C981">
        <f>12.73</f>
        <v>12.73</v>
      </c>
      <c r="D981">
        <f>242.76</f>
        <v>242.76</v>
      </c>
    </row>
    <row r="982" spans="1:4" x14ac:dyDescent="0.2">
      <c r="A982" s="1">
        <v>43775</v>
      </c>
      <c r="B982">
        <f>12.9335</f>
        <v>12.9335</v>
      </c>
      <c r="C982">
        <f>12.62</f>
        <v>12.62</v>
      </c>
      <c r="D982">
        <f>283.81</f>
        <v>283.81</v>
      </c>
    </row>
    <row r="983" spans="1:4" x14ac:dyDescent="0.2">
      <c r="A983" s="1">
        <v>43774</v>
      </c>
      <c r="B983">
        <f>12.9226</f>
        <v>12.922599999999999</v>
      </c>
      <c r="C983">
        <f>13.1</f>
        <v>13.1</v>
      </c>
      <c r="D983">
        <f>287.77</f>
        <v>287.77</v>
      </c>
    </row>
    <row r="984" spans="1:4" x14ac:dyDescent="0.2">
      <c r="A984" s="1">
        <v>43773</v>
      </c>
      <c r="B984">
        <f>12.9047</f>
        <v>12.9047</v>
      </c>
      <c r="C984">
        <f>12.83</f>
        <v>12.83</v>
      </c>
      <c r="D984">
        <f>212.57</f>
        <v>212.57</v>
      </c>
    </row>
    <row r="985" spans="1:4" x14ac:dyDescent="0.2">
      <c r="A985" s="1">
        <v>43770</v>
      </c>
      <c r="B985">
        <f>12.8444</f>
        <v>12.8444</v>
      </c>
      <c r="C985">
        <f>12.3</f>
        <v>12.3</v>
      </c>
      <c r="D985">
        <f>205.5</f>
        <v>205.5</v>
      </c>
    </row>
    <row r="986" spans="1:4" x14ac:dyDescent="0.2">
      <c r="A986" s="1">
        <v>43769</v>
      </c>
      <c r="B986">
        <f>13.7919</f>
        <v>13.7919</v>
      </c>
      <c r="C986">
        <f>13.22</f>
        <v>13.22</v>
      </c>
      <c r="D986">
        <f>384.82</f>
        <v>384.82</v>
      </c>
    </row>
    <row r="987" spans="1:4" x14ac:dyDescent="0.2">
      <c r="A987" s="1">
        <v>43768</v>
      </c>
      <c r="B987">
        <f>13.7963</f>
        <v>13.7963</v>
      </c>
      <c r="C987">
        <f>12.33</f>
        <v>12.33</v>
      </c>
      <c r="D987">
        <f>315.4</f>
        <v>315.39999999999998</v>
      </c>
    </row>
    <row r="988" spans="1:4" x14ac:dyDescent="0.2">
      <c r="A988" s="1">
        <v>43767</v>
      </c>
      <c r="B988">
        <f>13.7262</f>
        <v>13.7262</v>
      </c>
      <c r="C988">
        <f>13.2</f>
        <v>13.2</v>
      </c>
      <c r="D988">
        <f>231.84</f>
        <v>231.84</v>
      </c>
    </row>
    <row r="989" spans="1:4" x14ac:dyDescent="0.2">
      <c r="A989" s="1">
        <v>43766</v>
      </c>
      <c r="B989">
        <f>13.2006</f>
        <v>13.2006</v>
      </c>
      <c r="C989">
        <f>13.11</f>
        <v>13.11</v>
      </c>
      <c r="D989">
        <f>207.5</f>
        <v>207.5</v>
      </c>
    </row>
    <row r="990" spans="1:4" x14ac:dyDescent="0.2">
      <c r="A990" s="1">
        <v>43763</v>
      </c>
      <c r="B990">
        <f>12.8208</f>
        <v>12.8208</v>
      </c>
      <c r="C990">
        <f>12.65</f>
        <v>12.65</v>
      </c>
      <c r="D990">
        <f>217.78</f>
        <v>217.78</v>
      </c>
    </row>
    <row r="991" spans="1:4" x14ac:dyDescent="0.2">
      <c r="A991" s="1">
        <v>43762</v>
      </c>
      <c r="B991">
        <f>13.0918</f>
        <v>13.091799999999999</v>
      </c>
      <c r="C991">
        <f>13.71</f>
        <v>13.71</v>
      </c>
      <c r="D991">
        <f>243.03</f>
        <v>243.03</v>
      </c>
    </row>
    <row r="992" spans="1:4" x14ac:dyDescent="0.2">
      <c r="A992" s="1">
        <v>43761</v>
      </c>
      <c r="B992">
        <f>13.4557</f>
        <v>13.4557</v>
      </c>
      <c r="C992">
        <f>14.01</f>
        <v>14.01</v>
      </c>
      <c r="D992">
        <f>229.32</f>
        <v>229.32</v>
      </c>
    </row>
    <row r="993" spans="1:4" x14ac:dyDescent="0.2">
      <c r="A993" s="1">
        <v>43760</v>
      </c>
      <c r="B993">
        <f>14.1743</f>
        <v>14.174300000000001</v>
      </c>
      <c r="C993">
        <f>14.46</f>
        <v>14.46</v>
      </c>
      <c r="D993">
        <f>291.88</f>
        <v>291.88</v>
      </c>
    </row>
    <row r="994" spans="1:4" x14ac:dyDescent="0.2">
      <c r="A994" s="1">
        <v>43759</v>
      </c>
      <c r="B994">
        <f>14.7438</f>
        <v>14.7438</v>
      </c>
      <c r="C994">
        <f>14</f>
        <v>14</v>
      </c>
      <c r="D994">
        <f>199.97</f>
        <v>199.97</v>
      </c>
    </row>
    <row r="995" spans="1:4" x14ac:dyDescent="0.2">
      <c r="A995" s="1">
        <v>43756</v>
      </c>
      <c r="B995">
        <f>15.3746</f>
        <v>15.374599999999999</v>
      </c>
      <c r="C995">
        <f>14.25</f>
        <v>14.25</v>
      </c>
      <c r="D995">
        <f>406.53</f>
        <v>406.53</v>
      </c>
    </row>
    <row r="996" spans="1:4" x14ac:dyDescent="0.2">
      <c r="A996" s="1">
        <v>43755</v>
      </c>
      <c r="B996">
        <f>14.9276</f>
        <v>14.9276</v>
      </c>
      <c r="C996">
        <f>13.79</f>
        <v>13.79</v>
      </c>
      <c r="D996">
        <f>303.3</f>
        <v>303.3</v>
      </c>
    </row>
    <row r="997" spans="1:4" x14ac:dyDescent="0.2">
      <c r="A997" s="1">
        <v>43754</v>
      </c>
      <c r="B997">
        <f>14.76</f>
        <v>14.76</v>
      </c>
      <c r="C997">
        <f>13.68</f>
        <v>13.68</v>
      </c>
      <c r="D997">
        <f>297.99</f>
        <v>297.99</v>
      </c>
    </row>
    <row r="998" spans="1:4" x14ac:dyDescent="0.2">
      <c r="A998" s="1">
        <v>43753</v>
      </c>
      <c r="B998">
        <f>14.4716</f>
        <v>14.4716</v>
      </c>
      <c r="C998">
        <f>13.54</f>
        <v>13.54</v>
      </c>
      <c r="D998">
        <f>195.13</f>
        <v>195.13</v>
      </c>
    </row>
    <row r="999" spans="1:4" x14ac:dyDescent="0.2">
      <c r="A999" s="1">
        <v>43752</v>
      </c>
      <c r="B999">
        <f>15.9171</f>
        <v>15.9171</v>
      </c>
      <c r="C999">
        <f>14.57</f>
        <v>14.57</v>
      </c>
      <c r="D999">
        <f>174.99</f>
        <v>174.99</v>
      </c>
    </row>
    <row r="1000" spans="1:4" x14ac:dyDescent="0.2">
      <c r="A1000" s="1">
        <v>43749</v>
      </c>
      <c r="B1000">
        <f>15.8911</f>
        <v>15.8911</v>
      </c>
      <c r="C1000">
        <f>15.58</f>
        <v>15.58</v>
      </c>
      <c r="D1000">
        <f>294.32</f>
        <v>294.32</v>
      </c>
    </row>
    <row r="1001" spans="1:4" x14ac:dyDescent="0.2">
      <c r="A1001" s="1">
        <v>43748</v>
      </c>
      <c r="B1001">
        <f>17.418</f>
        <v>17.417999999999999</v>
      </c>
      <c r="C1001">
        <f>17.57</f>
        <v>17.57</v>
      </c>
      <c r="D1001">
        <f>258.45</f>
        <v>258.45</v>
      </c>
    </row>
    <row r="1002" spans="1:4" x14ac:dyDescent="0.2">
      <c r="A1002" s="1">
        <v>43747</v>
      </c>
      <c r="B1002">
        <f>18.3918</f>
        <v>18.3918</v>
      </c>
      <c r="C1002">
        <f>18.64</f>
        <v>18.64</v>
      </c>
      <c r="D1002">
        <f>213.58</f>
        <v>213.58</v>
      </c>
    </row>
    <row r="1003" spans="1:4" x14ac:dyDescent="0.2">
      <c r="A1003" s="1">
        <v>43746</v>
      </c>
      <c r="B1003">
        <f>19.2294</f>
        <v>19.229399999999998</v>
      </c>
      <c r="C1003">
        <f>20.28</f>
        <v>20.28</v>
      </c>
      <c r="D1003">
        <f>241.72</f>
        <v>241.72</v>
      </c>
    </row>
    <row r="1004" spans="1:4" x14ac:dyDescent="0.2">
      <c r="A1004" s="1">
        <v>43745</v>
      </c>
      <c r="B1004">
        <f>17.856</f>
        <v>17.856000000000002</v>
      </c>
      <c r="C1004">
        <f>17.86</f>
        <v>17.86</v>
      </c>
      <c r="D1004">
        <f>216.6</f>
        <v>216.6</v>
      </c>
    </row>
    <row r="1005" spans="1:4" x14ac:dyDescent="0.2">
      <c r="A1005" s="1">
        <v>43742</v>
      </c>
      <c r="B1005">
        <f>18.5245</f>
        <v>18.5245</v>
      </c>
      <c r="C1005">
        <f>17.04</f>
        <v>17.04</v>
      </c>
      <c r="D1005">
        <f>311.51</f>
        <v>311.51</v>
      </c>
    </row>
    <row r="1006" spans="1:4" x14ac:dyDescent="0.2">
      <c r="A1006" s="1">
        <v>43741</v>
      </c>
      <c r="B1006">
        <f>20.5011</f>
        <v>20.501100000000001</v>
      </c>
      <c r="C1006">
        <f>19.12</f>
        <v>19.12</v>
      </c>
      <c r="D1006">
        <f>255.81</f>
        <v>255.81</v>
      </c>
    </row>
    <row r="1007" spans="1:4" x14ac:dyDescent="0.2">
      <c r="A1007" s="1">
        <v>43740</v>
      </c>
      <c r="B1007">
        <f>21.0071</f>
        <v>21.007100000000001</v>
      </c>
      <c r="C1007">
        <f>20.56</f>
        <v>20.56</v>
      </c>
      <c r="D1007">
        <f>311.4</f>
        <v>311.39999999999998</v>
      </c>
    </row>
    <row r="1008" spans="1:4" x14ac:dyDescent="0.2">
      <c r="A1008" s="1">
        <v>43739</v>
      </c>
      <c r="B1008">
        <f>17.26</f>
        <v>17.260000000000002</v>
      </c>
      <c r="C1008">
        <f>18.56</f>
        <v>18.559999999999999</v>
      </c>
      <c r="D1008">
        <f>249.35</f>
        <v>249.35</v>
      </c>
    </row>
    <row r="1009" spans="1:4" x14ac:dyDescent="0.2">
      <c r="A1009" s="1">
        <v>43738</v>
      </c>
      <c r="B1009">
        <f>15.8282</f>
        <v>15.828200000000001</v>
      </c>
      <c r="C1009">
        <f>16.24</f>
        <v>16.239999999999998</v>
      </c>
      <c r="D1009">
        <f>262.8</f>
        <v>262.8</v>
      </c>
    </row>
    <row r="1010" spans="1:4" x14ac:dyDescent="0.2">
      <c r="A1010" s="1">
        <v>43735</v>
      </c>
      <c r="B1010">
        <f>15.8826</f>
        <v>15.8826</v>
      </c>
      <c r="C1010">
        <f>17.22</f>
        <v>17.22</v>
      </c>
      <c r="D1010">
        <f>210.75</f>
        <v>210.75</v>
      </c>
    </row>
    <row r="1011" spans="1:4" x14ac:dyDescent="0.2">
      <c r="A1011" s="1">
        <v>43734</v>
      </c>
      <c r="B1011">
        <f>16.587</f>
        <v>16.587</v>
      </c>
      <c r="C1011">
        <f>16.07</f>
        <v>16.07</v>
      </c>
      <c r="D1011">
        <f>237.31</f>
        <v>237.31</v>
      </c>
    </row>
    <row r="1012" spans="1:4" x14ac:dyDescent="0.2">
      <c r="A1012" s="1">
        <v>43733</v>
      </c>
      <c r="B1012">
        <f>17.2313</f>
        <v>17.231300000000001</v>
      </c>
      <c r="C1012">
        <f>15.96</f>
        <v>15.96</v>
      </c>
      <c r="D1012">
        <f>308.34</f>
        <v>308.33999999999997</v>
      </c>
    </row>
    <row r="1013" spans="1:4" x14ac:dyDescent="0.2">
      <c r="A1013" s="1">
        <v>43732</v>
      </c>
      <c r="B1013">
        <f>15.9723</f>
        <v>15.972300000000001</v>
      </c>
      <c r="C1013">
        <f>17.05</f>
        <v>17.05</v>
      </c>
      <c r="D1013" t="e">
        <f>NA()</f>
        <v>#N/A</v>
      </c>
    </row>
    <row r="1014" spans="1:4" x14ac:dyDescent="0.2">
      <c r="A1014" s="1">
        <v>43731</v>
      </c>
      <c r="B1014">
        <f>15.5783</f>
        <v>15.5783</v>
      </c>
      <c r="C1014">
        <f>14.91</f>
        <v>14.91</v>
      </c>
      <c r="D1014">
        <f>219.88</f>
        <v>219.88</v>
      </c>
    </row>
    <row r="1015" spans="1:4" x14ac:dyDescent="0.2">
      <c r="A1015" s="1">
        <v>43728</v>
      </c>
      <c r="B1015">
        <f>13.9744</f>
        <v>13.974399999999999</v>
      </c>
      <c r="C1015">
        <f>15.32</f>
        <v>15.32</v>
      </c>
      <c r="D1015">
        <f>781.67</f>
        <v>781.67</v>
      </c>
    </row>
    <row r="1016" spans="1:4" x14ac:dyDescent="0.2">
      <c r="A1016" s="1">
        <v>43727</v>
      </c>
      <c r="B1016">
        <f>14.501</f>
        <v>14.500999999999999</v>
      </c>
      <c r="C1016">
        <f>14.05</f>
        <v>14.05</v>
      </c>
      <c r="D1016">
        <f>555.06</f>
        <v>555.05999999999995</v>
      </c>
    </row>
    <row r="1017" spans="1:4" x14ac:dyDescent="0.2">
      <c r="A1017" s="1">
        <v>43726</v>
      </c>
      <c r="B1017">
        <f>15.2097</f>
        <v>15.2097</v>
      </c>
      <c r="C1017">
        <f>13.95</f>
        <v>13.95</v>
      </c>
      <c r="D1017">
        <f>259.38</f>
        <v>259.38</v>
      </c>
    </row>
    <row r="1018" spans="1:4" x14ac:dyDescent="0.2">
      <c r="A1018" s="1">
        <v>43725</v>
      </c>
      <c r="B1018">
        <f>15.5502</f>
        <v>15.5502</v>
      </c>
      <c r="C1018">
        <f>14.44</f>
        <v>14.44</v>
      </c>
      <c r="D1018">
        <f>310.01</f>
        <v>310.01</v>
      </c>
    </row>
    <row r="1019" spans="1:4" x14ac:dyDescent="0.2">
      <c r="A1019" s="1">
        <v>43724</v>
      </c>
      <c r="B1019">
        <f>15.2467</f>
        <v>15.246700000000001</v>
      </c>
      <c r="C1019">
        <f>14.67</f>
        <v>14.67</v>
      </c>
      <c r="D1019">
        <f>365.5</f>
        <v>365.5</v>
      </c>
    </row>
    <row r="1020" spans="1:4" x14ac:dyDescent="0.2">
      <c r="A1020" s="1">
        <v>43721</v>
      </c>
      <c r="B1020">
        <f>13.7364</f>
        <v>13.7364</v>
      </c>
      <c r="C1020">
        <f>13.74</f>
        <v>13.74</v>
      </c>
      <c r="D1020">
        <f>255.94</f>
        <v>255.94</v>
      </c>
    </row>
    <row r="1021" spans="1:4" x14ac:dyDescent="0.2">
      <c r="A1021" s="1">
        <v>43720</v>
      </c>
      <c r="B1021">
        <f>14.4138</f>
        <v>14.4138</v>
      </c>
      <c r="C1021">
        <f>14.22</f>
        <v>14.22</v>
      </c>
      <c r="D1021">
        <f>289.55</f>
        <v>289.55</v>
      </c>
    </row>
    <row r="1022" spans="1:4" x14ac:dyDescent="0.2">
      <c r="A1022" s="1">
        <v>43719</v>
      </c>
      <c r="B1022">
        <f>15.4354</f>
        <v>15.4354</v>
      </c>
      <c r="C1022">
        <f>14.61</f>
        <v>14.61</v>
      </c>
      <c r="D1022">
        <f>273.31</f>
        <v>273.31</v>
      </c>
    </row>
    <row r="1023" spans="1:4" x14ac:dyDescent="0.2">
      <c r="A1023" s="1">
        <v>43718</v>
      </c>
      <c r="B1023">
        <f>15.2574</f>
        <v>15.257400000000001</v>
      </c>
      <c r="C1023">
        <f>15.2</f>
        <v>15.2</v>
      </c>
      <c r="D1023">
        <f>205.53</f>
        <v>205.53</v>
      </c>
    </row>
    <row r="1024" spans="1:4" x14ac:dyDescent="0.2">
      <c r="A1024" s="1">
        <v>43717</v>
      </c>
      <c r="B1024">
        <f>14.9418</f>
        <v>14.941800000000001</v>
      </c>
      <c r="C1024">
        <f>15.27</f>
        <v>15.27</v>
      </c>
      <c r="D1024">
        <f>194.51</f>
        <v>194.51</v>
      </c>
    </row>
    <row r="1025" spans="1:4" x14ac:dyDescent="0.2">
      <c r="A1025" s="1">
        <v>43714</v>
      </c>
      <c r="B1025">
        <f>14.6313</f>
        <v>14.6313</v>
      </c>
      <c r="C1025">
        <f>15</f>
        <v>15</v>
      </c>
      <c r="D1025">
        <f>197.1</f>
        <v>197.1</v>
      </c>
    </row>
    <row r="1026" spans="1:4" x14ac:dyDescent="0.2">
      <c r="A1026" s="1">
        <v>43713</v>
      </c>
      <c r="B1026">
        <f>15.5052</f>
        <v>15.5052</v>
      </c>
      <c r="C1026">
        <f>16.27</f>
        <v>16.27</v>
      </c>
      <c r="D1026">
        <f>252.71</f>
        <v>252.71</v>
      </c>
    </row>
    <row r="1027" spans="1:4" x14ac:dyDescent="0.2">
      <c r="A1027" s="1">
        <v>43712</v>
      </c>
      <c r="B1027">
        <f>16.5794</f>
        <v>16.5794</v>
      </c>
      <c r="C1027">
        <f>17.33</f>
        <v>17.329999999999998</v>
      </c>
      <c r="D1027">
        <f>239.7</f>
        <v>239.7</v>
      </c>
    </row>
    <row r="1028" spans="1:4" x14ac:dyDescent="0.2">
      <c r="A1028" s="1">
        <v>43711</v>
      </c>
      <c r="B1028">
        <f>18.2403</f>
        <v>18.240300000000001</v>
      </c>
      <c r="C1028">
        <f>19.66</f>
        <v>19.66</v>
      </c>
      <c r="D1028">
        <f>231.04</f>
        <v>231.04</v>
      </c>
    </row>
    <row r="1029" spans="1:4" x14ac:dyDescent="0.2">
      <c r="A1029" s="1">
        <v>43710</v>
      </c>
      <c r="B1029">
        <f>17.5382</f>
        <v>17.5382</v>
      </c>
      <c r="C1029" t="e">
        <f>NA()</f>
        <v>#N/A</v>
      </c>
      <c r="D1029">
        <f>191.78</f>
        <v>191.78</v>
      </c>
    </row>
    <row r="1030" spans="1:4" x14ac:dyDescent="0.2">
      <c r="A1030" s="1">
        <v>43707</v>
      </c>
      <c r="B1030">
        <f>17.6681</f>
        <v>17.668099999999999</v>
      </c>
      <c r="C1030">
        <f>18.98</f>
        <v>18.98</v>
      </c>
      <c r="D1030">
        <f>288.11</f>
        <v>288.11</v>
      </c>
    </row>
    <row r="1031" spans="1:4" x14ac:dyDescent="0.2">
      <c r="A1031" s="1">
        <v>43706</v>
      </c>
      <c r="B1031">
        <f>17.601</f>
        <v>17.600999999999999</v>
      </c>
      <c r="C1031">
        <f>17.88</f>
        <v>17.88</v>
      </c>
      <c r="D1031">
        <f>234.72</f>
        <v>234.72</v>
      </c>
    </row>
    <row r="1032" spans="1:4" x14ac:dyDescent="0.2">
      <c r="A1032" s="1">
        <v>43705</v>
      </c>
      <c r="B1032">
        <f>19.3267</f>
        <v>19.326699999999999</v>
      </c>
      <c r="C1032">
        <f>19.35</f>
        <v>19.350000000000001</v>
      </c>
      <c r="D1032">
        <f>250.83</f>
        <v>250.83</v>
      </c>
    </row>
    <row r="1033" spans="1:4" x14ac:dyDescent="0.2">
      <c r="A1033" s="1">
        <v>43704</v>
      </c>
      <c r="B1033">
        <f>19.4399</f>
        <v>19.439900000000002</v>
      </c>
      <c r="C1033">
        <f>20.31</f>
        <v>20.309999999999999</v>
      </c>
      <c r="D1033">
        <f>364.27</f>
        <v>364.27</v>
      </c>
    </row>
    <row r="1034" spans="1:4" x14ac:dyDescent="0.2">
      <c r="A1034" s="1">
        <v>43703</v>
      </c>
      <c r="B1034">
        <f>20.2502</f>
        <v>20.2502</v>
      </c>
      <c r="C1034">
        <f>19.32</f>
        <v>19.32</v>
      </c>
      <c r="D1034">
        <f>158.78</f>
        <v>158.78</v>
      </c>
    </row>
    <row r="1035" spans="1:4" x14ac:dyDescent="0.2">
      <c r="A1035" s="1">
        <v>43700</v>
      </c>
      <c r="B1035">
        <f>20.1473</f>
        <v>20.147300000000001</v>
      </c>
      <c r="C1035">
        <f>19.87</f>
        <v>19.87</v>
      </c>
      <c r="D1035">
        <f>219.91</f>
        <v>219.91</v>
      </c>
    </row>
    <row r="1036" spans="1:4" x14ac:dyDescent="0.2">
      <c r="A1036" s="1">
        <v>43699</v>
      </c>
      <c r="B1036">
        <f>18.2332</f>
        <v>18.2332</v>
      </c>
      <c r="C1036">
        <f>16.68</f>
        <v>16.68</v>
      </c>
      <c r="D1036">
        <f>268.93</f>
        <v>268.93</v>
      </c>
    </row>
    <row r="1037" spans="1:4" x14ac:dyDescent="0.2">
      <c r="A1037" s="1">
        <v>43698</v>
      </c>
      <c r="B1037">
        <f>16.7721</f>
        <v>16.772099999999998</v>
      </c>
      <c r="C1037">
        <f>15.8</f>
        <v>15.8</v>
      </c>
      <c r="D1037">
        <f>289.36</f>
        <v>289.36</v>
      </c>
    </row>
    <row r="1038" spans="1:4" x14ac:dyDescent="0.2">
      <c r="A1038" s="1">
        <v>43697</v>
      </c>
      <c r="B1038">
        <f>18.4289</f>
        <v>18.428899999999999</v>
      </c>
      <c r="C1038">
        <f>17.5</f>
        <v>17.5</v>
      </c>
      <c r="D1038">
        <f>224.72</f>
        <v>224.72</v>
      </c>
    </row>
    <row r="1039" spans="1:4" x14ac:dyDescent="0.2">
      <c r="A1039" s="1">
        <v>43696</v>
      </c>
      <c r="B1039">
        <f>18.2556</f>
        <v>18.255600000000001</v>
      </c>
      <c r="C1039">
        <f>16.88</f>
        <v>16.88</v>
      </c>
      <c r="D1039">
        <f>222.04</f>
        <v>222.04</v>
      </c>
    </row>
    <row r="1040" spans="1:4" x14ac:dyDescent="0.2">
      <c r="A1040" s="1">
        <v>43693</v>
      </c>
      <c r="B1040">
        <f>20.3841</f>
        <v>20.3841</v>
      </c>
      <c r="C1040">
        <f>18.47</f>
        <v>18.47</v>
      </c>
      <c r="D1040">
        <f>260.77</f>
        <v>260.77</v>
      </c>
    </row>
    <row r="1041" spans="1:4" x14ac:dyDescent="0.2">
      <c r="A1041" s="1">
        <v>43692</v>
      </c>
      <c r="B1041">
        <f>22.5419</f>
        <v>22.541899999999998</v>
      </c>
      <c r="C1041">
        <f>21.18</f>
        <v>21.18</v>
      </c>
      <c r="D1041">
        <f>314.1</f>
        <v>314.10000000000002</v>
      </c>
    </row>
    <row r="1042" spans="1:4" x14ac:dyDescent="0.2">
      <c r="A1042" s="1">
        <v>43691</v>
      </c>
      <c r="B1042">
        <f>22.0616</f>
        <v>22.061599999999999</v>
      </c>
      <c r="C1042">
        <f>22.1</f>
        <v>22.1</v>
      </c>
      <c r="D1042">
        <f>269.95</f>
        <v>269.95</v>
      </c>
    </row>
    <row r="1043" spans="1:4" x14ac:dyDescent="0.2">
      <c r="A1043" s="1">
        <v>43690</v>
      </c>
      <c r="B1043">
        <f>18.6224</f>
        <v>18.622399999999999</v>
      </c>
      <c r="C1043">
        <f>17.52</f>
        <v>17.52</v>
      </c>
      <c r="D1043">
        <f>268.27</f>
        <v>268.27</v>
      </c>
    </row>
    <row r="1044" spans="1:4" x14ac:dyDescent="0.2">
      <c r="A1044" s="1">
        <v>43689</v>
      </c>
      <c r="B1044">
        <f>19.2544</f>
        <v>19.2544</v>
      </c>
      <c r="C1044">
        <f>21.09</f>
        <v>21.09</v>
      </c>
      <c r="D1044">
        <f>252.03</f>
        <v>252.03</v>
      </c>
    </row>
    <row r="1045" spans="1:4" x14ac:dyDescent="0.2">
      <c r="A1045" s="1">
        <v>43686</v>
      </c>
      <c r="B1045">
        <f>18.9533</f>
        <v>18.953299999999999</v>
      </c>
      <c r="C1045">
        <f>17.97</f>
        <v>17.97</v>
      </c>
      <c r="D1045" t="e">
        <f>NA()</f>
        <v>#N/A</v>
      </c>
    </row>
    <row r="1046" spans="1:4" x14ac:dyDescent="0.2">
      <c r="A1046" s="1">
        <v>43685</v>
      </c>
      <c r="B1046">
        <f>18.0037</f>
        <v>18.003699999999998</v>
      </c>
      <c r="C1046">
        <f>16.91</f>
        <v>16.91</v>
      </c>
      <c r="D1046">
        <f>227.3</f>
        <v>227.3</v>
      </c>
    </row>
    <row r="1047" spans="1:4" x14ac:dyDescent="0.2">
      <c r="A1047" s="1">
        <v>43684</v>
      </c>
      <c r="B1047">
        <f>21.039</f>
        <v>21.039000000000001</v>
      </c>
      <c r="C1047">
        <f>19.49</f>
        <v>19.489999999999998</v>
      </c>
      <c r="D1047">
        <f>311.11</f>
        <v>311.11</v>
      </c>
    </row>
    <row r="1048" spans="1:4" x14ac:dyDescent="0.2">
      <c r="A1048" s="1">
        <v>43683</v>
      </c>
      <c r="B1048">
        <f>21.3783</f>
        <v>21.378299999999999</v>
      </c>
      <c r="C1048">
        <f>20.17</f>
        <v>20.170000000000002</v>
      </c>
      <c r="D1048">
        <f>291.63</f>
        <v>291.63</v>
      </c>
    </row>
    <row r="1049" spans="1:4" x14ac:dyDescent="0.2">
      <c r="A1049" s="1">
        <v>43682</v>
      </c>
      <c r="B1049">
        <f>21.0618</f>
        <v>21.061800000000002</v>
      </c>
      <c r="C1049">
        <f>24.59</f>
        <v>24.59</v>
      </c>
      <c r="D1049">
        <f>245.22</f>
        <v>245.22</v>
      </c>
    </row>
    <row r="1050" spans="1:4" x14ac:dyDescent="0.2">
      <c r="A1050" s="1">
        <v>43679</v>
      </c>
      <c r="B1050">
        <f>18.3481</f>
        <v>18.348099999999999</v>
      </c>
      <c r="C1050">
        <f>17.61</f>
        <v>17.61</v>
      </c>
      <c r="D1050">
        <f>286.85</f>
        <v>286.85000000000002</v>
      </c>
    </row>
    <row r="1051" spans="1:4" x14ac:dyDescent="0.2">
      <c r="A1051" s="1">
        <v>43678</v>
      </c>
      <c r="B1051">
        <f>13.7348</f>
        <v>13.7348</v>
      </c>
      <c r="C1051">
        <f>17.87</f>
        <v>17.87</v>
      </c>
      <c r="D1051">
        <f>289.95</f>
        <v>289.95</v>
      </c>
    </row>
    <row r="1052" spans="1:4" x14ac:dyDescent="0.2">
      <c r="A1052" s="1">
        <v>43677</v>
      </c>
      <c r="B1052">
        <f>14.3909</f>
        <v>14.3909</v>
      </c>
      <c r="C1052">
        <f>16.12</f>
        <v>16.12</v>
      </c>
      <c r="D1052">
        <f>316.53</f>
        <v>316.52999999999997</v>
      </c>
    </row>
    <row r="1053" spans="1:4" x14ac:dyDescent="0.2">
      <c r="A1053" s="1">
        <v>43676</v>
      </c>
      <c r="B1053">
        <f>14.4662</f>
        <v>14.466200000000001</v>
      </c>
      <c r="C1053">
        <f>13.94</f>
        <v>13.94</v>
      </c>
      <c r="D1053">
        <f>199.52</f>
        <v>199.52</v>
      </c>
    </row>
    <row r="1054" spans="1:4" x14ac:dyDescent="0.2">
      <c r="A1054" s="1">
        <v>43675</v>
      </c>
      <c r="B1054">
        <f>12.6386</f>
        <v>12.6386</v>
      </c>
      <c r="C1054">
        <f>12.83</f>
        <v>12.83</v>
      </c>
      <c r="D1054">
        <f>155.51</f>
        <v>155.51</v>
      </c>
    </row>
    <row r="1055" spans="1:4" x14ac:dyDescent="0.2">
      <c r="A1055" s="1">
        <v>43672</v>
      </c>
      <c r="B1055">
        <f>12.669</f>
        <v>12.669</v>
      </c>
      <c r="C1055">
        <f>12.16</f>
        <v>12.16</v>
      </c>
      <c r="D1055">
        <f>169.72</f>
        <v>169.72</v>
      </c>
    </row>
    <row r="1056" spans="1:4" x14ac:dyDescent="0.2">
      <c r="A1056" s="1">
        <v>43671</v>
      </c>
      <c r="B1056">
        <f>13.2666</f>
        <v>13.2666</v>
      </c>
      <c r="C1056">
        <f>12.74</f>
        <v>12.74</v>
      </c>
      <c r="D1056">
        <f>254.6</f>
        <v>254.6</v>
      </c>
    </row>
    <row r="1057" spans="1:4" x14ac:dyDescent="0.2">
      <c r="A1057" s="1">
        <v>43670</v>
      </c>
      <c r="B1057">
        <f>13.1227</f>
        <v>13.1227</v>
      </c>
      <c r="C1057">
        <f>12.07</f>
        <v>12.07</v>
      </c>
      <c r="D1057">
        <f>199.61</f>
        <v>199.61</v>
      </c>
    </row>
    <row r="1058" spans="1:4" x14ac:dyDescent="0.2">
      <c r="A1058" s="1">
        <v>43669</v>
      </c>
      <c r="B1058">
        <f>12.7137</f>
        <v>12.713699999999999</v>
      </c>
      <c r="C1058">
        <f>12.61</f>
        <v>12.61</v>
      </c>
      <c r="D1058">
        <f>224.93</f>
        <v>224.93</v>
      </c>
    </row>
    <row r="1059" spans="1:4" x14ac:dyDescent="0.2">
      <c r="A1059" s="1">
        <v>43668</v>
      </c>
      <c r="B1059">
        <f>13.5495</f>
        <v>13.5495</v>
      </c>
      <c r="C1059">
        <f>13.53</f>
        <v>13.53</v>
      </c>
      <c r="D1059">
        <f>177.01</f>
        <v>177.01</v>
      </c>
    </row>
    <row r="1060" spans="1:4" x14ac:dyDescent="0.2">
      <c r="A1060" s="1">
        <v>43665</v>
      </c>
      <c r="B1060">
        <f>13.6973</f>
        <v>13.6973</v>
      </c>
      <c r="C1060">
        <f>14.45</f>
        <v>14.45</v>
      </c>
      <c r="D1060">
        <f>224.99</f>
        <v>224.99</v>
      </c>
    </row>
    <row r="1061" spans="1:4" x14ac:dyDescent="0.2">
      <c r="A1061" s="1">
        <v>43664</v>
      </c>
      <c r="B1061">
        <f>13.332</f>
        <v>13.332000000000001</v>
      </c>
      <c r="C1061">
        <f>13.53</f>
        <v>13.53</v>
      </c>
      <c r="D1061">
        <f>191.01</f>
        <v>191.01</v>
      </c>
    </row>
    <row r="1062" spans="1:4" x14ac:dyDescent="0.2">
      <c r="A1062" s="1">
        <v>43663</v>
      </c>
      <c r="B1062">
        <f>12.6034</f>
        <v>12.603400000000001</v>
      </c>
      <c r="C1062">
        <f>13.97</f>
        <v>13.97</v>
      </c>
      <c r="D1062">
        <f>437.54</f>
        <v>437.54</v>
      </c>
    </row>
    <row r="1063" spans="1:4" x14ac:dyDescent="0.2">
      <c r="A1063" s="1">
        <v>43662</v>
      </c>
      <c r="B1063">
        <f>12.1592</f>
        <v>12.1592</v>
      </c>
      <c r="C1063">
        <f>12.86</f>
        <v>12.86</v>
      </c>
      <c r="D1063">
        <f>197.11</f>
        <v>197.11</v>
      </c>
    </row>
    <row r="1064" spans="1:4" x14ac:dyDescent="0.2">
      <c r="A1064" s="1">
        <v>43661</v>
      </c>
      <c r="B1064">
        <f>12.6064</f>
        <v>12.606400000000001</v>
      </c>
      <c r="C1064">
        <f>12.68</f>
        <v>12.68</v>
      </c>
      <c r="D1064">
        <f>158.88</f>
        <v>158.88</v>
      </c>
    </row>
    <row r="1065" spans="1:4" x14ac:dyDescent="0.2">
      <c r="A1065" s="1">
        <v>43658</v>
      </c>
      <c r="B1065">
        <f>12.3888</f>
        <v>12.3888</v>
      </c>
      <c r="C1065">
        <f>12.39</f>
        <v>12.39</v>
      </c>
      <c r="D1065">
        <f>184.33</f>
        <v>184.33</v>
      </c>
    </row>
    <row r="1066" spans="1:4" x14ac:dyDescent="0.2">
      <c r="A1066" s="1">
        <v>43657</v>
      </c>
      <c r="B1066">
        <f>12.4747</f>
        <v>12.4747</v>
      </c>
      <c r="C1066">
        <f>12.93</f>
        <v>12.93</v>
      </c>
      <c r="D1066">
        <f>229.22</f>
        <v>229.22</v>
      </c>
    </row>
    <row r="1067" spans="1:4" x14ac:dyDescent="0.2">
      <c r="A1067" s="1">
        <v>43656</v>
      </c>
      <c r="B1067">
        <f>12.8191</f>
        <v>12.819100000000001</v>
      </c>
      <c r="C1067">
        <f>13.03</f>
        <v>13.03</v>
      </c>
      <c r="D1067">
        <f>217.6</f>
        <v>217.6</v>
      </c>
    </row>
    <row r="1068" spans="1:4" x14ac:dyDescent="0.2">
      <c r="A1068" s="1">
        <v>43655</v>
      </c>
      <c r="B1068">
        <f>12.7504</f>
        <v>12.750400000000001</v>
      </c>
      <c r="C1068">
        <f>14.09</f>
        <v>14.09</v>
      </c>
      <c r="D1068">
        <f>170.97</f>
        <v>170.97</v>
      </c>
    </row>
    <row r="1069" spans="1:4" x14ac:dyDescent="0.2">
      <c r="A1069" s="1">
        <v>43654</v>
      </c>
      <c r="B1069">
        <f>12.616</f>
        <v>12.616</v>
      </c>
      <c r="C1069">
        <f>13.96</f>
        <v>13.96</v>
      </c>
      <c r="D1069">
        <f>159.37</f>
        <v>159.37</v>
      </c>
    </row>
    <row r="1070" spans="1:4" x14ac:dyDescent="0.2">
      <c r="A1070" s="1">
        <v>43651</v>
      </c>
      <c r="B1070">
        <f>12.4185</f>
        <v>12.4185</v>
      </c>
      <c r="C1070">
        <f>13.28</f>
        <v>13.28</v>
      </c>
      <c r="D1070">
        <f>160.88</f>
        <v>160.88</v>
      </c>
    </row>
    <row r="1071" spans="1:4" x14ac:dyDescent="0.2">
      <c r="A1071" s="1">
        <v>43650</v>
      </c>
      <c r="B1071">
        <f>11.7651</f>
        <v>11.7651</v>
      </c>
      <c r="C1071" t="e">
        <f>NA()</f>
        <v>#N/A</v>
      </c>
      <c r="D1071">
        <f>180.49</f>
        <v>180.49</v>
      </c>
    </row>
    <row r="1072" spans="1:4" x14ac:dyDescent="0.2">
      <c r="A1072" s="1">
        <v>43649</v>
      </c>
      <c r="B1072">
        <f>11.7045</f>
        <v>11.704499999999999</v>
      </c>
      <c r="C1072">
        <f>12.57</f>
        <v>12.57</v>
      </c>
      <c r="D1072">
        <f>216.75</f>
        <v>216.75</v>
      </c>
    </row>
    <row r="1073" spans="1:4" x14ac:dyDescent="0.2">
      <c r="A1073" s="1">
        <v>43648</v>
      </c>
      <c r="B1073">
        <f>11.8371</f>
        <v>11.8371</v>
      </c>
      <c r="C1073">
        <f>12.93</f>
        <v>12.93</v>
      </c>
      <c r="D1073">
        <f>207.81</f>
        <v>207.81</v>
      </c>
    </row>
    <row r="1074" spans="1:4" x14ac:dyDescent="0.2">
      <c r="A1074" s="1">
        <v>43647</v>
      </c>
      <c r="B1074">
        <f>12.383</f>
        <v>12.382999999999999</v>
      </c>
      <c r="C1074">
        <f>14.06</f>
        <v>14.06</v>
      </c>
      <c r="D1074">
        <f>224.65</f>
        <v>224.65</v>
      </c>
    </row>
    <row r="1075" spans="1:4" x14ac:dyDescent="0.2">
      <c r="A1075" s="1">
        <v>43644</v>
      </c>
      <c r="B1075">
        <f>13.7342</f>
        <v>13.7342</v>
      </c>
      <c r="C1075">
        <f>15.08</f>
        <v>15.08</v>
      </c>
      <c r="D1075">
        <f>209.45</f>
        <v>209.45</v>
      </c>
    </row>
    <row r="1076" spans="1:4" x14ac:dyDescent="0.2">
      <c r="A1076" s="1">
        <v>43643</v>
      </c>
      <c r="B1076">
        <f>14.1174</f>
        <v>14.1174</v>
      </c>
      <c r="C1076">
        <f>15.82</f>
        <v>15.82</v>
      </c>
      <c r="D1076">
        <f>180.16</f>
        <v>180.16</v>
      </c>
    </row>
    <row r="1077" spans="1:4" x14ac:dyDescent="0.2">
      <c r="A1077" s="1">
        <v>43642</v>
      </c>
      <c r="B1077">
        <f>14.0634</f>
        <v>14.0634</v>
      </c>
      <c r="C1077">
        <f>16.21</f>
        <v>16.21</v>
      </c>
      <c r="D1077">
        <f>225.37</f>
        <v>225.37</v>
      </c>
    </row>
    <row r="1078" spans="1:4" x14ac:dyDescent="0.2">
      <c r="A1078" s="1">
        <v>43641</v>
      </c>
      <c r="B1078">
        <f>13.9815</f>
        <v>13.9815</v>
      </c>
      <c r="C1078">
        <f>16.28</f>
        <v>16.28</v>
      </c>
      <c r="D1078">
        <f>224.32</f>
        <v>224.32</v>
      </c>
    </row>
    <row r="1079" spans="1:4" x14ac:dyDescent="0.2">
      <c r="A1079" s="1">
        <v>43640</v>
      </c>
      <c r="B1079">
        <f>13.9669</f>
        <v>13.966900000000001</v>
      </c>
      <c r="C1079">
        <f>15.26</f>
        <v>15.26</v>
      </c>
      <c r="D1079">
        <f>211.93</f>
        <v>211.93</v>
      </c>
    </row>
    <row r="1080" spans="1:4" x14ac:dyDescent="0.2">
      <c r="A1080" s="1">
        <v>43637</v>
      </c>
      <c r="B1080">
        <f>13.3894</f>
        <v>13.3894</v>
      </c>
      <c r="C1080">
        <f>15.4</f>
        <v>15.4</v>
      </c>
      <c r="D1080">
        <f>517.22</f>
        <v>517.22</v>
      </c>
    </row>
    <row r="1081" spans="1:4" x14ac:dyDescent="0.2">
      <c r="A1081" s="1">
        <v>43636</v>
      </c>
      <c r="B1081">
        <f>13.3474</f>
        <v>13.3474</v>
      </c>
      <c r="C1081">
        <f>14.75</f>
        <v>14.75</v>
      </c>
      <c r="D1081">
        <f>495.13</f>
        <v>495.13</v>
      </c>
    </row>
    <row r="1082" spans="1:4" x14ac:dyDescent="0.2">
      <c r="A1082" s="1">
        <v>43635</v>
      </c>
      <c r="B1082">
        <f>13.6604</f>
        <v>13.660399999999999</v>
      </c>
      <c r="C1082">
        <f>14.33</f>
        <v>14.33</v>
      </c>
      <c r="D1082">
        <f>267.83</f>
        <v>267.83</v>
      </c>
    </row>
    <row r="1083" spans="1:4" x14ac:dyDescent="0.2">
      <c r="A1083" s="1">
        <v>43634</v>
      </c>
      <c r="B1083">
        <f>13.2695</f>
        <v>13.269500000000001</v>
      </c>
      <c r="C1083">
        <f>15.15</f>
        <v>15.15</v>
      </c>
      <c r="D1083">
        <f>284.97</f>
        <v>284.97000000000003</v>
      </c>
    </row>
    <row r="1084" spans="1:4" x14ac:dyDescent="0.2">
      <c r="A1084" s="1">
        <v>43633</v>
      </c>
      <c r="B1084">
        <f>14.0293</f>
        <v>14.029299999999999</v>
      </c>
      <c r="C1084">
        <f>15.35</f>
        <v>15.35</v>
      </c>
      <c r="D1084" t="e">
        <f>NA()</f>
        <v>#N/A</v>
      </c>
    </row>
    <row r="1085" spans="1:4" x14ac:dyDescent="0.2">
      <c r="A1085" s="1">
        <v>43630</v>
      </c>
      <c r="B1085">
        <f>14.3629</f>
        <v>14.3629</v>
      </c>
      <c r="C1085">
        <f>15.28</f>
        <v>15.28</v>
      </c>
      <c r="D1085">
        <f>280.36</f>
        <v>280.36</v>
      </c>
    </row>
    <row r="1086" spans="1:4" x14ac:dyDescent="0.2">
      <c r="A1086" s="1">
        <v>43629</v>
      </c>
      <c r="B1086">
        <f>14.3656</f>
        <v>14.365600000000001</v>
      </c>
      <c r="C1086">
        <f>15.82</f>
        <v>15.82</v>
      </c>
      <c r="D1086">
        <f>230.03</f>
        <v>230.03</v>
      </c>
    </row>
    <row r="1087" spans="1:4" x14ac:dyDescent="0.2">
      <c r="A1087" s="1">
        <v>43628</v>
      </c>
      <c r="B1087">
        <f>14.945</f>
        <v>14.945</v>
      </c>
      <c r="C1087">
        <f>15.91</f>
        <v>15.91</v>
      </c>
      <c r="D1087">
        <f>244.42</f>
        <v>244.42</v>
      </c>
    </row>
    <row r="1088" spans="1:4" x14ac:dyDescent="0.2">
      <c r="A1088" s="1">
        <v>43627</v>
      </c>
      <c r="B1088">
        <f>14.796</f>
        <v>14.795999999999999</v>
      </c>
      <c r="C1088">
        <f>15.99</f>
        <v>15.99</v>
      </c>
      <c r="D1088">
        <f>194.53</f>
        <v>194.53</v>
      </c>
    </row>
    <row r="1089" spans="1:4" x14ac:dyDescent="0.2">
      <c r="A1089" s="1">
        <v>43626</v>
      </c>
      <c r="B1089">
        <f>14.8913</f>
        <v>14.891299999999999</v>
      </c>
      <c r="C1089">
        <f>15.94</f>
        <v>15.94</v>
      </c>
      <c r="D1089">
        <f>169.92</f>
        <v>169.92</v>
      </c>
    </row>
    <row r="1090" spans="1:4" x14ac:dyDescent="0.2">
      <c r="A1090" s="1">
        <v>43623</v>
      </c>
      <c r="B1090">
        <f>14.9085</f>
        <v>14.9085</v>
      </c>
      <c r="C1090">
        <f>16.3</f>
        <v>16.3</v>
      </c>
      <c r="D1090">
        <f>225.28</f>
        <v>225.28</v>
      </c>
    </row>
    <row r="1091" spans="1:4" x14ac:dyDescent="0.2">
      <c r="A1091" s="1">
        <v>43622</v>
      </c>
      <c r="B1091">
        <f>15.6299</f>
        <v>15.629899999999999</v>
      </c>
      <c r="C1091">
        <f>15.93</f>
        <v>15.93</v>
      </c>
      <c r="D1091">
        <f>213.05</f>
        <v>213.05</v>
      </c>
    </row>
    <row r="1092" spans="1:4" x14ac:dyDescent="0.2">
      <c r="A1092" s="1">
        <v>43621</v>
      </c>
      <c r="B1092">
        <f>16.1034</f>
        <v>16.103400000000001</v>
      </c>
      <c r="C1092">
        <f>16.09</f>
        <v>16.09</v>
      </c>
      <c r="D1092">
        <f>223.11</f>
        <v>223.11</v>
      </c>
    </row>
    <row r="1093" spans="1:4" x14ac:dyDescent="0.2">
      <c r="A1093" s="1">
        <v>43620</v>
      </c>
      <c r="B1093">
        <f>16.42</f>
        <v>16.420000000000002</v>
      </c>
      <c r="C1093">
        <f>16.97</f>
        <v>16.97</v>
      </c>
      <c r="D1093">
        <f>346.97</f>
        <v>346.97</v>
      </c>
    </row>
    <row r="1094" spans="1:4" x14ac:dyDescent="0.2">
      <c r="A1094" s="1">
        <v>43619</v>
      </c>
      <c r="B1094">
        <f>17.2417</f>
        <v>17.241700000000002</v>
      </c>
      <c r="C1094">
        <f>18.86</f>
        <v>18.86</v>
      </c>
      <c r="D1094">
        <f>228.16</f>
        <v>228.16</v>
      </c>
    </row>
    <row r="1095" spans="1:4" x14ac:dyDescent="0.2">
      <c r="A1095" s="1">
        <v>43616</v>
      </c>
      <c r="B1095">
        <f>17.4218</f>
        <v>17.421800000000001</v>
      </c>
      <c r="C1095">
        <f>18.71</f>
        <v>18.71</v>
      </c>
      <c r="D1095">
        <f>293.41</f>
        <v>293.41000000000003</v>
      </c>
    </row>
    <row r="1096" spans="1:4" x14ac:dyDescent="0.2">
      <c r="A1096" s="1">
        <v>43615</v>
      </c>
      <c r="B1096">
        <f>16.7607</f>
        <v>16.7607</v>
      </c>
      <c r="C1096">
        <f>17.3</f>
        <v>17.3</v>
      </c>
      <c r="D1096">
        <f>254.19</f>
        <v>254.19</v>
      </c>
    </row>
    <row r="1097" spans="1:4" x14ac:dyDescent="0.2">
      <c r="A1097" s="1">
        <v>43614</v>
      </c>
      <c r="B1097">
        <f>17.7806</f>
        <v>17.7806</v>
      </c>
      <c r="C1097">
        <f>17.9</f>
        <v>17.899999999999999</v>
      </c>
      <c r="D1097">
        <f>236.57</f>
        <v>236.57</v>
      </c>
    </row>
    <row r="1098" spans="1:4" x14ac:dyDescent="0.2">
      <c r="A1098" s="1">
        <v>43613</v>
      </c>
      <c r="B1098">
        <f>16.1658</f>
        <v>16.165800000000001</v>
      </c>
      <c r="C1098">
        <f>17.5</f>
        <v>17.5</v>
      </c>
      <c r="D1098">
        <f>662.83</f>
        <v>662.83</v>
      </c>
    </row>
    <row r="1099" spans="1:4" x14ac:dyDescent="0.2">
      <c r="A1099" s="1">
        <v>43612</v>
      </c>
      <c r="B1099">
        <f>16.2373</f>
        <v>16.237300000000001</v>
      </c>
      <c r="C1099" t="e">
        <f>NA()</f>
        <v>#N/A</v>
      </c>
      <c r="D1099">
        <f>158.28</f>
        <v>158.28</v>
      </c>
    </row>
    <row r="1100" spans="1:4" x14ac:dyDescent="0.2">
      <c r="A1100" s="1">
        <v>43609</v>
      </c>
      <c r="B1100">
        <f>16.7146</f>
        <v>16.714600000000001</v>
      </c>
      <c r="C1100">
        <f>15.85</f>
        <v>15.85</v>
      </c>
      <c r="D1100">
        <f>265.86</f>
        <v>265.86</v>
      </c>
    </row>
    <row r="1101" spans="1:4" x14ac:dyDescent="0.2">
      <c r="A1101" s="1">
        <v>43608</v>
      </c>
      <c r="B1101">
        <f>17.637</f>
        <v>17.637</v>
      </c>
      <c r="C1101">
        <f>16.92</f>
        <v>16.920000000000002</v>
      </c>
      <c r="D1101">
        <f>279.36</f>
        <v>279.36</v>
      </c>
    </row>
    <row r="1102" spans="1:4" x14ac:dyDescent="0.2">
      <c r="A1102" s="1">
        <v>43607</v>
      </c>
      <c r="B1102">
        <f>15.4494</f>
        <v>15.449400000000001</v>
      </c>
      <c r="C1102">
        <f>14.75</f>
        <v>14.75</v>
      </c>
      <c r="D1102">
        <f>243.13</f>
        <v>243.13</v>
      </c>
    </row>
    <row r="1103" spans="1:4" x14ac:dyDescent="0.2">
      <c r="A1103" s="1">
        <v>43606</v>
      </c>
      <c r="B1103">
        <f>15.8302</f>
        <v>15.8302</v>
      </c>
      <c r="C1103">
        <f>14.95</f>
        <v>14.95</v>
      </c>
      <c r="D1103">
        <f>301.93</f>
        <v>301.93</v>
      </c>
    </row>
    <row r="1104" spans="1:4" x14ac:dyDescent="0.2">
      <c r="A1104" s="1">
        <v>43605</v>
      </c>
      <c r="B1104">
        <f>17.3812</f>
        <v>17.3812</v>
      </c>
      <c r="C1104">
        <f>16.31</f>
        <v>16.309999999999999</v>
      </c>
      <c r="D1104">
        <f>186.52</f>
        <v>186.52</v>
      </c>
    </row>
    <row r="1105" spans="1:4" x14ac:dyDescent="0.2">
      <c r="A1105" s="1">
        <v>43602</v>
      </c>
      <c r="B1105">
        <f>14.9769</f>
        <v>14.976900000000001</v>
      </c>
      <c r="C1105">
        <f>15.96</f>
        <v>15.96</v>
      </c>
      <c r="D1105">
        <f>234.18</f>
        <v>234.18</v>
      </c>
    </row>
    <row r="1106" spans="1:4" x14ac:dyDescent="0.2">
      <c r="A1106" s="1">
        <v>43601</v>
      </c>
      <c r="B1106">
        <f>15.0605</f>
        <v>15.060499999999999</v>
      </c>
      <c r="C1106">
        <f>15.29</f>
        <v>15.29</v>
      </c>
      <c r="D1106">
        <f>259.9</f>
        <v>259.89999999999998</v>
      </c>
    </row>
    <row r="1107" spans="1:4" x14ac:dyDescent="0.2">
      <c r="A1107" s="1">
        <v>43600</v>
      </c>
      <c r="B1107">
        <f>16.7467</f>
        <v>16.746700000000001</v>
      </c>
      <c r="C1107">
        <f>16.44</f>
        <v>16.440000000000001</v>
      </c>
      <c r="D1107">
        <f>255.54</f>
        <v>255.54</v>
      </c>
    </row>
    <row r="1108" spans="1:4" x14ac:dyDescent="0.2">
      <c r="A1108" s="1">
        <v>43599</v>
      </c>
      <c r="B1108">
        <f>17.5609</f>
        <v>17.5609</v>
      </c>
      <c r="C1108">
        <f>18.06</f>
        <v>18.059999999999999</v>
      </c>
      <c r="D1108">
        <f>278</f>
        <v>278</v>
      </c>
    </row>
    <row r="1109" spans="1:4" x14ac:dyDescent="0.2">
      <c r="A1109" s="1">
        <v>43598</v>
      </c>
      <c r="B1109">
        <f>19.4264</f>
        <v>19.426400000000001</v>
      </c>
      <c r="C1109">
        <f>20.55</f>
        <v>20.55</v>
      </c>
      <c r="D1109">
        <f>258.56</f>
        <v>258.56</v>
      </c>
    </row>
    <row r="1110" spans="1:4" x14ac:dyDescent="0.2">
      <c r="A1110" s="1">
        <v>43595</v>
      </c>
      <c r="B1110">
        <f>18.5073</f>
        <v>18.507300000000001</v>
      </c>
      <c r="C1110">
        <f>16.04</f>
        <v>16.04</v>
      </c>
      <c r="D1110">
        <f>249.98</f>
        <v>249.98</v>
      </c>
    </row>
    <row r="1111" spans="1:4" x14ac:dyDescent="0.2">
      <c r="A1111" s="1">
        <v>43594</v>
      </c>
      <c r="B1111">
        <f>20.0378</f>
        <v>20.037800000000001</v>
      </c>
      <c r="C1111">
        <f>19.1</f>
        <v>19.100000000000001</v>
      </c>
      <c r="D1111">
        <f>266.02</f>
        <v>266.02</v>
      </c>
    </row>
    <row r="1112" spans="1:4" x14ac:dyDescent="0.2">
      <c r="A1112" s="1">
        <v>43593</v>
      </c>
      <c r="B1112">
        <f>17.6428</f>
        <v>17.642800000000001</v>
      </c>
      <c r="C1112">
        <f>19.4</f>
        <v>19.399999999999999</v>
      </c>
      <c r="D1112" t="e">
        <f>NA()</f>
        <v>#N/A</v>
      </c>
    </row>
    <row r="1113" spans="1:4" x14ac:dyDescent="0.2">
      <c r="A1113" s="1">
        <v>43592</v>
      </c>
      <c r="B1113">
        <f>18.0429</f>
        <v>18.042899999999999</v>
      </c>
      <c r="C1113">
        <f>19.32</f>
        <v>19.32</v>
      </c>
      <c r="D1113">
        <f>211.36</f>
        <v>211.36</v>
      </c>
    </row>
    <row r="1114" spans="1:4" x14ac:dyDescent="0.2">
      <c r="A1114" s="1">
        <v>43591</v>
      </c>
      <c r="B1114">
        <f>15.7375</f>
        <v>15.737500000000001</v>
      </c>
      <c r="C1114">
        <f>15.44</f>
        <v>15.44</v>
      </c>
      <c r="D1114">
        <f>166.81</f>
        <v>166.81</v>
      </c>
    </row>
    <row r="1115" spans="1:4" x14ac:dyDescent="0.2">
      <c r="A1115" s="1">
        <v>43588</v>
      </c>
      <c r="B1115">
        <f>13.3808</f>
        <v>13.380800000000001</v>
      </c>
      <c r="C1115">
        <f>12.87</f>
        <v>12.87</v>
      </c>
      <c r="D1115">
        <f>214.15</f>
        <v>214.15</v>
      </c>
    </row>
    <row r="1116" spans="1:4" x14ac:dyDescent="0.2">
      <c r="A1116" s="1">
        <v>43587</v>
      </c>
      <c r="B1116">
        <f>14.3357</f>
        <v>14.335699999999999</v>
      </c>
      <c r="C1116">
        <f>14.42</f>
        <v>14.42</v>
      </c>
      <c r="D1116">
        <f>269.25</f>
        <v>269.25</v>
      </c>
    </row>
    <row r="1117" spans="1:4" x14ac:dyDescent="0.2">
      <c r="A1117" s="1">
        <v>43586</v>
      </c>
      <c r="B1117" t="e">
        <f>NA()</f>
        <v>#N/A</v>
      </c>
      <c r="C1117">
        <f>14.8</f>
        <v>14.8</v>
      </c>
      <c r="D1117" t="e">
        <f>NA()</f>
        <v>#N/A</v>
      </c>
    </row>
    <row r="1118" spans="1:4" x14ac:dyDescent="0.2">
      <c r="A1118" s="1">
        <v>43585</v>
      </c>
      <c r="B1118">
        <f>13.2624</f>
        <v>13.2624</v>
      </c>
      <c r="C1118">
        <f>13.12</f>
        <v>13.12</v>
      </c>
      <c r="D1118">
        <f>238.44</f>
        <v>238.44</v>
      </c>
    </row>
    <row r="1119" spans="1:4" x14ac:dyDescent="0.2">
      <c r="A1119" s="1">
        <v>43584</v>
      </c>
      <c r="B1119">
        <f>13.0278</f>
        <v>13.027799999999999</v>
      </c>
      <c r="C1119">
        <f>13.11</f>
        <v>13.11</v>
      </c>
      <c r="D1119">
        <f>171.98</f>
        <v>171.98</v>
      </c>
    </row>
    <row r="1120" spans="1:4" x14ac:dyDescent="0.2">
      <c r="A1120" s="1">
        <v>43581</v>
      </c>
      <c r="B1120">
        <f>12.6034</f>
        <v>12.603400000000001</v>
      </c>
      <c r="C1120">
        <f>12.73</f>
        <v>12.73</v>
      </c>
      <c r="D1120">
        <f>108.61</f>
        <v>108.61</v>
      </c>
    </row>
    <row r="1121" spans="1:4" x14ac:dyDescent="0.2">
      <c r="A1121" s="1">
        <v>43580</v>
      </c>
      <c r="B1121">
        <f>12.9572</f>
        <v>12.9572</v>
      </c>
      <c r="C1121">
        <f>13.25</f>
        <v>13.25</v>
      </c>
      <c r="D1121">
        <f>189.61</f>
        <v>189.61</v>
      </c>
    </row>
    <row r="1122" spans="1:4" x14ac:dyDescent="0.2">
      <c r="A1122" s="1">
        <v>43579</v>
      </c>
      <c r="B1122">
        <f>12.5447</f>
        <v>12.544700000000001</v>
      </c>
      <c r="C1122">
        <f>13.14</f>
        <v>13.14</v>
      </c>
      <c r="D1122">
        <f>204.41</f>
        <v>204.41</v>
      </c>
    </row>
    <row r="1123" spans="1:4" x14ac:dyDescent="0.2">
      <c r="A1123" s="1">
        <v>43578</v>
      </c>
      <c r="B1123">
        <f>12.204</f>
        <v>12.204000000000001</v>
      </c>
      <c r="C1123">
        <f>12.28</f>
        <v>12.28</v>
      </c>
      <c r="D1123">
        <f>148.4</f>
        <v>148.4</v>
      </c>
    </row>
    <row r="1124" spans="1:4" x14ac:dyDescent="0.2">
      <c r="A1124" s="1">
        <v>43577</v>
      </c>
      <c r="B1124" t="e">
        <f>NA()</f>
        <v>#N/A</v>
      </c>
      <c r="C1124">
        <f>12.42</f>
        <v>12.42</v>
      </c>
      <c r="D1124" t="e">
        <f>NA()</f>
        <v>#N/A</v>
      </c>
    </row>
    <row r="1125" spans="1:4" x14ac:dyDescent="0.2">
      <c r="A1125" s="1">
        <v>43573</v>
      </c>
      <c r="B1125">
        <f>11.0066</f>
        <v>11.006600000000001</v>
      </c>
      <c r="C1125">
        <f>12.09</f>
        <v>12.09</v>
      </c>
      <c r="D1125">
        <f>195.92</f>
        <v>195.92</v>
      </c>
    </row>
    <row r="1126" spans="1:4" x14ac:dyDescent="0.2">
      <c r="A1126" s="1">
        <v>43572</v>
      </c>
      <c r="B1126">
        <f>11.2672</f>
        <v>11.267200000000001</v>
      </c>
      <c r="C1126">
        <f>12.6</f>
        <v>12.6</v>
      </c>
      <c r="D1126">
        <f>222.46</f>
        <v>222.46</v>
      </c>
    </row>
    <row r="1127" spans="1:4" x14ac:dyDescent="0.2">
      <c r="A1127" s="1">
        <v>43571</v>
      </c>
      <c r="B1127">
        <f>11.3012</f>
        <v>11.3012</v>
      </c>
      <c r="C1127">
        <f>12.18</f>
        <v>12.18</v>
      </c>
      <c r="D1127">
        <f>259.95</f>
        <v>259.95</v>
      </c>
    </row>
    <row r="1128" spans="1:4" x14ac:dyDescent="0.2">
      <c r="A1128" s="1">
        <v>43570</v>
      </c>
      <c r="B1128">
        <f>11.4864</f>
        <v>11.4864</v>
      </c>
      <c r="C1128">
        <f>12.32</f>
        <v>12.32</v>
      </c>
      <c r="D1128">
        <f>212.89</f>
        <v>212.89</v>
      </c>
    </row>
    <row r="1129" spans="1:4" x14ac:dyDescent="0.2">
      <c r="A1129" s="1">
        <v>43567</v>
      </c>
      <c r="B1129">
        <f>11.877</f>
        <v>11.877000000000001</v>
      </c>
      <c r="C1129">
        <f>12.01</f>
        <v>12.01</v>
      </c>
      <c r="D1129">
        <f>196.25</f>
        <v>196.25</v>
      </c>
    </row>
    <row r="1130" spans="1:4" x14ac:dyDescent="0.2">
      <c r="A1130" s="1">
        <v>43566</v>
      </c>
      <c r="B1130">
        <f>12.595</f>
        <v>12.595000000000001</v>
      </c>
      <c r="C1130">
        <f>13.02</f>
        <v>13.02</v>
      </c>
      <c r="D1130">
        <f>215.86</f>
        <v>215.86</v>
      </c>
    </row>
    <row r="1131" spans="1:4" x14ac:dyDescent="0.2">
      <c r="A1131" s="1">
        <v>43565</v>
      </c>
      <c r="B1131">
        <f>14.281</f>
        <v>14.281000000000001</v>
      </c>
      <c r="C1131">
        <f>13.3</f>
        <v>13.3</v>
      </c>
      <c r="D1131">
        <f>315.4</f>
        <v>315.39999999999998</v>
      </c>
    </row>
    <row r="1132" spans="1:4" x14ac:dyDescent="0.2">
      <c r="A1132" s="1">
        <v>43564</v>
      </c>
      <c r="B1132">
        <f>14.5187</f>
        <v>14.518700000000001</v>
      </c>
      <c r="C1132">
        <f>14.28</f>
        <v>14.28</v>
      </c>
      <c r="D1132">
        <f>200.49</f>
        <v>200.49</v>
      </c>
    </row>
    <row r="1133" spans="1:4" x14ac:dyDescent="0.2">
      <c r="A1133" s="1">
        <v>43563</v>
      </c>
      <c r="B1133">
        <f>14.603</f>
        <v>14.603</v>
      </c>
      <c r="C1133">
        <f>13.18</f>
        <v>13.18</v>
      </c>
      <c r="D1133">
        <f>198.16</f>
        <v>198.16</v>
      </c>
    </row>
    <row r="1134" spans="1:4" x14ac:dyDescent="0.2">
      <c r="A1134" s="1">
        <v>43560</v>
      </c>
      <c r="B1134">
        <f>13.552</f>
        <v>13.552</v>
      </c>
      <c r="C1134">
        <f>12.82</f>
        <v>12.82</v>
      </c>
      <c r="D1134">
        <f>266.83</f>
        <v>266.83</v>
      </c>
    </row>
    <row r="1135" spans="1:4" x14ac:dyDescent="0.2">
      <c r="A1135" s="1">
        <v>43559</v>
      </c>
      <c r="B1135">
        <f>14.2468</f>
        <v>14.2468</v>
      </c>
      <c r="C1135">
        <f>13.58</f>
        <v>13.58</v>
      </c>
      <c r="D1135">
        <f>234.59</f>
        <v>234.59</v>
      </c>
    </row>
    <row r="1136" spans="1:4" x14ac:dyDescent="0.2">
      <c r="A1136" s="1">
        <v>43558</v>
      </c>
      <c r="B1136">
        <f>14.1923</f>
        <v>14.192299999999999</v>
      </c>
      <c r="C1136">
        <f>13.74</f>
        <v>13.74</v>
      </c>
      <c r="D1136">
        <f>279.6</f>
        <v>279.60000000000002</v>
      </c>
    </row>
    <row r="1137" spans="1:4" x14ac:dyDescent="0.2">
      <c r="A1137" s="1">
        <v>43557</v>
      </c>
      <c r="B1137">
        <f>14.7848</f>
        <v>14.784800000000001</v>
      </c>
      <c r="C1137">
        <f>13.36</f>
        <v>13.36</v>
      </c>
      <c r="D1137">
        <f>259.31</f>
        <v>259.31</v>
      </c>
    </row>
    <row r="1138" spans="1:4" x14ac:dyDescent="0.2">
      <c r="A1138" s="1">
        <v>43556</v>
      </c>
      <c r="B1138">
        <f>14.7903</f>
        <v>14.7903</v>
      </c>
      <c r="C1138">
        <f>13.4</f>
        <v>13.4</v>
      </c>
      <c r="D1138">
        <f>236.51</f>
        <v>236.51</v>
      </c>
    </row>
    <row r="1139" spans="1:4" x14ac:dyDescent="0.2">
      <c r="A1139" s="1">
        <v>43553</v>
      </c>
      <c r="B1139">
        <f>15.2748</f>
        <v>15.274800000000001</v>
      </c>
      <c r="C1139">
        <f>13.71</f>
        <v>13.71</v>
      </c>
      <c r="D1139">
        <f>271.47</f>
        <v>271.47000000000003</v>
      </c>
    </row>
    <row r="1140" spans="1:4" x14ac:dyDescent="0.2">
      <c r="A1140" s="1">
        <v>43552</v>
      </c>
      <c r="B1140">
        <f>16.6715</f>
        <v>16.671500000000002</v>
      </c>
      <c r="C1140">
        <f>14.43</f>
        <v>14.43</v>
      </c>
      <c r="D1140">
        <f>240.87</f>
        <v>240.87</v>
      </c>
    </row>
    <row r="1141" spans="1:4" x14ac:dyDescent="0.2">
      <c r="A1141" s="1">
        <v>43551</v>
      </c>
      <c r="B1141">
        <f>16.3337</f>
        <v>16.3337</v>
      </c>
      <c r="C1141">
        <f>15.15</f>
        <v>15.15</v>
      </c>
      <c r="D1141">
        <f>398.84</f>
        <v>398.84</v>
      </c>
    </row>
    <row r="1142" spans="1:4" x14ac:dyDescent="0.2">
      <c r="A1142" s="1">
        <v>43550</v>
      </c>
      <c r="B1142">
        <f>15.8457</f>
        <v>15.845700000000001</v>
      </c>
      <c r="C1142">
        <f>14.68</f>
        <v>14.68</v>
      </c>
      <c r="D1142">
        <f>237.62</f>
        <v>237.62</v>
      </c>
    </row>
    <row r="1143" spans="1:4" x14ac:dyDescent="0.2">
      <c r="A1143" s="1">
        <v>43549</v>
      </c>
      <c r="B1143">
        <f>17.3356</f>
        <v>17.335599999999999</v>
      </c>
      <c r="C1143">
        <f>16.33</f>
        <v>16.329999999999998</v>
      </c>
      <c r="D1143">
        <f>267.56</f>
        <v>267.56</v>
      </c>
    </row>
    <row r="1144" spans="1:4" x14ac:dyDescent="0.2">
      <c r="A1144" s="1">
        <v>43546</v>
      </c>
      <c r="B1144">
        <f>17.6785</f>
        <v>17.6785</v>
      </c>
      <c r="C1144">
        <f>16.48</f>
        <v>16.48</v>
      </c>
      <c r="D1144">
        <f>226.84</f>
        <v>226.84</v>
      </c>
    </row>
    <row r="1145" spans="1:4" x14ac:dyDescent="0.2">
      <c r="A1145" s="1">
        <v>43545</v>
      </c>
      <c r="B1145">
        <f>15.6876</f>
        <v>15.6876</v>
      </c>
      <c r="C1145">
        <f>13.63</f>
        <v>13.63</v>
      </c>
      <c r="D1145" t="e">
        <f>NA()</f>
        <v>#N/A</v>
      </c>
    </row>
    <row r="1146" spans="1:4" x14ac:dyDescent="0.2">
      <c r="A1146" s="1">
        <v>43544</v>
      </c>
      <c r="B1146">
        <f>14.4778</f>
        <v>14.4778</v>
      </c>
      <c r="C1146">
        <f>13.91</f>
        <v>13.91</v>
      </c>
      <c r="D1146">
        <f>442.03</f>
        <v>442.03</v>
      </c>
    </row>
    <row r="1147" spans="1:4" x14ac:dyDescent="0.2">
      <c r="A1147" s="1">
        <v>43543</v>
      </c>
      <c r="B1147">
        <f>13.0007</f>
        <v>13.0007</v>
      </c>
      <c r="C1147">
        <f>13.56</f>
        <v>13.56</v>
      </c>
      <c r="D1147">
        <f>311.01</f>
        <v>311.01</v>
      </c>
    </row>
    <row r="1148" spans="1:4" x14ac:dyDescent="0.2">
      <c r="A1148" s="1">
        <v>43542</v>
      </c>
      <c r="B1148">
        <f>13.2122</f>
        <v>13.212199999999999</v>
      </c>
      <c r="C1148">
        <f>13.1</f>
        <v>13.1</v>
      </c>
      <c r="D1148">
        <f>242.94</f>
        <v>242.94</v>
      </c>
    </row>
    <row r="1149" spans="1:4" x14ac:dyDescent="0.2">
      <c r="A1149" s="1">
        <v>43539</v>
      </c>
      <c r="B1149">
        <f>12.9242</f>
        <v>12.924200000000001</v>
      </c>
      <c r="C1149">
        <f>12.88</f>
        <v>12.88</v>
      </c>
      <c r="D1149">
        <f>575.07</f>
        <v>575.07000000000005</v>
      </c>
    </row>
    <row r="1150" spans="1:4" x14ac:dyDescent="0.2">
      <c r="A1150" s="1">
        <v>43538</v>
      </c>
      <c r="B1150">
        <f>13.6478</f>
        <v>13.6478</v>
      </c>
      <c r="C1150">
        <f>13.5</f>
        <v>13.5</v>
      </c>
      <c r="D1150">
        <f>262.36</f>
        <v>262.36</v>
      </c>
    </row>
    <row r="1151" spans="1:4" x14ac:dyDescent="0.2">
      <c r="A1151" s="1">
        <v>43537</v>
      </c>
      <c r="B1151">
        <f>13.9503</f>
        <v>13.9503</v>
      </c>
      <c r="C1151">
        <f>13.41</f>
        <v>13.41</v>
      </c>
      <c r="D1151">
        <f>258.27</f>
        <v>258.27</v>
      </c>
    </row>
    <row r="1152" spans="1:4" x14ac:dyDescent="0.2">
      <c r="A1152" s="1">
        <v>43536</v>
      </c>
      <c r="B1152">
        <f>13.8356</f>
        <v>13.835599999999999</v>
      </c>
      <c r="C1152">
        <f>13.77</f>
        <v>13.77</v>
      </c>
      <c r="D1152">
        <f>217.43</f>
        <v>217.43</v>
      </c>
    </row>
    <row r="1153" spans="1:4" x14ac:dyDescent="0.2">
      <c r="A1153" s="1">
        <v>43535</v>
      </c>
      <c r="B1153">
        <f>14.1546</f>
        <v>14.1546</v>
      </c>
      <c r="C1153">
        <f>14.33</f>
        <v>14.33</v>
      </c>
      <c r="D1153">
        <f>210.85</f>
        <v>210.85</v>
      </c>
    </row>
    <row r="1154" spans="1:4" x14ac:dyDescent="0.2">
      <c r="A1154" s="1">
        <v>43532</v>
      </c>
      <c r="B1154">
        <f>14.411</f>
        <v>14.411</v>
      </c>
      <c r="C1154">
        <f>16.05</f>
        <v>16.05</v>
      </c>
      <c r="D1154">
        <f>223.67</f>
        <v>223.67</v>
      </c>
    </row>
    <row r="1155" spans="1:4" x14ac:dyDescent="0.2">
      <c r="A1155" s="1">
        <v>43531</v>
      </c>
      <c r="B1155">
        <f>13.8671</f>
        <v>13.867100000000001</v>
      </c>
      <c r="C1155">
        <f>16.59</f>
        <v>16.59</v>
      </c>
      <c r="D1155">
        <f>246.1</f>
        <v>246.1</v>
      </c>
    </row>
    <row r="1156" spans="1:4" x14ac:dyDescent="0.2">
      <c r="A1156" s="1">
        <v>43530</v>
      </c>
      <c r="B1156">
        <f>13.4409</f>
        <v>13.440899999999999</v>
      </c>
      <c r="C1156">
        <f>15.74</f>
        <v>15.74</v>
      </c>
      <c r="D1156">
        <f>235.9</f>
        <v>235.9</v>
      </c>
    </row>
    <row r="1157" spans="1:4" x14ac:dyDescent="0.2">
      <c r="A1157" s="1">
        <v>43529</v>
      </c>
      <c r="B1157">
        <f>13.5075</f>
        <v>13.5075</v>
      </c>
      <c r="C1157">
        <f>14.74</f>
        <v>14.74</v>
      </c>
      <c r="D1157">
        <f>234.21</f>
        <v>234.21</v>
      </c>
    </row>
    <row r="1158" spans="1:4" x14ac:dyDescent="0.2">
      <c r="A1158" s="1">
        <v>43528</v>
      </c>
      <c r="B1158">
        <f>13.6499</f>
        <v>13.649900000000001</v>
      </c>
      <c r="C1158">
        <f>14.63</f>
        <v>14.63</v>
      </c>
      <c r="D1158">
        <f>223.28</f>
        <v>223.28</v>
      </c>
    </row>
    <row r="1159" spans="1:4" x14ac:dyDescent="0.2">
      <c r="A1159" s="1">
        <v>43525</v>
      </c>
      <c r="B1159">
        <f>13.3709</f>
        <v>13.370900000000001</v>
      </c>
      <c r="C1159">
        <f>13.57</f>
        <v>13.57</v>
      </c>
      <c r="D1159">
        <f>257.55</f>
        <v>257.55</v>
      </c>
    </row>
    <row r="1160" spans="1:4" x14ac:dyDescent="0.2">
      <c r="A1160" s="1">
        <v>43524</v>
      </c>
      <c r="B1160">
        <f>13.5876</f>
        <v>13.5876</v>
      </c>
      <c r="C1160">
        <f>14.78</f>
        <v>14.78</v>
      </c>
      <c r="D1160">
        <f>290.46</f>
        <v>290.45999999999998</v>
      </c>
    </row>
    <row r="1161" spans="1:4" x14ac:dyDescent="0.2">
      <c r="A1161" s="1">
        <v>43523</v>
      </c>
      <c r="B1161">
        <f>14.3497</f>
        <v>14.3497</v>
      </c>
      <c r="C1161">
        <f>14.7</f>
        <v>14.7</v>
      </c>
      <c r="D1161">
        <f>201.61</f>
        <v>201.61</v>
      </c>
    </row>
    <row r="1162" spans="1:4" x14ac:dyDescent="0.2">
      <c r="A1162" s="1">
        <v>43522</v>
      </c>
      <c r="B1162">
        <f>13.8942</f>
        <v>13.8942</v>
      </c>
      <c r="C1162">
        <f>15.17</f>
        <v>15.17</v>
      </c>
      <c r="D1162">
        <f>250.06</f>
        <v>250.06</v>
      </c>
    </row>
    <row r="1163" spans="1:4" x14ac:dyDescent="0.2">
      <c r="A1163" s="1">
        <v>43521</v>
      </c>
      <c r="B1163">
        <f>13.8464</f>
        <v>13.846399999999999</v>
      </c>
      <c r="C1163">
        <f>14.85</f>
        <v>14.85</v>
      </c>
      <c r="D1163">
        <f>207.14</f>
        <v>207.14</v>
      </c>
    </row>
    <row r="1164" spans="1:4" x14ac:dyDescent="0.2">
      <c r="A1164" s="1">
        <v>43518</v>
      </c>
      <c r="B1164">
        <f>13.9767</f>
        <v>13.976699999999999</v>
      </c>
      <c r="C1164">
        <f>13.51</f>
        <v>13.51</v>
      </c>
      <c r="D1164">
        <f>239.55</f>
        <v>239.55</v>
      </c>
    </row>
    <row r="1165" spans="1:4" x14ac:dyDescent="0.2">
      <c r="A1165" s="1">
        <v>43517</v>
      </c>
      <c r="B1165">
        <f>14.3444</f>
        <v>14.3444</v>
      </c>
      <c r="C1165">
        <f>14.46</f>
        <v>14.46</v>
      </c>
      <c r="D1165">
        <f>310.19</f>
        <v>310.19</v>
      </c>
    </row>
    <row r="1166" spans="1:4" x14ac:dyDescent="0.2">
      <c r="A1166" s="1">
        <v>43516</v>
      </c>
      <c r="B1166">
        <f>14.2742</f>
        <v>14.2742</v>
      </c>
      <c r="C1166">
        <f>14.02</f>
        <v>14.02</v>
      </c>
      <c r="D1166">
        <f>300.01</f>
        <v>300.01</v>
      </c>
    </row>
    <row r="1167" spans="1:4" x14ac:dyDescent="0.2">
      <c r="A1167" s="1">
        <v>43515</v>
      </c>
      <c r="B1167">
        <f>14.6143</f>
        <v>14.6143</v>
      </c>
      <c r="C1167">
        <f>14.88</f>
        <v>14.88</v>
      </c>
      <c r="D1167">
        <f>211.18</f>
        <v>211.18</v>
      </c>
    </row>
    <row r="1168" spans="1:4" x14ac:dyDescent="0.2">
      <c r="A1168" s="1">
        <v>43514</v>
      </c>
      <c r="B1168">
        <f>14.5378</f>
        <v>14.537800000000001</v>
      </c>
      <c r="C1168" t="e">
        <f>NA()</f>
        <v>#N/A</v>
      </c>
      <c r="D1168">
        <f>176.33</f>
        <v>176.33</v>
      </c>
    </row>
    <row r="1169" spans="1:4" x14ac:dyDescent="0.2">
      <c r="A1169" s="1">
        <v>43511</v>
      </c>
      <c r="B1169">
        <f>14.2944</f>
        <v>14.2944</v>
      </c>
      <c r="C1169">
        <f>14.91</f>
        <v>14.91</v>
      </c>
      <c r="D1169">
        <f>244.65</f>
        <v>244.65</v>
      </c>
    </row>
    <row r="1170" spans="1:4" x14ac:dyDescent="0.2">
      <c r="A1170" s="1">
        <v>43510</v>
      </c>
      <c r="B1170">
        <f>15.757</f>
        <v>15.757</v>
      </c>
      <c r="C1170">
        <f>16.22</f>
        <v>16.22</v>
      </c>
      <c r="D1170">
        <f>256.19</f>
        <v>256.19</v>
      </c>
    </row>
    <row r="1171" spans="1:4" x14ac:dyDescent="0.2">
      <c r="A1171" s="1">
        <v>43509</v>
      </c>
      <c r="B1171">
        <f>13.9695</f>
        <v>13.9695</v>
      </c>
      <c r="C1171">
        <f>15.65</f>
        <v>15.65</v>
      </c>
      <c r="D1171">
        <f>250.3</f>
        <v>250.3</v>
      </c>
    </row>
    <row r="1172" spans="1:4" x14ac:dyDescent="0.2">
      <c r="A1172" s="1">
        <v>43508</v>
      </c>
      <c r="B1172">
        <f>14.2814</f>
        <v>14.2814</v>
      </c>
      <c r="C1172">
        <f>15.43</f>
        <v>15.43</v>
      </c>
      <c r="D1172">
        <f>223.28</f>
        <v>223.28</v>
      </c>
    </row>
    <row r="1173" spans="1:4" x14ac:dyDescent="0.2">
      <c r="A1173" s="1">
        <v>43507</v>
      </c>
      <c r="B1173">
        <f>15.2186</f>
        <v>15.2186</v>
      </c>
      <c r="C1173">
        <f>15.97</f>
        <v>15.97</v>
      </c>
      <c r="D1173">
        <f>199.12</f>
        <v>199.12</v>
      </c>
    </row>
    <row r="1174" spans="1:4" x14ac:dyDescent="0.2">
      <c r="A1174" s="1">
        <v>43504</v>
      </c>
      <c r="B1174">
        <f>16.3132</f>
        <v>16.313199999999998</v>
      </c>
      <c r="C1174">
        <f>15.72</f>
        <v>15.72</v>
      </c>
      <c r="D1174">
        <f>306.12</f>
        <v>306.12</v>
      </c>
    </row>
    <row r="1175" spans="1:4" x14ac:dyDescent="0.2">
      <c r="A1175" s="1">
        <v>43503</v>
      </c>
      <c r="B1175">
        <f>16.1706</f>
        <v>16.1706</v>
      </c>
      <c r="C1175">
        <f>16.37</f>
        <v>16.37</v>
      </c>
      <c r="D1175">
        <f>238.26</f>
        <v>238.26</v>
      </c>
    </row>
    <row r="1176" spans="1:4" x14ac:dyDescent="0.2">
      <c r="A1176" s="1">
        <v>43502</v>
      </c>
      <c r="B1176">
        <f>13.616</f>
        <v>13.616</v>
      </c>
      <c r="C1176">
        <f>15.38</f>
        <v>15.38</v>
      </c>
      <c r="D1176">
        <f>224.58</f>
        <v>224.58</v>
      </c>
    </row>
    <row r="1177" spans="1:4" x14ac:dyDescent="0.2">
      <c r="A1177" s="1">
        <v>43501</v>
      </c>
      <c r="B1177">
        <f>13.5808</f>
        <v>13.5808</v>
      </c>
      <c r="C1177">
        <f>15.57</f>
        <v>15.57</v>
      </c>
      <c r="D1177">
        <f>219.22</f>
        <v>219.22</v>
      </c>
    </row>
    <row r="1178" spans="1:4" x14ac:dyDescent="0.2">
      <c r="A1178" s="1">
        <v>43500</v>
      </c>
      <c r="B1178">
        <f>14.2075</f>
        <v>14.2075</v>
      </c>
      <c r="C1178">
        <f>15.73</f>
        <v>15.73</v>
      </c>
      <c r="D1178">
        <f>210.07</f>
        <v>210.07</v>
      </c>
    </row>
    <row r="1179" spans="1:4" x14ac:dyDescent="0.2">
      <c r="A1179" s="1">
        <v>43497</v>
      </c>
      <c r="B1179">
        <f>13.9879</f>
        <v>13.9879</v>
      </c>
      <c r="C1179">
        <f>16.14</f>
        <v>16.14</v>
      </c>
      <c r="D1179">
        <f>240.37</f>
        <v>240.37</v>
      </c>
    </row>
    <row r="1180" spans="1:4" x14ac:dyDescent="0.2">
      <c r="A1180" s="1">
        <v>43496</v>
      </c>
      <c r="B1180">
        <f>15.1126</f>
        <v>15.1126</v>
      </c>
      <c r="C1180">
        <f>16.57</f>
        <v>16.57</v>
      </c>
      <c r="D1180">
        <f>349.44</f>
        <v>349.44</v>
      </c>
    </row>
    <row r="1181" spans="1:4" x14ac:dyDescent="0.2">
      <c r="A1181" s="1">
        <v>43495</v>
      </c>
      <c r="B1181">
        <f>16.0154</f>
        <v>16.0154</v>
      </c>
      <c r="C1181">
        <f>17.66</f>
        <v>17.66</v>
      </c>
      <c r="D1181">
        <f>265.71</f>
        <v>265.70999999999998</v>
      </c>
    </row>
    <row r="1182" spans="1:4" x14ac:dyDescent="0.2">
      <c r="A1182" s="1">
        <v>43494</v>
      </c>
      <c r="B1182">
        <f>16.0456</f>
        <v>16.0456</v>
      </c>
      <c r="C1182">
        <f>19.13</f>
        <v>19.13</v>
      </c>
      <c r="D1182">
        <f>302.92</f>
        <v>302.92</v>
      </c>
    </row>
    <row r="1183" spans="1:4" x14ac:dyDescent="0.2">
      <c r="A1183" s="1">
        <v>43493</v>
      </c>
      <c r="B1183">
        <f>16.1551</f>
        <v>16.155100000000001</v>
      </c>
      <c r="C1183">
        <f>18.87</f>
        <v>18.87</v>
      </c>
      <c r="D1183">
        <f>169.58</f>
        <v>169.58</v>
      </c>
    </row>
    <row r="1184" spans="1:4" x14ac:dyDescent="0.2">
      <c r="A1184" s="1">
        <v>43490</v>
      </c>
      <c r="B1184">
        <f>14.7823</f>
        <v>14.782299999999999</v>
      </c>
      <c r="C1184">
        <f>17.42</f>
        <v>17.420000000000002</v>
      </c>
      <c r="D1184">
        <f>237.79</f>
        <v>237.79</v>
      </c>
    </row>
    <row r="1185" spans="1:4" x14ac:dyDescent="0.2">
      <c r="A1185" s="1">
        <v>43489</v>
      </c>
      <c r="B1185">
        <f>15.5603</f>
        <v>15.5603</v>
      </c>
      <c r="C1185">
        <f>18.89</f>
        <v>18.89</v>
      </c>
      <c r="D1185">
        <f>263.43</f>
        <v>263.43</v>
      </c>
    </row>
    <row r="1186" spans="1:4" x14ac:dyDescent="0.2">
      <c r="A1186" s="1">
        <v>43488</v>
      </c>
      <c r="B1186">
        <f>16.4792</f>
        <v>16.479199999999999</v>
      </c>
      <c r="C1186">
        <f>19.52</f>
        <v>19.52</v>
      </c>
      <c r="D1186">
        <f>178.25</f>
        <v>178.25</v>
      </c>
    </row>
    <row r="1187" spans="1:4" x14ac:dyDescent="0.2">
      <c r="A1187" s="1">
        <v>43487</v>
      </c>
      <c r="B1187">
        <f>15.9971</f>
        <v>15.9971</v>
      </c>
      <c r="C1187">
        <f>20.8</f>
        <v>20.8</v>
      </c>
      <c r="D1187">
        <f>173.03</f>
        <v>173.03</v>
      </c>
    </row>
    <row r="1188" spans="1:4" x14ac:dyDescent="0.2">
      <c r="A1188" s="1">
        <v>43486</v>
      </c>
      <c r="B1188">
        <f>15.385</f>
        <v>15.385</v>
      </c>
      <c r="C1188" t="e">
        <f>NA()</f>
        <v>#N/A</v>
      </c>
      <c r="D1188">
        <f>172.34</f>
        <v>172.34</v>
      </c>
    </row>
    <row r="1189" spans="1:4" x14ac:dyDescent="0.2">
      <c r="A1189" s="1">
        <v>43483</v>
      </c>
      <c r="B1189">
        <f>14.28</f>
        <v>14.28</v>
      </c>
      <c r="C1189">
        <f>17.8</f>
        <v>17.8</v>
      </c>
      <c r="D1189">
        <f>185.94</f>
        <v>185.94</v>
      </c>
    </row>
    <row r="1190" spans="1:4" x14ac:dyDescent="0.2">
      <c r="A1190" s="1">
        <v>43482</v>
      </c>
      <c r="B1190">
        <f>15.4064</f>
        <v>15.4064</v>
      </c>
      <c r="C1190">
        <f>18.06</f>
        <v>18.059999999999999</v>
      </c>
      <c r="D1190">
        <f>276.84</f>
        <v>276.83999999999997</v>
      </c>
    </row>
    <row r="1191" spans="1:4" x14ac:dyDescent="0.2">
      <c r="A1191" s="1">
        <v>43481</v>
      </c>
      <c r="B1191">
        <f>15.7177</f>
        <v>15.717700000000001</v>
      </c>
      <c r="C1191">
        <f>19.04</f>
        <v>19.04</v>
      </c>
      <c r="D1191">
        <f>188.81</f>
        <v>188.81</v>
      </c>
    </row>
    <row r="1192" spans="1:4" x14ac:dyDescent="0.2">
      <c r="A1192" s="1">
        <v>43480</v>
      </c>
      <c r="B1192">
        <f>16.9334</f>
        <v>16.933399999999999</v>
      </c>
      <c r="C1192">
        <f>18.6</f>
        <v>18.600000000000001</v>
      </c>
      <c r="D1192">
        <f>191.93</f>
        <v>191.93</v>
      </c>
    </row>
    <row r="1193" spans="1:4" x14ac:dyDescent="0.2">
      <c r="A1193" s="1">
        <v>43479</v>
      </c>
      <c r="B1193">
        <f>17.8987</f>
        <v>17.898700000000002</v>
      </c>
      <c r="C1193">
        <f>19.07</f>
        <v>19.07</v>
      </c>
      <c r="D1193">
        <f>157.84</f>
        <v>157.84</v>
      </c>
    </row>
    <row r="1194" spans="1:4" x14ac:dyDescent="0.2">
      <c r="A1194" s="1">
        <v>43476</v>
      </c>
      <c r="B1194">
        <f>17.4182</f>
        <v>17.418199999999999</v>
      </c>
      <c r="C1194">
        <f>18.19</f>
        <v>18.190000000000001</v>
      </c>
      <c r="D1194">
        <f>181.84</f>
        <v>181.84</v>
      </c>
    </row>
    <row r="1195" spans="1:4" x14ac:dyDescent="0.2">
      <c r="A1195" s="1">
        <v>43475</v>
      </c>
      <c r="B1195">
        <f>18.6879</f>
        <v>18.687899999999999</v>
      </c>
      <c r="C1195">
        <f>19.5</f>
        <v>19.5</v>
      </c>
      <c r="D1195">
        <f>199.05</f>
        <v>199.05</v>
      </c>
    </row>
    <row r="1196" spans="1:4" x14ac:dyDescent="0.2">
      <c r="A1196" s="1">
        <v>43474</v>
      </c>
      <c r="B1196">
        <f>18.997</f>
        <v>18.997</v>
      </c>
      <c r="C1196">
        <f>19.98</f>
        <v>19.98</v>
      </c>
      <c r="D1196">
        <f>196.81</f>
        <v>196.81</v>
      </c>
    </row>
    <row r="1197" spans="1:4" x14ac:dyDescent="0.2">
      <c r="A1197" s="1">
        <v>43473</v>
      </c>
      <c r="B1197">
        <f>19.4803</f>
        <v>19.4803</v>
      </c>
      <c r="C1197">
        <f>20.47</f>
        <v>20.47</v>
      </c>
      <c r="D1197">
        <f>187.15</f>
        <v>187.15</v>
      </c>
    </row>
    <row r="1198" spans="1:4" x14ac:dyDescent="0.2">
      <c r="A1198" s="1">
        <v>43472</v>
      </c>
      <c r="B1198">
        <f>20.151</f>
        <v>20.151</v>
      </c>
      <c r="C1198">
        <f>21.4</f>
        <v>21.4</v>
      </c>
      <c r="D1198">
        <f>161.6</f>
        <v>161.6</v>
      </c>
    </row>
    <row r="1199" spans="1:4" x14ac:dyDescent="0.2">
      <c r="A1199" s="1">
        <v>43469</v>
      </c>
      <c r="B1199">
        <f>20.4827</f>
        <v>20.482700000000001</v>
      </c>
      <c r="C1199">
        <f>21.38</f>
        <v>21.38</v>
      </c>
      <c r="D1199">
        <f>142.47</f>
        <v>142.47</v>
      </c>
    </row>
    <row r="1200" spans="1:4" x14ac:dyDescent="0.2">
      <c r="A1200" s="1">
        <v>43468</v>
      </c>
      <c r="B1200">
        <f>22.9978</f>
        <v>22.997800000000002</v>
      </c>
      <c r="C1200">
        <f>25.45</f>
        <v>25.45</v>
      </c>
      <c r="D1200">
        <f>164.01</f>
        <v>164.01</v>
      </c>
    </row>
    <row r="1201" spans="1:4" x14ac:dyDescent="0.2">
      <c r="A1201" s="1">
        <v>43467</v>
      </c>
      <c r="B1201">
        <f>23.3924</f>
        <v>23.392399999999999</v>
      </c>
      <c r="C1201">
        <f>23.22</f>
        <v>23.22</v>
      </c>
      <c r="D1201">
        <f>132.15</f>
        <v>132.15</v>
      </c>
    </row>
    <row r="1202" spans="1:4" x14ac:dyDescent="0.2">
      <c r="A1202" s="1">
        <v>43465</v>
      </c>
      <c r="B1202" t="e">
        <f>NA()</f>
        <v>#N/A</v>
      </c>
      <c r="C1202">
        <f>25.42</f>
        <v>25.42</v>
      </c>
      <c r="D1202">
        <f>72.33</f>
        <v>72.33</v>
      </c>
    </row>
    <row r="1203" spans="1:4" x14ac:dyDescent="0.2">
      <c r="A1203" s="1">
        <v>43462</v>
      </c>
      <c r="B1203">
        <f>23.8643</f>
        <v>23.8643</v>
      </c>
      <c r="C1203">
        <f>28.34</f>
        <v>28.34</v>
      </c>
      <c r="D1203">
        <f>120.38</f>
        <v>120.38</v>
      </c>
    </row>
    <row r="1204" spans="1:4" x14ac:dyDescent="0.2">
      <c r="A1204" s="1">
        <v>43461</v>
      </c>
      <c r="B1204">
        <f>25.6882</f>
        <v>25.688199999999998</v>
      </c>
      <c r="C1204">
        <f>29.96</f>
        <v>29.96</v>
      </c>
      <c r="D1204">
        <f>149.75</f>
        <v>149.75</v>
      </c>
    </row>
    <row r="1205" spans="1:4" x14ac:dyDescent="0.2">
      <c r="A1205" s="1">
        <v>43460</v>
      </c>
      <c r="B1205" t="e">
        <f>NA()</f>
        <v>#N/A</v>
      </c>
      <c r="C1205">
        <f>30.41</f>
        <v>30.41</v>
      </c>
      <c r="D1205" t="e">
        <f>NA()</f>
        <v>#N/A</v>
      </c>
    </row>
    <row r="1206" spans="1:4" x14ac:dyDescent="0.2">
      <c r="A1206" s="1">
        <v>43458</v>
      </c>
      <c r="B1206" t="e">
        <f>NA()</f>
        <v>#N/A</v>
      </c>
      <c r="C1206">
        <f>36.07</f>
        <v>36.07</v>
      </c>
      <c r="D1206">
        <f>63.7</f>
        <v>63.7</v>
      </c>
    </row>
    <row r="1207" spans="1:4" x14ac:dyDescent="0.2">
      <c r="A1207" s="1">
        <v>43455</v>
      </c>
      <c r="B1207">
        <f>20.3984</f>
        <v>20.398399999999999</v>
      </c>
      <c r="C1207">
        <f>30.11</f>
        <v>30.11</v>
      </c>
      <c r="D1207">
        <f>503.5</f>
        <v>503.5</v>
      </c>
    </row>
    <row r="1208" spans="1:4" x14ac:dyDescent="0.2">
      <c r="A1208" s="1">
        <v>43454</v>
      </c>
      <c r="B1208">
        <f>20.733</f>
        <v>20.733000000000001</v>
      </c>
      <c r="C1208">
        <f>28.38</f>
        <v>28.38</v>
      </c>
      <c r="D1208">
        <f>381.71</f>
        <v>381.71</v>
      </c>
    </row>
    <row r="1209" spans="1:4" x14ac:dyDescent="0.2">
      <c r="A1209" s="1">
        <v>43453</v>
      </c>
      <c r="B1209">
        <f>19.6024</f>
        <v>19.602399999999999</v>
      </c>
      <c r="C1209">
        <f>25.58</f>
        <v>25.58</v>
      </c>
      <c r="D1209">
        <f>203.26</f>
        <v>203.26</v>
      </c>
    </row>
    <row r="1210" spans="1:4" x14ac:dyDescent="0.2">
      <c r="A1210" s="1">
        <v>43452</v>
      </c>
      <c r="B1210">
        <f>20.0366</f>
        <v>20.0366</v>
      </c>
      <c r="C1210">
        <f>25.58</f>
        <v>25.58</v>
      </c>
      <c r="D1210">
        <f>212.21</f>
        <v>212.21</v>
      </c>
    </row>
    <row r="1211" spans="1:4" x14ac:dyDescent="0.2">
      <c r="A1211" s="1">
        <v>43451</v>
      </c>
      <c r="B1211">
        <f>19.8187</f>
        <v>19.8187</v>
      </c>
      <c r="C1211">
        <f>24.52</f>
        <v>24.52</v>
      </c>
      <c r="D1211" t="e">
        <f>NA()</f>
        <v>#N/A</v>
      </c>
    </row>
    <row r="1212" spans="1:4" x14ac:dyDescent="0.2">
      <c r="A1212" s="1">
        <v>43448</v>
      </c>
      <c r="B1212">
        <f>19.1643</f>
        <v>19.164300000000001</v>
      </c>
      <c r="C1212">
        <f>21.63</f>
        <v>21.63</v>
      </c>
      <c r="D1212">
        <f>217.53</f>
        <v>217.53</v>
      </c>
    </row>
    <row r="1213" spans="1:4" x14ac:dyDescent="0.2">
      <c r="A1213" s="1">
        <v>43447</v>
      </c>
      <c r="B1213">
        <f>19.1773</f>
        <v>19.177299999999999</v>
      </c>
      <c r="C1213">
        <f>20.65</f>
        <v>20.65</v>
      </c>
      <c r="D1213">
        <f>247.77</f>
        <v>247.77</v>
      </c>
    </row>
    <row r="1214" spans="1:4" x14ac:dyDescent="0.2">
      <c r="A1214" s="1">
        <v>43446</v>
      </c>
      <c r="B1214">
        <f>19.7254</f>
        <v>19.7254</v>
      </c>
      <c r="C1214">
        <f>21.46</f>
        <v>21.46</v>
      </c>
      <c r="D1214">
        <f>251.71</f>
        <v>251.71</v>
      </c>
    </row>
    <row r="1215" spans="1:4" x14ac:dyDescent="0.2">
      <c r="A1215" s="1">
        <v>43445</v>
      </c>
      <c r="B1215">
        <f>21.0925</f>
        <v>21.092500000000001</v>
      </c>
      <c r="C1215">
        <f>21.76</f>
        <v>21.76</v>
      </c>
      <c r="D1215">
        <f>368.31</f>
        <v>368.31</v>
      </c>
    </row>
    <row r="1216" spans="1:4" x14ac:dyDescent="0.2">
      <c r="A1216" s="1">
        <v>43444</v>
      </c>
      <c r="B1216">
        <f>23.6592</f>
        <v>23.659199999999998</v>
      </c>
      <c r="C1216">
        <f>22.64</f>
        <v>22.64</v>
      </c>
      <c r="D1216">
        <f>228.24</f>
        <v>228.24</v>
      </c>
    </row>
    <row r="1217" spans="1:4" x14ac:dyDescent="0.2">
      <c r="A1217" s="1">
        <v>43441</v>
      </c>
      <c r="B1217">
        <f>21.6688</f>
        <v>21.668800000000001</v>
      </c>
      <c r="C1217">
        <f>23.23</f>
        <v>23.23</v>
      </c>
      <c r="D1217">
        <f>263.33</f>
        <v>263.33</v>
      </c>
    </row>
    <row r="1218" spans="1:4" x14ac:dyDescent="0.2">
      <c r="A1218" s="1">
        <v>43440</v>
      </c>
      <c r="B1218">
        <f>24.6155</f>
        <v>24.615500000000001</v>
      </c>
      <c r="C1218">
        <f>21.19</f>
        <v>21.19</v>
      </c>
      <c r="D1218">
        <f>409.43</f>
        <v>409.43</v>
      </c>
    </row>
    <row r="1219" spans="1:4" x14ac:dyDescent="0.2">
      <c r="A1219" s="1">
        <v>43439</v>
      </c>
      <c r="B1219">
        <f>19.0904</f>
        <v>19.090399999999999</v>
      </c>
      <c r="C1219" t="e">
        <f>NA()</f>
        <v>#N/A</v>
      </c>
      <c r="D1219">
        <f>244.1</f>
        <v>244.1</v>
      </c>
    </row>
    <row r="1220" spans="1:4" x14ac:dyDescent="0.2">
      <c r="A1220" s="1">
        <v>43438</v>
      </c>
      <c r="B1220">
        <f>17.2085</f>
        <v>17.208500000000001</v>
      </c>
      <c r="C1220">
        <f>20.74</f>
        <v>20.74</v>
      </c>
      <c r="D1220">
        <f>261.29</f>
        <v>261.29000000000002</v>
      </c>
    </row>
    <row r="1221" spans="1:4" x14ac:dyDescent="0.2">
      <c r="A1221" s="1">
        <v>43437</v>
      </c>
      <c r="B1221">
        <f>16.9152</f>
        <v>16.915199999999999</v>
      </c>
      <c r="C1221">
        <f>16.44</f>
        <v>16.440000000000001</v>
      </c>
      <c r="D1221">
        <f>234.73</f>
        <v>234.73</v>
      </c>
    </row>
    <row r="1222" spans="1:4" x14ac:dyDescent="0.2">
      <c r="A1222" s="1">
        <v>43434</v>
      </c>
      <c r="B1222">
        <f>18.4935</f>
        <v>18.493500000000001</v>
      </c>
      <c r="C1222">
        <f>18.07</f>
        <v>18.07</v>
      </c>
      <c r="D1222">
        <f>359.93</f>
        <v>359.93</v>
      </c>
    </row>
    <row r="1223" spans="1:4" x14ac:dyDescent="0.2">
      <c r="A1223" s="1">
        <v>43433</v>
      </c>
      <c r="B1223">
        <f>18.61</f>
        <v>18.61</v>
      </c>
      <c r="C1223">
        <f>18.79</f>
        <v>18.79</v>
      </c>
      <c r="D1223">
        <f>299.53</f>
        <v>299.52999999999997</v>
      </c>
    </row>
    <row r="1224" spans="1:4" x14ac:dyDescent="0.2">
      <c r="A1224" s="1">
        <v>43432</v>
      </c>
      <c r="B1224">
        <f>18.5952</f>
        <v>18.595199999999998</v>
      </c>
      <c r="C1224">
        <f>18.49</f>
        <v>18.489999999999998</v>
      </c>
      <c r="D1224">
        <f>369.85</f>
        <v>369.85</v>
      </c>
    </row>
    <row r="1225" spans="1:4" x14ac:dyDescent="0.2">
      <c r="A1225" s="1">
        <v>43431</v>
      </c>
      <c r="B1225">
        <f>18.479</f>
        <v>18.478999999999999</v>
      </c>
      <c r="C1225">
        <f>19.02</f>
        <v>19.02</v>
      </c>
      <c r="D1225">
        <f>243.81</f>
        <v>243.81</v>
      </c>
    </row>
    <row r="1226" spans="1:4" x14ac:dyDescent="0.2">
      <c r="A1226" s="1">
        <v>43430</v>
      </c>
      <c r="B1226">
        <f>18.4228</f>
        <v>18.422799999999999</v>
      </c>
      <c r="C1226">
        <f>18.9</f>
        <v>18.899999999999999</v>
      </c>
      <c r="D1226">
        <f>274.05</f>
        <v>274.05</v>
      </c>
    </row>
    <row r="1227" spans="1:4" x14ac:dyDescent="0.2">
      <c r="A1227" s="1">
        <v>43427</v>
      </c>
      <c r="B1227">
        <f>18.9738</f>
        <v>18.973800000000001</v>
      </c>
      <c r="C1227">
        <f>21.52</f>
        <v>21.52</v>
      </c>
      <c r="D1227">
        <f>192.9</f>
        <v>192.9</v>
      </c>
    </row>
    <row r="1228" spans="1:4" x14ac:dyDescent="0.2">
      <c r="A1228" s="1">
        <v>43426</v>
      </c>
      <c r="B1228">
        <f>19.2881</f>
        <v>19.2881</v>
      </c>
      <c r="C1228" t="e">
        <f>NA()</f>
        <v>#N/A</v>
      </c>
      <c r="D1228">
        <f>337.5</f>
        <v>337.5</v>
      </c>
    </row>
    <row r="1229" spans="1:4" x14ac:dyDescent="0.2">
      <c r="A1229" s="1">
        <v>43425</v>
      </c>
      <c r="B1229">
        <f>18.2397</f>
        <v>18.239699999999999</v>
      </c>
      <c r="C1229">
        <f>20.8</f>
        <v>20.8</v>
      </c>
      <c r="D1229">
        <f>261.2</f>
        <v>261.2</v>
      </c>
    </row>
    <row r="1230" spans="1:4" x14ac:dyDescent="0.2">
      <c r="A1230" s="1">
        <v>43424</v>
      </c>
      <c r="B1230">
        <f>19.9622</f>
        <v>19.962199999999999</v>
      </c>
      <c r="C1230">
        <f>22.48</f>
        <v>22.48</v>
      </c>
      <c r="D1230">
        <f>269.58</f>
        <v>269.58</v>
      </c>
    </row>
    <row r="1231" spans="1:4" x14ac:dyDescent="0.2">
      <c r="A1231" s="1">
        <v>43423</v>
      </c>
      <c r="B1231">
        <f>18.032</f>
        <v>18.032</v>
      </c>
      <c r="C1231">
        <f>20.1</f>
        <v>20.100000000000001</v>
      </c>
      <c r="D1231">
        <f>210.24</f>
        <v>210.24</v>
      </c>
    </row>
    <row r="1232" spans="1:4" x14ac:dyDescent="0.2">
      <c r="A1232" s="1">
        <v>43420</v>
      </c>
      <c r="B1232">
        <f>18.0762</f>
        <v>18.0762</v>
      </c>
      <c r="C1232">
        <f>18.14</f>
        <v>18.14</v>
      </c>
      <c r="D1232">
        <f>213.34</f>
        <v>213.34</v>
      </c>
    </row>
    <row r="1233" spans="1:4" x14ac:dyDescent="0.2">
      <c r="A1233" s="1">
        <v>43419</v>
      </c>
      <c r="B1233">
        <f>20.1522</f>
        <v>20.152200000000001</v>
      </c>
      <c r="C1233">
        <f>19.98</f>
        <v>19.98</v>
      </c>
      <c r="D1233">
        <f>213.94</f>
        <v>213.94</v>
      </c>
    </row>
    <row r="1234" spans="1:4" x14ac:dyDescent="0.2">
      <c r="A1234" s="1">
        <v>43418</v>
      </c>
      <c r="B1234">
        <f>18.4549</f>
        <v>18.454899999999999</v>
      </c>
      <c r="C1234">
        <f>21.25</f>
        <v>21.25</v>
      </c>
      <c r="D1234">
        <f>237.16</f>
        <v>237.16</v>
      </c>
    </row>
    <row r="1235" spans="1:4" x14ac:dyDescent="0.2">
      <c r="A1235" s="1">
        <v>43417</v>
      </c>
      <c r="B1235">
        <f>17.029</f>
        <v>17.029</v>
      </c>
      <c r="C1235">
        <f>20.02</f>
        <v>20.02</v>
      </c>
      <c r="D1235">
        <f>231.53</f>
        <v>231.53</v>
      </c>
    </row>
    <row r="1236" spans="1:4" x14ac:dyDescent="0.2">
      <c r="A1236" s="1">
        <v>43416</v>
      </c>
      <c r="B1236">
        <f>17.8587</f>
        <v>17.858699999999999</v>
      </c>
      <c r="C1236">
        <f>20.45</f>
        <v>20.45</v>
      </c>
      <c r="D1236">
        <f>219.73</f>
        <v>219.73</v>
      </c>
    </row>
    <row r="1237" spans="1:4" x14ac:dyDescent="0.2">
      <c r="A1237" s="1">
        <v>43413</v>
      </c>
      <c r="B1237">
        <f>16.3773</f>
        <v>16.377300000000002</v>
      </c>
      <c r="C1237">
        <f>17.36</f>
        <v>17.36</v>
      </c>
      <c r="D1237">
        <f>245.09</f>
        <v>245.09</v>
      </c>
    </row>
    <row r="1238" spans="1:4" x14ac:dyDescent="0.2">
      <c r="A1238" s="1">
        <v>43412</v>
      </c>
      <c r="B1238">
        <f>15.881</f>
        <v>15.881</v>
      </c>
      <c r="C1238">
        <f>16.72</f>
        <v>16.72</v>
      </c>
      <c r="D1238">
        <f>243.29</f>
        <v>243.29</v>
      </c>
    </row>
    <row r="1239" spans="1:4" x14ac:dyDescent="0.2">
      <c r="A1239" s="1">
        <v>43411</v>
      </c>
      <c r="B1239">
        <f>16.4264</f>
        <v>16.426400000000001</v>
      </c>
      <c r="C1239">
        <f>16.36</f>
        <v>16.36</v>
      </c>
      <c r="D1239">
        <f>297.46</f>
        <v>297.45999999999998</v>
      </c>
    </row>
    <row r="1240" spans="1:4" x14ac:dyDescent="0.2">
      <c r="A1240" s="1">
        <v>43410</v>
      </c>
      <c r="B1240">
        <f>18.1091</f>
        <v>18.109100000000002</v>
      </c>
      <c r="C1240">
        <f>19.91</f>
        <v>19.91</v>
      </c>
      <c r="D1240">
        <f>278.37</f>
        <v>278.37</v>
      </c>
    </row>
    <row r="1241" spans="1:4" x14ac:dyDescent="0.2">
      <c r="A1241" s="1">
        <v>43409</v>
      </c>
      <c r="B1241">
        <f>18.3296</f>
        <v>18.329599999999999</v>
      </c>
      <c r="C1241">
        <f>19.96</f>
        <v>19.96</v>
      </c>
      <c r="D1241">
        <f>214.26</f>
        <v>214.26</v>
      </c>
    </row>
    <row r="1242" spans="1:4" x14ac:dyDescent="0.2">
      <c r="A1242" s="1">
        <v>43406</v>
      </c>
      <c r="B1242">
        <f>18.848</f>
        <v>18.847999999999999</v>
      </c>
      <c r="C1242">
        <f>19.51</f>
        <v>19.510000000000002</v>
      </c>
      <c r="D1242">
        <f>377.85</f>
        <v>377.85</v>
      </c>
    </row>
    <row r="1243" spans="1:4" x14ac:dyDescent="0.2">
      <c r="A1243" s="1">
        <v>43405</v>
      </c>
      <c r="B1243">
        <f>18.995</f>
        <v>18.995000000000001</v>
      </c>
      <c r="C1243">
        <f>19.34</f>
        <v>19.34</v>
      </c>
      <c r="D1243">
        <f>296.67</f>
        <v>296.67</v>
      </c>
    </row>
    <row r="1244" spans="1:4" x14ac:dyDescent="0.2">
      <c r="A1244" s="1">
        <v>43404</v>
      </c>
      <c r="B1244">
        <f>20.3038</f>
        <v>20.303799999999999</v>
      </c>
      <c r="C1244">
        <f>21.23</f>
        <v>21.23</v>
      </c>
      <c r="D1244">
        <f>323.62</f>
        <v>323.62</v>
      </c>
    </row>
    <row r="1245" spans="1:4" x14ac:dyDescent="0.2">
      <c r="A1245" s="1">
        <v>43403</v>
      </c>
      <c r="B1245">
        <f>22.2249</f>
        <v>22.224900000000002</v>
      </c>
      <c r="C1245">
        <f>23.35</f>
        <v>23.35</v>
      </c>
      <c r="D1245">
        <f>186.81</f>
        <v>186.81</v>
      </c>
    </row>
    <row r="1246" spans="1:4" x14ac:dyDescent="0.2">
      <c r="A1246" s="1">
        <v>43402</v>
      </c>
      <c r="B1246">
        <f>22.2872</f>
        <v>22.287199999999999</v>
      </c>
      <c r="C1246">
        <f>24.7</f>
        <v>24.7</v>
      </c>
      <c r="D1246">
        <f>213.95</f>
        <v>213.95</v>
      </c>
    </row>
    <row r="1247" spans="1:4" x14ac:dyDescent="0.2">
      <c r="A1247" s="1">
        <v>43399</v>
      </c>
      <c r="B1247">
        <f>23.7391</f>
        <v>23.739100000000001</v>
      </c>
      <c r="C1247">
        <f>24.16</f>
        <v>24.16</v>
      </c>
      <c r="D1247">
        <f>255.37</f>
        <v>255.37</v>
      </c>
    </row>
    <row r="1248" spans="1:4" x14ac:dyDescent="0.2">
      <c r="A1248" s="1">
        <v>43398</v>
      </c>
      <c r="B1248">
        <f>20.7552</f>
        <v>20.755199999999999</v>
      </c>
      <c r="C1248">
        <f>24.22</f>
        <v>24.22</v>
      </c>
      <c r="D1248">
        <f>316.41</f>
        <v>316.41000000000003</v>
      </c>
    </row>
    <row r="1249" spans="1:4" x14ac:dyDescent="0.2">
      <c r="A1249" s="1">
        <v>43397</v>
      </c>
      <c r="B1249">
        <f>21.9772</f>
        <v>21.9772</v>
      </c>
      <c r="C1249">
        <f>25.23</f>
        <v>25.23</v>
      </c>
      <c r="D1249">
        <f>282.71</f>
        <v>282.70999999999998</v>
      </c>
    </row>
    <row r="1250" spans="1:4" x14ac:dyDescent="0.2">
      <c r="A1250" s="1">
        <v>43396</v>
      </c>
      <c r="B1250">
        <f>21.3624</f>
        <v>21.362400000000001</v>
      </c>
      <c r="C1250">
        <f>20.71</f>
        <v>20.71</v>
      </c>
      <c r="D1250">
        <f>335.51</f>
        <v>335.51</v>
      </c>
    </row>
    <row r="1251" spans="1:4" x14ac:dyDescent="0.2">
      <c r="A1251" s="1">
        <v>43395</v>
      </c>
      <c r="B1251">
        <f>19.3581</f>
        <v>19.3581</v>
      </c>
      <c r="C1251">
        <f>19.64</f>
        <v>19.64</v>
      </c>
      <c r="D1251">
        <f>229.38</f>
        <v>229.38</v>
      </c>
    </row>
    <row r="1252" spans="1:4" x14ac:dyDescent="0.2">
      <c r="A1252" s="1">
        <v>43392</v>
      </c>
      <c r="B1252">
        <f>18.7838</f>
        <v>18.783799999999999</v>
      </c>
      <c r="C1252">
        <f>19.89</f>
        <v>19.89</v>
      </c>
      <c r="D1252">
        <f>288.38</f>
        <v>288.38</v>
      </c>
    </row>
    <row r="1253" spans="1:4" x14ac:dyDescent="0.2">
      <c r="A1253" s="1">
        <v>43391</v>
      </c>
      <c r="B1253">
        <f>18.1712</f>
        <v>18.171199999999999</v>
      </c>
      <c r="C1253">
        <f>20.06</f>
        <v>20.059999999999999</v>
      </c>
      <c r="D1253">
        <f>267.23</f>
        <v>267.23</v>
      </c>
    </row>
    <row r="1254" spans="1:4" x14ac:dyDescent="0.2">
      <c r="A1254" s="1">
        <v>43390</v>
      </c>
      <c r="B1254">
        <f>17.0163</f>
        <v>17.016300000000001</v>
      </c>
      <c r="C1254">
        <f>17.4</f>
        <v>17.399999999999999</v>
      </c>
      <c r="D1254">
        <f>299.71</f>
        <v>299.70999999999998</v>
      </c>
    </row>
    <row r="1255" spans="1:4" x14ac:dyDescent="0.2">
      <c r="A1255" s="1">
        <v>43389</v>
      </c>
      <c r="B1255">
        <f>16.8341</f>
        <v>16.834099999999999</v>
      </c>
      <c r="C1255">
        <f>17.62</f>
        <v>17.62</v>
      </c>
      <c r="D1255">
        <f>320.43</f>
        <v>320.43</v>
      </c>
    </row>
    <row r="1256" spans="1:4" x14ac:dyDescent="0.2">
      <c r="A1256" s="1">
        <v>43388</v>
      </c>
      <c r="B1256">
        <f>19.0703</f>
        <v>19.0703</v>
      </c>
      <c r="C1256">
        <f>21.3</f>
        <v>21.3</v>
      </c>
      <c r="D1256">
        <f>264.6</f>
        <v>264.60000000000002</v>
      </c>
    </row>
    <row r="1257" spans="1:4" x14ac:dyDescent="0.2">
      <c r="A1257" s="1">
        <v>43385</v>
      </c>
      <c r="B1257">
        <f>20.2103</f>
        <v>20.2103</v>
      </c>
      <c r="C1257">
        <f>21.31</f>
        <v>21.31</v>
      </c>
      <c r="D1257">
        <f>414.19</f>
        <v>414.19</v>
      </c>
    </row>
    <row r="1258" spans="1:4" x14ac:dyDescent="0.2">
      <c r="A1258" s="1">
        <v>43384</v>
      </c>
      <c r="B1258">
        <f>21.2373</f>
        <v>21.237300000000001</v>
      </c>
      <c r="C1258">
        <f>24.98</f>
        <v>24.98</v>
      </c>
      <c r="D1258">
        <f>397.82</f>
        <v>397.82</v>
      </c>
    </row>
    <row r="1259" spans="1:4" x14ac:dyDescent="0.2">
      <c r="A1259" s="1">
        <v>43383</v>
      </c>
      <c r="B1259">
        <f>18.4029</f>
        <v>18.402899999999999</v>
      </c>
      <c r="C1259">
        <f>22.96</f>
        <v>22.96</v>
      </c>
      <c r="D1259">
        <f>319.64</f>
        <v>319.64</v>
      </c>
    </row>
    <row r="1260" spans="1:4" x14ac:dyDescent="0.2">
      <c r="A1260" s="1">
        <v>43382</v>
      </c>
      <c r="B1260">
        <f>16.9002</f>
        <v>16.900200000000002</v>
      </c>
      <c r="C1260">
        <f>15.95</f>
        <v>15.95</v>
      </c>
      <c r="D1260">
        <f>246.38</f>
        <v>246.38</v>
      </c>
    </row>
    <row r="1261" spans="1:4" x14ac:dyDescent="0.2">
      <c r="A1261" s="1">
        <v>43381</v>
      </c>
      <c r="B1261">
        <f>17.6264</f>
        <v>17.6264</v>
      </c>
      <c r="C1261">
        <f>15.69</f>
        <v>15.69</v>
      </c>
      <c r="D1261">
        <f>284.67</f>
        <v>284.67</v>
      </c>
    </row>
    <row r="1262" spans="1:4" x14ac:dyDescent="0.2">
      <c r="A1262" s="1">
        <v>43378</v>
      </c>
      <c r="B1262">
        <f>16.6807</f>
        <v>16.680700000000002</v>
      </c>
      <c r="C1262">
        <f>14.82</f>
        <v>14.82</v>
      </c>
      <c r="D1262">
        <f>248.34</f>
        <v>248.34</v>
      </c>
    </row>
    <row r="1263" spans="1:4" x14ac:dyDescent="0.2">
      <c r="A1263" s="1">
        <v>43377</v>
      </c>
      <c r="B1263">
        <f>16.0249</f>
        <v>16.024899999999999</v>
      </c>
      <c r="C1263">
        <f>14.22</f>
        <v>14.22</v>
      </c>
      <c r="D1263">
        <f>369.39</f>
        <v>369.39</v>
      </c>
    </row>
    <row r="1264" spans="1:4" x14ac:dyDescent="0.2">
      <c r="A1264" s="1">
        <v>43376</v>
      </c>
      <c r="B1264">
        <f>14.6064</f>
        <v>14.606400000000001</v>
      </c>
      <c r="C1264">
        <f>11.61</f>
        <v>11.61</v>
      </c>
      <c r="D1264">
        <f>265.6</f>
        <v>265.60000000000002</v>
      </c>
    </row>
    <row r="1265" spans="1:4" x14ac:dyDescent="0.2">
      <c r="A1265" s="1">
        <v>43375</v>
      </c>
      <c r="B1265">
        <f>15.4784</f>
        <v>15.478400000000001</v>
      </c>
      <c r="C1265">
        <f>12.05</f>
        <v>12.05</v>
      </c>
      <c r="D1265">
        <f>295.1</f>
        <v>295.10000000000002</v>
      </c>
    </row>
    <row r="1266" spans="1:4" x14ac:dyDescent="0.2">
      <c r="A1266" s="1">
        <v>43374</v>
      </c>
      <c r="B1266">
        <f>14.2333</f>
        <v>14.2333</v>
      </c>
      <c r="C1266">
        <f>12</f>
        <v>12</v>
      </c>
      <c r="D1266">
        <f>224.73</f>
        <v>224.73</v>
      </c>
    </row>
    <row r="1267" spans="1:4" x14ac:dyDescent="0.2">
      <c r="A1267" s="1">
        <v>43371</v>
      </c>
      <c r="B1267">
        <f>14.7637</f>
        <v>14.7637</v>
      </c>
      <c r="C1267">
        <f>12.12</f>
        <v>12.12</v>
      </c>
      <c r="D1267">
        <f>313.08</f>
        <v>313.08</v>
      </c>
    </row>
    <row r="1268" spans="1:4" x14ac:dyDescent="0.2">
      <c r="A1268" s="1">
        <v>43370</v>
      </c>
      <c r="B1268">
        <f>13.171</f>
        <v>13.170999999999999</v>
      </c>
      <c r="C1268">
        <f>12.41</f>
        <v>12.41</v>
      </c>
      <c r="D1268">
        <f>285.52</f>
        <v>285.52</v>
      </c>
    </row>
    <row r="1269" spans="1:4" x14ac:dyDescent="0.2">
      <c r="A1269" s="1">
        <v>43369</v>
      </c>
      <c r="B1269">
        <f>12.8518</f>
        <v>12.851800000000001</v>
      </c>
      <c r="C1269">
        <f>12.89</f>
        <v>12.89</v>
      </c>
      <c r="D1269">
        <f>284.47</f>
        <v>284.47000000000003</v>
      </c>
    </row>
    <row r="1270" spans="1:4" x14ac:dyDescent="0.2">
      <c r="A1270" s="1">
        <v>43368</v>
      </c>
      <c r="B1270">
        <f>13.1636</f>
        <v>13.163600000000001</v>
      </c>
      <c r="C1270">
        <f>12.42</f>
        <v>12.42</v>
      </c>
      <c r="D1270">
        <f>307.53</f>
        <v>307.52999999999997</v>
      </c>
    </row>
    <row r="1271" spans="1:4" x14ac:dyDescent="0.2">
      <c r="A1271" s="1">
        <v>43367</v>
      </c>
      <c r="B1271">
        <f>13.7328</f>
        <v>13.732799999999999</v>
      </c>
      <c r="C1271">
        <f>12.2</f>
        <v>12.2</v>
      </c>
      <c r="D1271" t="e">
        <f>NA()</f>
        <v>#N/A</v>
      </c>
    </row>
    <row r="1272" spans="1:4" x14ac:dyDescent="0.2">
      <c r="A1272" s="1">
        <v>43364</v>
      </c>
      <c r="B1272">
        <f>12.8151</f>
        <v>12.815099999999999</v>
      </c>
      <c r="C1272">
        <f>11.68</f>
        <v>11.68</v>
      </c>
      <c r="D1272">
        <f>885.17</f>
        <v>885.17</v>
      </c>
    </row>
    <row r="1273" spans="1:4" x14ac:dyDescent="0.2">
      <c r="A1273" s="1">
        <v>43363</v>
      </c>
      <c r="B1273">
        <f>13.1843</f>
        <v>13.1843</v>
      </c>
      <c r="C1273">
        <f>11.8</f>
        <v>11.8</v>
      </c>
      <c r="D1273">
        <f>723.18</f>
        <v>723.18</v>
      </c>
    </row>
    <row r="1274" spans="1:4" x14ac:dyDescent="0.2">
      <c r="A1274" s="1">
        <v>43362</v>
      </c>
      <c r="B1274">
        <f>13.5296</f>
        <v>13.5296</v>
      </c>
      <c r="C1274">
        <f>11.75</f>
        <v>11.75</v>
      </c>
      <c r="D1274">
        <f>273.17</f>
        <v>273.17</v>
      </c>
    </row>
    <row r="1275" spans="1:4" x14ac:dyDescent="0.2">
      <c r="A1275" s="1">
        <v>43361</v>
      </c>
      <c r="B1275">
        <f>14.356</f>
        <v>14.356</v>
      </c>
      <c r="C1275">
        <f>12.79</f>
        <v>12.79</v>
      </c>
      <c r="D1275">
        <f>293.18</f>
        <v>293.18</v>
      </c>
    </row>
    <row r="1276" spans="1:4" x14ac:dyDescent="0.2">
      <c r="A1276" s="1">
        <v>43360</v>
      </c>
      <c r="B1276">
        <f>14.5708</f>
        <v>14.5708</v>
      </c>
      <c r="C1276">
        <f>13.68</f>
        <v>13.68</v>
      </c>
      <c r="D1276">
        <f>233.5</f>
        <v>233.5</v>
      </c>
    </row>
    <row r="1277" spans="1:4" x14ac:dyDescent="0.2">
      <c r="A1277" s="1">
        <v>43357</v>
      </c>
      <c r="B1277">
        <f>13.8963</f>
        <v>13.8963</v>
      </c>
      <c r="C1277">
        <f>12.07</f>
        <v>12.07</v>
      </c>
      <c r="D1277">
        <f>309.48</f>
        <v>309.48</v>
      </c>
    </row>
    <row r="1278" spans="1:4" x14ac:dyDescent="0.2">
      <c r="A1278" s="1">
        <v>43356</v>
      </c>
      <c r="B1278">
        <f>14.5934</f>
        <v>14.593400000000001</v>
      </c>
      <c r="C1278">
        <f>12.37</f>
        <v>12.37</v>
      </c>
      <c r="D1278">
        <f>327.99</f>
        <v>327.99</v>
      </c>
    </row>
    <row r="1279" spans="1:4" x14ac:dyDescent="0.2">
      <c r="A1279" s="1">
        <v>43355</v>
      </c>
      <c r="B1279">
        <f>15.3235</f>
        <v>15.323499999999999</v>
      </c>
      <c r="C1279">
        <f>13.14</f>
        <v>13.14</v>
      </c>
      <c r="D1279">
        <f>311.51</f>
        <v>311.51</v>
      </c>
    </row>
    <row r="1280" spans="1:4" x14ac:dyDescent="0.2">
      <c r="A1280" s="1">
        <v>43354</v>
      </c>
      <c r="B1280">
        <f>15.7862</f>
        <v>15.786199999999999</v>
      </c>
      <c r="C1280">
        <f>13.22</f>
        <v>13.22</v>
      </c>
      <c r="D1280">
        <f>236.25</f>
        <v>236.25</v>
      </c>
    </row>
    <row r="1281" spans="1:4" x14ac:dyDescent="0.2">
      <c r="A1281" s="1">
        <v>43353</v>
      </c>
      <c r="B1281">
        <f>15.8948</f>
        <v>15.8948</v>
      </c>
      <c r="C1281">
        <f>14.16</f>
        <v>14.16</v>
      </c>
      <c r="D1281">
        <f>221.86</f>
        <v>221.86</v>
      </c>
    </row>
    <row r="1282" spans="1:4" x14ac:dyDescent="0.2">
      <c r="A1282" s="1">
        <v>43350</v>
      </c>
      <c r="B1282">
        <f>16.4546</f>
        <v>16.454599999999999</v>
      </c>
      <c r="C1282">
        <f>14.88</f>
        <v>14.88</v>
      </c>
      <c r="D1282">
        <f>305.27</f>
        <v>305.27</v>
      </c>
    </row>
    <row r="1283" spans="1:4" x14ac:dyDescent="0.2">
      <c r="A1283" s="1">
        <v>43349</v>
      </c>
      <c r="B1283">
        <f>17.1012</f>
        <v>17.101199999999999</v>
      </c>
      <c r="C1283">
        <f>14.65</f>
        <v>14.65</v>
      </c>
      <c r="D1283">
        <f>317.54</f>
        <v>317.54000000000002</v>
      </c>
    </row>
    <row r="1284" spans="1:4" x14ac:dyDescent="0.2">
      <c r="A1284" s="1">
        <v>43348</v>
      </c>
      <c r="B1284">
        <f>17.2886</f>
        <v>17.288599999999999</v>
      </c>
      <c r="C1284">
        <f>13.91</f>
        <v>13.91</v>
      </c>
      <c r="D1284">
        <f>379.05</f>
        <v>379.05</v>
      </c>
    </row>
    <row r="1285" spans="1:4" x14ac:dyDescent="0.2">
      <c r="A1285" s="1">
        <v>43347</v>
      </c>
      <c r="B1285">
        <f>16.3854</f>
        <v>16.385400000000001</v>
      </c>
      <c r="C1285">
        <f>13.16</f>
        <v>13.16</v>
      </c>
      <c r="D1285">
        <f>294.14</f>
        <v>294.14</v>
      </c>
    </row>
    <row r="1286" spans="1:4" x14ac:dyDescent="0.2">
      <c r="A1286" s="1">
        <v>43346</v>
      </c>
      <c r="B1286">
        <f>15.4945</f>
        <v>15.4945</v>
      </c>
      <c r="C1286" t="e">
        <f>NA()</f>
        <v>#N/A</v>
      </c>
      <c r="D1286">
        <f>226.65</f>
        <v>226.65</v>
      </c>
    </row>
    <row r="1287" spans="1:4" x14ac:dyDescent="0.2">
      <c r="A1287" s="1">
        <v>43343</v>
      </c>
      <c r="B1287">
        <f>15.6343</f>
        <v>15.6343</v>
      </c>
      <c r="C1287">
        <f>12.86</f>
        <v>12.86</v>
      </c>
      <c r="D1287">
        <f>309.7</f>
        <v>309.7</v>
      </c>
    </row>
    <row r="1288" spans="1:4" x14ac:dyDescent="0.2">
      <c r="A1288" s="1">
        <v>43342</v>
      </c>
      <c r="B1288">
        <f>14.1532</f>
        <v>14.1532</v>
      </c>
      <c r="C1288">
        <f>13.53</f>
        <v>13.53</v>
      </c>
      <c r="D1288">
        <f>316.34</f>
        <v>316.33999999999997</v>
      </c>
    </row>
    <row r="1289" spans="1:4" x14ac:dyDescent="0.2">
      <c r="A1289" s="1">
        <v>43341</v>
      </c>
      <c r="B1289">
        <f>12.9914</f>
        <v>12.991400000000001</v>
      </c>
      <c r="C1289">
        <f>12.25</f>
        <v>12.25</v>
      </c>
      <c r="D1289">
        <f>266.35</f>
        <v>266.35000000000002</v>
      </c>
    </row>
    <row r="1290" spans="1:4" x14ac:dyDescent="0.2">
      <c r="A1290" s="1">
        <v>43340</v>
      </c>
      <c r="B1290">
        <f>13.1602</f>
        <v>13.1602</v>
      </c>
      <c r="C1290">
        <f>12.5</f>
        <v>12.5</v>
      </c>
      <c r="D1290">
        <f>258.43</f>
        <v>258.43</v>
      </c>
    </row>
    <row r="1291" spans="1:4" x14ac:dyDescent="0.2">
      <c r="A1291" s="1">
        <v>43339</v>
      </c>
      <c r="B1291">
        <f>13.1149</f>
        <v>13.1149</v>
      </c>
      <c r="C1291">
        <f>12.16</f>
        <v>12.16</v>
      </c>
      <c r="D1291">
        <f>200.8</f>
        <v>200.8</v>
      </c>
    </row>
    <row r="1292" spans="1:4" x14ac:dyDescent="0.2">
      <c r="A1292" s="1">
        <v>43336</v>
      </c>
      <c r="B1292">
        <f>13.1882</f>
        <v>13.1882</v>
      </c>
      <c r="C1292">
        <f>11.99</f>
        <v>11.99</v>
      </c>
      <c r="D1292">
        <f>258.29</f>
        <v>258.29000000000002</v>
      </c>
    </row>
    <row r="1293" spans="1:4" x14ac:dyDescent="0.2">
      <c r="A1293" s="1">
        <v>43335</v>
      </c>
      <c r="B1293">
        <f>13.6438</f>
        <v>13.643800000000001</v>
      </c>
      <c r="C1293">
        <f>12.41</f>
        <v>12.41</v>
      </c>
      <c r="D1293">
        <f>240.7</f>
        <v>240.7</v>
      </c>
    </row>
    <row r="1294" spans="1:4" x14ac:dyDescent="0.2">
      <c r="A1294" s="1">
        <v>43334</v>
      </c>
      <c r="B1294">
        <f>13.8512</f>
        <v>13.8512</v>
      </c>
      <c r="C1294">
        <f>12.25</f>
        <v>12.25</v>
      </c>
      <c r="D1294">
        <f>261.04</f>
        <v>261.04000000000002</v>
      </c>
    </row>
    <row r="1295" spans="1:4" x14ac:dyDescent="0.2">
      <c r="A1295" s="1">
        <v>43333</v>
      </c>
      <c r="B1295">
        <f>13.8748</f>
        <v>13.8748</v>
      </c>
      <c r="C1295">
        <f>12.86</f>
        <v>12.86</v>
      </c>
      <c r="D1295">
        <f>286.26</f>
        <v>286.26</v>
      </c>
    </row>
    <row r="1296" spans="1:4" x14ac:dyDescent="0.2">
      <c r="A1296" s="1">
        <v>43332</v>
      </c>
      <c r="B1296">
        <f>14.5019</f>
        <v>14.501899999999999</v>
      </c>
      <c r="C1296">
        <f>12.49</f>
        <v>12.49</v>
      </c>
      <c r="D1296">
        <f>147.4</f>
        <v>147.4</v>
      </c>
    </row>
    <row r="1297" spans="1:4" x14ac:dyDescent="0.2">
      <c r="A1297" s="1">
        <v>43329</v>
      </c>
      <c r="B1297">
        <f>16.0982</f>
        <v>16.098199999999999</v>
      </c>
      <c r="C1297">
        <f>12.64</f>
        <v>12.64</v>
      </c>
      <c r="D1297">
        <f>228.5</f>
        <v>228.5</v>
      </c>
    </row>
    <row r="1298" spans="1:4" x14ac:dyDescent="0.2">
      <c r="A1298" s="1">
        <v>43328</v>
      </c>
      <c r="B1298">
        <f>16.2633</f>
        <v>16.263300000000001</v>
      </c>
      <c r="C1298">
        <f>13.45</f>
        <v>13.45</v>
      </c>
      <c r="D1298">
        <f>241.17</f>
        <v>241.17</v>
      </c>
    </row>
    <row r="1299" spans="1:4" x14ac:dyDescent="0.2">
      <c r="A1299" s="1">
        <v>43327</v>
      </c>
      <c r="B1299">
        <f>18.4755</f>
        <v>18.4755</v>
      </c>
      <c r="C1299">
        <f>14.64</f>
        <v>14.64</v>
      </c>
      <c r="D1299">
        <f>250.61</f>
        <v>250.61</v>
      </c>
    </row>
    <row r="1300" spans="1:4" x14ac:dyDescent="0.2">
      <c r="A1300" s="1">
        <v>43326</v>
      </c>
      <c r="B1300">
        <f>15.861</f>
        <v>15.861000000000001</v>
      </c>
      <c r="C1300">
        <f>13.31</f>
        <v>13.31</v>
      </c>
      <c r="D1300">
        <f>244.79</f>
        <v>244.79</v>
      </c>
    </row>
    <row r="1301" spans="1:4" x14ac:dyDescent="0.2">
      <c r="A1301" s="1">
        <v>43325</v>
      </c>
      <c r="B1301">
        <f>15.9406</f>
        <v>15.9406</v>
      </c>
      <c r="C1301">
        <f>14.78</f>
        <v>14.78</v>
      </c>
      <c r="D1301">
        <f>256.88</f>
        <v>256.88</v>
      </c>
    </row>
    <row r="1302" spans="1:4" x14ac:dyDescent="0.2">
      <c r="A1302" s="1">
        <v>43322</v>
      </c>
      <c r="B1302">
        <f>15.1113</f>
        <v>15.1113</v>
      </c>
      <c r="C1302">
        <f>13.16</f>
        <v>13.16</v>
      </c>
      <c r="D1302">
        <f>215.15</f>
        <v>215.15</v>
      </c>
    </row>
    <row r="1303" spans="1:4" x14ac:dyDescent="0.2">
      <c r="A1303" s="1">
        <v>43321</v>
      </c>
      <c r="B1303">
        <f>12.4882</f>
        <v>12.488200000000001</v>
      </c>
      <c r="C1303">
        <f>11.27</f>
        <v>11.27</v>
      </c>
      <c r="D1303" t="e">
        <f>NA()</f>
        <v>#N/A</v>
      </c>
    </row>
    <row r="1304" spans="1:4" x14ac:dyDescent="0.2">
      <c r="A1304" s="1">
        <v>43320</v>
      </c>
      <c r="B1304">
        <f>12.8654</f>
        <v>12.865399999999999</v>
      </c>
      <c r="C1304">
        <f>10.85</f>
        <v>10.85</v>
      </c>
      <c r="D1304">
        <f>229.04</f>
        <v>229.04</v>
      </c>
    </row>
    <row r="1305" spans="1:4" x14ac:dyDescent="0.2">
      <c r="A1305" s="1">
        <v>43319</v>
      </c>
      <c r="B1305">
        <f>12.6265</f>
        <v>12.6265</v>
      </c>
      <c r="C1305">
        <f>10.93</f>
        <v>10.93</v>
      </c>
      <c r="D1305">
        <f>270.42</f>
        <v>270.42</v>
      </c>
    </row>
    <row r="1306" spans="1:4" x14ac:dyDescent="0.2">
      <c r="A1306" s="1">
        <v>43318</v>
      </c>
      <c r="B1306">
        <f>13.47</f>
        <v>13.47</v>
      </c>
      <c r="C1306">
        <f>11.27</f>
        <v>11.27</v>
      </c>
      <c r="D1306">
        <f>151.5</f>
        <v>151.5</v>
      </c>
    </row>
    <row r="1307" spans="1:4" x14ac:dyDescent="0.2">
      <c r="A1307" s="1">
        <v>43315</v>
      </c>
      <c r="B1307">
        <f>13.3973</f>
        <v>13.3973</v>
      </c>
      <c r="C1307">
        <f>11.64</f>
        <v>11.64</v>
      </c>
      <c r="D1307">
        <f>210.05</f>
        <v>210.05</v>
      </c>
    </row>
    <row r="1308" spans="1:4" x14ac:dyDescent="0.2">
      <c r="A1308" s="1">
        <v>43314</v>
      </c>
      <c r="B1308">
        <f>14.5051</f>
        <v>14.505100000000001</v>
      </c>
      <c r="C1308">
        <f>12.19</f>
        <v>12.19</v>
      </c>
      <c r="D1308">
        <f>232.15</f>
        <v>232.15</v>
      </c>
    </row>
    <row r="1309" spans="1:4" x14ac:dyDescent="0.2">
      <c r="A1309" s="1">
        <v>43313</v>
      </c>
      <c r="B1309">
        <f>13.028</f>
        <v>13.028</v>
      </c>
      <c r="C1309">
        <f>13.15</f>
        <v>13.15</v>
      </c>
      <c r="D1309">
        <f>247.35</f>
        <v>247.35</v>
      </c>
    </row>
    <row r="1310" spans="1:4" x14ac:dyDescent="0.2">
      <c r="A1310" s="1">
        <v>43312</v>
      </c>
      <c r="B1310">
        <f>12.5596</f>
        <v>12.5596</v>
      </c>
      <c r="C1310">
        <f>12.83</f>
        <v>12.83</v>
      </c>
      <c r="D1310">
        <f>295.99</f>
        <v>295.99</v>
      </c>
    </row>
    <row r="1311" spans="1:4" x14ac:dyDescent="0.2">
      <c r="A1311" s="1">
        <v>43311</v>
      </c>
      <c r="B1311">
        <f>12.7107</f>
        <v>12.710699999999999</v>
      </c>
      <c r="C1311">
        <f>14.26</f>
        <v>14.26</v>
      </c>
      <c r="D1311">
        <f>188.42</f>
        <v>188.42</v>
      </c>
    </row>
    <row r="1312" spans="1:4" x14ac:dyDescent="0.2">
      <c r="A1312" s="1">
        <v>43308</v>
      </c>
      <c r="B1312">
        <f>11.6594</f>
        <v>11.6594</v>
      </c>
      <c r="C1312">
        <f>13.03</f>
        <v>13.03</v>
      </c>
      <c r="D1312">
        <f>180.88</f>
        <v>180.88</v>
      </c>
    </row>
    <row r="1313" spans="1:4" x14ac:dyDescent="0.2">
      <c r="A1313" s="1">
        <v>43307</v>
      </c>
      <c r="B1313">
        <f>12.1361</f>
        <v>12.136100000000001</v>
      </c>
      <c r="C1313">
        <f>12.14</f>
        <v>12.14</v>
      </c>
      <c r="D1313">
        <f>242.75</f>
        <v>242.75</v>
      </c>
    </row>
    <row r="1314" spans="1:4" x14ac:dyDescent="0.2">
      <c r="A1314" s="1">
        <v>43306</v>
      </c>
      <c r="B1314">
        <f>13.5029</f>
        <v>13.5029</v>
      </c>
      <c r="C1314">
        <f>12.29</f>
        <v>12.29</v>
      </c>
      <c r="D1314">
        <f>222.55</f>
        <v>222.55</v>
      </c>
    </row>
    <row r="1315" spans="1:4" x14ac:dyDescent="0.2">
      <c r="A1315" s="1">
        <v>43305</v>
      </c>
      <c r="B1315">
        <f>12.7259</f>
        <v>12.725899999999999</v>
      </c>
      <c r="C1315">
        <f>12.41</f>
        <v>12.41</v>
      </c>
      <c r="D1315">
        <f>249.47</f>
        <v>249.47</v>
      </c>
    </row>
    <row r="1316" spans="1:4" x14ac:dyDescent="0.2">
      <c r="A1316" s="1">
        <v>43304</v>
      </c>
      <c r="B1316">
        <f>14.1892</f>
        <v>14.1892</v>
      </c>
      <c r="C1316">
        <f>12.62</f>
        <v>12.62</v>
      </c>
      <c r="D1316">
        <f>176.58</f>
        <v>176.58</v>
      </c>
    </row>
    <row r="1317" spans="1:4" x14ac:dyDescent="0.2">
      <c r="A1317" s="1">
        <v>43301</v>
      </c>
      <c r="B1317">
        <f>13.7747</f>
        <v>13.774699999999999</v>
      </c>
      <c r="C1317">
        <f>12.86</f>
        <v>12.86</v>
      </c>
      <c r="D1317">
        <f>219.81</f>
        <v>219.81</v>
      </c>
    </row>
    <row r="1318" spans="1:4" x14ac:dyDescent="0.2">
      <c r="A1318" s="1">
        <v>43300</v>
      </c>
      <c r="B1318">
        <f>12.8476</f>
        <v>12.8476</v>
      </c>
      <c r="C1318">
        <f>12.87</f>
        <v>12.87</v>
      </c>
      <c r="D1318">
        <f>319.74</f>
        <v>319.74</v>
      </c>
    </row>
    <row r="1319" spans="1:4" x14ac:dyDescent="0.2">
      <c r="A1319" s="1">
        <v>43299</v>
      </c>
      <c r="B1319">
        <f>11.9617</f>
        <v>11.9617</v>
      </c>
      <c r="C1319">
        <f>12.1</f>
        <v>12.1</v>
      </c>
      <c r="D1319">
        <f>244</f>
        <v>244</v>
      </c>
    </row>
    <row r="1320" spans="1:4" x14ac:dyDescent="0.2">
      <c r="A1320" s="1">
        <v>43298</v>
      </c>
      <c r="B1320">
        <f>12.556</f>
        <v>12.555999999999999</v>
      </c>
      <c r="C1320">
        <f>12.06</f>
        <v>12.06</v>
      </c>
      <c r="D1320">
        <f>212.45</f>
        <v>212.45</v>
      </c>
    </row>
    <row r="1321" spans="1:4" x14ac:dyDescent="0.2">
      <c r="A1321" s="1">
        <v>43297</v>
      </c>
      <c r="B1321">
        <f>13.0323</f>
        <v>13.032299999999999</v>
      </c>
      <c r="C1321">
        <f>12.83</f>
        <v>12.83</v>
      </c>
      <c r="D1321">
        <f>236.48</f>
        <v>236.48</v>
      </c>
    </row>
    <row r="1322" spans="1:4" x14ac:dyDescent="0.2">
      <c r="A1322" s="1">
        <v>43294</v>
      </c>
      <c r="B1322">
        <f>12.8035</f>
        <v>12.8035</v>
      </c>
      <c r="C1322">
        <f>12.18</f>
        <v>12.18</v>
      </c>
      <c r="D1322">
        <f>249.75</f>
        <v>249.75</v>
      </c>
    </row>
    <row r="1323" spans="1:4" x14ac:dyDescent="0.2">
      <c r="A1323" s="1">
        <v>43293</v>
      </c>
      <c r="B1323">
        <f>13.4596</f>
        <v>13.4596</v>
      </c>
      <c r="C1323">
        <f>12.58</f>
        <v>12.58</v>
      </c>
      <c r="D1323">
        <f>250.65</f>
        <v>250.65</v>
      </c>
    </row>
    <row r="1324" spans="1:4" x14ac:dyDescent="0.2">
      <c r="A1324" s="1">
        <v>43292</v>
      </c>
      <c r="B1324">
        <f>14.5961</f>
        <v>14.5961</v>
      </c>
      <c r="C1324">
        <f>13.63</f>
        <v>13.63</v>
      </c>
      <c r="D1324">
        <f>182.2</f>
        <v>182.2</v>
      </c>
    </row>
    <row r="1325" spans="1:4" x14ac:dyDescent="0.2">
      <c r="A1325" s="1">
        <v>43291</v>
      </c>
      <c r="B1325">
        <f>12.9935</f>
        <v>12.993499999999999</v>
      </c>
      <c r="C1325">
        <f>12.64</f>
        <v>12.64</v>
      </c>
      <c r="D1325">
        <f>212.54</f>
        <v>212.54</v>
      </c>
    </row>
    <row r="1326" spans="1:4" x14ac:dyDescent="0.2">
      <c r="A1326" s="1">
        <v>43290</v>
      </c>
      <c r="B1326">
        <f>14.0711</f>
        <v>14.071099999999999</v>
      </c>
      <c r="C1326">
        <f>12.69</f>
        <v>12.69</v>
      </c>
      <c r="D1326">
        <f>220.81</f>
        <v>220.81</v>
      </c>
    </row>
    <row r="1327" spans="1:4" x14ac:dyDescent="0.2">
      <c r="A1327" s="1">
        <v>43287</v>
      </c>
      <c r="B1327">
        <f>14.7428</f>
        <v>14.742800000000001</v>
      </c>
      <c r="C1327">
        <f>13.37</f>
        <v>13.37</v>
      </c>
      <c r="D1327">
        <f>243.02</f>
        <v>243.02</v>
      </c>
    </row>
    <row r="1328" spans="1:4" x14ac:dyDescent="0.2">
      <c r="A1328" s="1">
        <v>43286</v>
      </c>
      <c r="B1328">
        <f>15.731</f>
        <v>15.731</v>
      </c>
      <c r="C1328">
        <f>14.97</f>
        <v>14.97</v>
      </c>
      <c r="D1328">
        <f>337.66</f>
        <v>337.66</v>
      </c>
    </row>
    <row r="1329" spans="1:4" x14ac:dyDescent="0.2">
      <c r="A1329" s="1">
        <v>43285</v>
      </c>
      <c r="B1329">
        <f>16.2213</f>
        <v>16.221299999999999</v>
      </c>
      <c r="C1329" t="e">
        <f>NA()</f>
        <v>#N/A</v>
      </c>
      <c r="D1329">
        <f>258.1</f>
        <v>258.10000000000002</v>
      </c>
    </row>
    <row r="1330" spans="1:4" x14ac:dyDescent="0.2">
      <c r="A1330" s="1">
        <v>43284</v>
      </c>
      <c r="B1330">
        <f>16.3909</f>
        <v>16.390899999999998</v>
      </c>
      <c r="C1330">
        <f>16.14</f>
        <v>16.14</v>
      </c>
      <c r="D1330">
        <f>272.83</f>
        <v>272.83</v>
      </c>
    </row>
    <row r="1331" spans="1:4" x14ac:dyDescent="0.2">
      <c r="A1331" s="1">
        <v>43283</v>
      </c>
      <c r="B1331">
        <f>17.9959</f>
        <v>17.995899999999999</v>
      </c>
      <c r="C1331">
        <f>15.6</f>
        <v>15.6</v>
      </c>
      <c r="D1331">
        <f>264.48</f>
        <v>264.48</v>
      </c>
    </row>
    <row r="1332" spans="1:4" x14ac:dyDescent="0.2">
      <c r="A1332" s="1">
        <v>43280</v>
      </c>
      <c r="B1332">
        <f>16.6333</f>
        <v>16.633299999999998</v>
      </c>
      <c r="C1332">
        <f>16.09</f>
        <v>16.09</v>
      </c>
      <c r="D1332">
        <f>370.32</f>
        <v>370.32</v>
      </c>
    </row>
    <row r="1333" spans="1:4" x14ac:dyDescent="0.2">
      <c r="A1333" s="1">
        <v>43279</v>
      </c>
      <c r="B1333">
        <f>18.4191</f>
        <v>18.4191</v>
      </c>
      <c r="C1333">
        <f>16.85</f>
        <v>16.850000000000001</v>
      </c>
      <c r="D1333">
        <f>276.22</f>
        <v>276.22000000000003</v>
      </c>
    </row>
    <row r="1334" spans="1:4" x14ac:dyDescent="0.2">
      <c r="A1334" s="1">
        <v>43278</v>
      </c>
      <c r="B1334">
        <f>17.1802</f>
        <v>17.180199999999999</v>
      </c>
      <c r="C1334">
        <f>17.91</f>
        <v>17.91</v>
      </c>
      <c r="D1334">
        <f>387.7</f>
        <v>387.7</v>
      </c>
    </row>
    <row r="1335" spans="1:4" x14ac:dyDescent="0.2">
      <c r="A1335" s="1">
        <v>43277</v>
      </c>
      <c r="B1335">
        <f>17.2411</f>
        <v>17.241099999999999</v>
      </c>
      <c r="C1335">
        <f>15.92</f>
        <v>15.92</v>
      </c>
      <c r="D1335">
        <f>267.11</f>
        <v>267.11</v>
      </c>
    </row>
    <row r="1336" spans="1:4" x14ac:dyDescent="0.2">
      <c r="A1336" s="1">
        <v>43276</v>
      </c>
      <c r="B1336">
        <f>17.8727</f>
        <v>17.872699999999998</v>
      </c>
      <c r="C1336">
        <f>17.33</f>
        <v>17.329999999999998</v>
      </c>
      <c r="D1336">
        <f>169.61</f>
        <v>169.61</v>
      </c>
    </row>
    <row r="1337" spans="1:4" x14ac:dyDescent="0.2">
      <c r="A1337" s="1">
        <v>43273</v>
      </c>
      <c r="B1337">
        <f>14.2065</f>
        <v>14.2065</v>
      </c>
      <c r="C1337">
        <f>13.77</f>
        <v>13.77</v>
      </c>
      <c r="D1337">
        <f>218.63</f>
        <v>218.63</v>
      </c>
    </row>
    <row r="1338" spans="1:4" x14ac:dyDescent="0.2">
      <c r="A1338" s="1">
        <v>43272</v>
      </c>
      <c r="B1338">
        <f>16.0901</f>
        <v>16.0901</v>
      </c>
      <c r="C1338">
        <f>14.64</f>
        <v>14.64</v>
      </c>
      <c r="D1338">
        <f>414.72</f>
        <v>414.72</v>
      </c>
    </row>
    <row r="1339" spans="1:4" x14ac:dyDescent="0.2">
      <c r="A1339" s="1">
        <v>43271</v>
      </c>
      <c r="B1339">
        <f>13.9834</f>
        <v>13.9834</v>
      </c>
      <c r="C1339">
        <f>12.79</f>
        <v>12.79</v>
      </c>
      <c r="D1339">
        <f>362.23</f>
        <v>362.23</v>
      </c>
    </row>
    <row r="1340" spans="1:4" x14ac:dyDescent="0.2">
      <c r="A1340" s="1">
        <v>43270</v>
      </c>
      <c r="B1340">
        <f>14.8685</f>
        <v>14.868499999999999</v>
      </c>
      <c r="C1340">
        <f>13.35</f>
        <v>13.35</v>
      </c>
      <c r="D1340">
        <f>316.96</f>
        <v>316.95999999999998</v>
      </c>
    </row>
    <row r="1341" spans="1:4" x14ac:dyDescent="0.2">
      <c r="A1341" s="1">
        <v>43269</v>
      </c>
      <c r="B1341">
        <f>13.763</f>
        <v>13.763</v>
      </c>
      <c r="C1341">
        <f>12.31</f>
        <v>12.31</v>
      </c>
      <c r="D1341">
        <f>175.02</f>
        <v>175.02</v>
      </c>
    </row>
    <row r="1342" spans="1:4" x14ac:dyDescent="0.2">
      <c r="A1342" s="1">
        <v>43266</v>
      </c>
      <c r="B1342">
        <f>12.1297</f>
        <v>12.1297</v>
      </c>
      <c r="C1342">
        <f>11.98</f>
        <v>11.98</v>
      </c>
      <c r="D1342">
        <f>628.76</f>
        <v>628.76</v>
      </c>
    </row>
    <row r="1343" spans="1:4" x14ac:dyDescent="0.2">
      <c r="A1343" s="1">
        <v>43265</v>
      </c>
      <c r="B1343">
        <f>11.4418</f>
        <v>11.441800000000001</v>
      </c>
      <c r="C1343">
        <f>12.12</f>
        <v>12.12</v>
      </c>
      <c r="D1343">
        <f>238.06</f>
        <v>238.06</v>
      </c>
    </row>
    <row r="1344" spans="1:4" x14ac:dyDescent="0.2">
      <c r="A1344" s="1">
        <v>43264</v>
      </c>
      <c r="B1344">
        <f>13.198</f>
        <v>13.198</v>
      </c>
      <c r="C1344">
        <f>12.94</f>
        <v>12.94</v>
      </c>
      <c r="D1344">
        <f>249.77</f>
        <v>249.77</v>
      </c>
    </row>
    <row r="1345" spans="1:4" x14ac:dyDescent="0.2">
      <c r="A1345" s="1">
        <v>43263</v>
      </c>
      <c r="B1345">
        <f>13.6885</f>
        <v>13.688499999999999</v>
      </c>
      <c r="C1345">
        <f>12.34</f>
        <v>12.34</v>
      </c>
      <c r="D1345">
        <f>209.43</f>
        <v>209.43</v>
      </c>
    </row>
    <row r="1346" spans="1:4" x14ac:dyDescent="0.2">
      <c r="A1346" s="1">
        <v>43262</v>
      </c>
      <c r="B1346">
        <f>13.9917</f>
        <v>13.9917</v>
      </c>
      <c r="C1346">
        <f>12.35</f>
        <v>12.35</v>
      </c>
      <c r="D1346">
        <f>197.35</f>
        <v>197.35</v>
      </c>
    </row>
    <row r="1347" spans="1:4" x14ac:dyDescent="0.2">
      <c r="A1347" s="1">
        <v>43259</v>
      </c>
      <c r="B1347">
        <f>14.9616</f>
        <v>14.961600000000001</v>
      </c>
      <c r="C1347">
        <f>12.18</f>
        <v>12.18</v>
      </c>
      <c r="D1347">
        <f>292.05</f>
        <v>292.05</v>
      </c>
    </row>
    <row r="1348" spans="1:4" x14ac:dyDescent="0.2">
      <c r="A1348" s="1">
        <v>43258</v>
      </c>
      <c r="B1348">
        <f>14.4204</f>
        <v>14.420400000000001</v>
      </c>
      <c r="C1348">
        <f>12.13</f>
        <v>12.13</v>
      </c>
      <c r="D1348">
        <f>339.79</f>
        <v>339.79</v>
      </c>
    </row>
    <row r="1349" spans="1:4" x14ac:dyDescent="0.2">
      <c r="A1349" s="1">
        <v>43257</v>
      </c>
      <c r="B1349">
        <f>14.7989</f>
        <v>14.7989</v>
      </c>
      <c r="C1349">
        <f>11.64</f>
        <v>11.64</v>
      </c>
      <c r="D1349">
        <f>263.26</f>
        <v>263.26</v>
      </c>
    </row>
    <row r="1350" spans="1:4" x14ac:dyDescent="0.2">
      <c r="A1350" s="1">
        <v>43256</v>
      </c>
      <c r="B1350">
        <f>14.7988</f>
        <v>14.7988</v>
      </c>
      <c r="C1350">
        <f>12.4</f>
        <v>12.4</v>
      </c>
      <c r="D1350">
        <f>262.57</f>
        <v>262.57</v>
      </c>
    </row>
    <row r="1351" spans="1:4" x14ac:dyDescent="0.2">
      <c r="A1351" s="1">
        <v>43255</v>
      </c>
      <c r="B1351">
        <f>14.3641</f>
        <v>14.364100000000001</v>
      </c>
      <c r="C1351">
        <f>12.74</f>
        <v>12.74</v>
      </c>
      <c r="D1351">
        <f>310.52</f>
        <v>310.52</v>
      </c>
    </row>
    <row r="1352" spans="1:4" x14ac:dyDescent="0.2">
      <c r="A1352" s="1">
        <v>43252</v>
      </c>
      <c r="B1352">
        <f>15.6231</f>
        <v>15.623100000000001</v>
      </c>
      <c r="C1352">
        <f>13.46</f>
        <v>13.46</v>
      </c>
      <c r="D1352">
        <f>280.44</f>
        <v>280.44</v>
      </c>
    </row>
    <row r="1353" spans="1:4" x14ac:dyDescent="0.2">
      <c r="A1353" s="1">
        <v>43251</v>
      </c>
      <c r="B1353">
        <f>17.6547</f>
        <v>17.654699999999998</v>
      </c>
      <c r="C1353">
        <f>15.43</f>
        <v>15.43</v>
      </c>
      <c r="D1353">
        <f>879.3</f>
        <v>879.3</v>
      </c>
    </row>
    <row r="1354" spans="1:4" x14ac:dyDescent="0.2">
      <c r="A1354" s="1">
        <v>43250</v>
      </c>
      <c r="B1354">
        <f>18.3411</f>
        <v>18.341100000000001</v>
      </c>
      <c r="C1354">
        <f>14.94</f>
        <v>14.94</v>
      </c>
      <c r="D1354">
        <f>410.76</f>
        <v>410.76</v>
      </c>
    </row>
    <row r="1355" spans="1:4" x14ac:dyDescent="0.2">
      <c r="A1355" s="1">
        <v>43249</v>
      </c>
      <c r="B1355">
        <f>20.1545</f>
        <v>20.154499999999999</v>
      </c>
      <c r="C1355">
        <f>17.02</f>
        <v>17.02</v>
      </c>
      <c r="D1355">
        <f>234.59</f>
        <v>234.59</v>
      </c>
    </row>
    <row r="1356" spans="1:4" x14ac:dyDescent="0.2">
      <c r="A1356" s="1">
        <v>43248</v>
      </c>
      <c r="B1356">
        <f>17.7786</f>
        <v>17.778600000000001</v>
      </c>
      <c r="C1356" t="e">
        <f>NA()</f>
        <v>#N/A</v>
      </c>
      <c r="D1356">
        <f>160.27</f>
        <v>160.27000000000001</v>
      </c>
    </row>
    <row r="1357" spans="1:4" x14ac:dyDescent="0.2">
      <c r="A1357" s="1">
        <v>43245</v>
      </c>
      <c r="B1357">
        <f>16.0228</f>
        <v>16.0228</v>
      </c>
      <c r="C1357">
        <f>13.22</f>
        <v>13.22</v>
      </c>
      <c r="D1357">
        <f>203.61</f>
        <v>203.61</v>
      </c>
    </row>
    <row r="1358" spans="1:4" x14ac:dyDescent="0.2">
      <c r="A1358" s="1">
        <v>43244</v>
      </c>
      <c r="B1358">
        <f>15.6902</f>
        <v>15.690200000000001</v>
      </c>
      <c r="C1358">
        <f>12.53</f>
        <v>12.53</v>
      </c>
      <c r="D1358">
        <f>241.84</f>
        <v>241.84</v>
      </c>
    </row>
    <row r="1359" spans="1:4" x14ac:dyDescent="0.2">
      <c r="A1359" s="1">
        <v>43243</v>
      </c>
      <c r="B1359">
        <f>15.0616</f>
        <v>15.0616</v>
      </c>
      <c r="C1359">
        <f>12.58</f>
        <v>12.58</v>
      </c>
      <c r="D1359">
        <f>257.46</f>
        <v>257.45999999999998</v>
      </c>
    </row>
    <row r="1360" spans="1:4" x14ac:dyDescent="0.2">
      <c r="A1360" s="1">
        <v>43242</v>
      </c>
      <c r="B1360">
        <f>12.9845</f>
        <v>12.984500000000001</v>
      </c>
      <c r="C1360">
        <f>13.22</f>
        <v>13.22</v>
      </c>
      <c r="D1360">
        <f>232.48</f>
        <v>232.48</v>
      </c>
    </row>
    <row r="1361" spans="1:4" x14ac:dyDescent="0.2">
      <c r="A1361" s="1">
        <v>43241</v>
      </c>
      <c r="B1361">
        <f>13.7761</f>
        <v>13.7761</v>
      </c>
      <c r="C1361">
        <f>13.08</f>
        <v>13.08</v>
      </c>
      <c r="D1361">
        <f>181.22</f>
        <v>181.22</v>
      </c>
    </row>
    <row r="1362" spans="1:4" x14ac:dyDescent="0.2">
      <c r="A1362" s="1">
        <v>43238</v>
      </c>
      <c r="B1362">
        <f>13.9673</f>
        <v>13.9673</v>
      </c>
      <c r="C1362">
        <f>13.42</f>
        <v>13.42</v>
      </c>
      <c r="D1362">
        <f>250.69</f>
        <v>250.69</v>
      </c>
    </row>
    <row r="1363" spans="1:4" x14ac:dyDescent="0.2">
      <c r="A1363" s="1">
        <v>43237</v>
      </c>
      <c r="B1363">
        <f>13.0848</f>
        <v>13.0848</v>
      </c>
      <c r="C1363">
        <f>13.43</f>
        <v>13.43</v>
      </c>
      <c r="D1363">
        <f>225.85</f>
        <v>225.85</v>
      </c>
    </row>
    <row r="1364" spans="1:4" x14ac:dyDescent="0.2">
      <c r="A1364" s="1">
        <v>43236</v>
      </c>
      <c r="B1364">
        <f>13.5725</f>
        <v>13.5725</v>
      </c>
      <c r="C1364">
        <f>13.42</f>
        <v>13.42</v>
      </c>
      <c r="D1364">
        <f>215.36</f>
        <v>215.36</v>
      </c>
    </row>
    <row r="1365" spans="1:4" x14ac:dyDescent="0.2">
      <c r="A1365" s="1">
        <v>43235</v>
      </c>
      <c r="B1365">
        <f>12.6765</f>
        <v>12.676500000000001</v>
      </c>
      <c r="C1365">
        <f>14.63</f>
        <v>14.63</v>
      </c>
      <c r="D1365">
        <f>336.7</f>
        <v>336.7</v>
      </c>
    </row>
    <row r="1366" spans="1:4" x14ac:dyDescent="0.2">
      <c r="A1366" s="1">
        <v>43234</v>
      </c>
      <c r="B1366">
        <f>12.6448</f>
        <v>12.6448</v>
      </c>
      <c r="C1366">
        <f>12.93</f>
        <v>12.93</v>
      </c>
      <c r="D1366">
        <f>189.63</f>
        <v>189.63</v>
      </c>
    </row>
    <row r="1367" spans="1:4" x14ac:dyDescent="0.2">
      <c r="A1367" s="1">
        <v>43231</v>
      </c>
      <c r="B1367">
        <f>12.4351</f>
        <v>12.4351</v>
      </c>
      <c r="C1367">
        <f>12.65</f>
        <v>12.65</v>
      </c>
      <c r="D1367">
        <f>211.04</f>
        <v>211.04</v>
      </c>
    </row>
    <row r="1368" spans="1:4" x14ac:dyDescent="0.2">
      <c r="A1368" s="1">
        <v>43230</v>
      </c>
      <c r="B1368">
        <f>12.8229</f>
        <v>12.822900000000001</v>
      </c>
      <c r="C1368">
        <f>13.23</f>
        <v>13.23</v>
      </c>
      <c r="D1368">
        <f>236.41</f>
        <v>236.41</v>
      </c>
    </row>
    <row r="1369" spans="1:4" x14ac:dyDescent="0.2">
      <c r="A1369" s="1">
        <v>43229</v>
      </c>
      <c r="B1369">
        <f>13.3529</f>
        <v>13.3529</v>
      </c>
      <c r="C1369">
        <f>13.42</f>
        <v>13.42</v>
      </c>
      <c r="D1369">
        <f>230.76</f>
        <v>230.76</v>
      </c>
    </row>
    <row r="1370" spans="1:4" x14ac:dyDescent="0.2">
      <c r="A1370" s="1">
        <v>43228</v>
      </c>
      <c r="B1370">
        <f>13.7161</f>
        <v>13.716100000000001</v>
      </c>
      <c r="C1370">
        <f>14.71</f>
        <v>14.71</v>
      </c>
      <c r="D1370">
        <f>237.18</f>
        <v>237.18</v>
      </c>
    </row>
    <row r="1371" spans="1:4" x14ac:dyDescent="0.2">
      <c r="A1371" s="1">
        <v>43227</v>
      </c>
      <c r="B1371">
        <f>13.3159</f>
        <v>13.315899999999999</v>
      </c>
      <c r="C1371">
        <f>14.75</f>
        <v>14.75</v>
      </c>
      <c r="D1371">
        <f>159.9</f>
        <v>159.9</v>
      </c>
    </row>
    <row r="1372" spans="1:4" x14ac:dyDescent="0.2">
      <c r="A1372" s="1">
        <v>43224</v>
      </c>
      <c r="B1372">
        <f>13.4198</f>
        <v>13.4198</v>
      </c>
      <c r="C1372">
        <f>14.77</f>
        <v>14.77</v>
      </c>
      <c r="D1372">
        <f>251.62</f>
        <v>251.62</v>
      </c>
    </row>
    <row r="1373" spans="1:4" x14ac:dyDescent="0.2">
      <c r="A1373" s="1">
        <v>43223</v>
      </c>
      <c r="B1373">
        <f>14.4576</f>
        <v>14.457599999999999</v>
      </c>
      <c r="C1373">
        <f>15.9</f>
        <v>15.9</v>
      </c>
      <c r="D1373">
        <f>227.54</f>
        <v>227.54</v>
      </c>
    </row>
    <row r="1374" spans="1:4" x14ac:dyDescent="0.2">
      <c r="A1374" s="1">
        <v>43222</v>
      </c>
      <c r="B1374">
        <f>13.5282</f>
        <v>13.5282</v>
      </c>
      <c r="C1374">
        <f>15.97</f>
        <v>15.97</v>
      </c>
      <c r="D1374">
        <f>246.07</f>
        <v>246.07</v>
      </c>
    </row>
    <row r="1375" spans="1:4" x14ac:dyDescent="0.2">
      <c r="A1375" s="1">
        <v>43221</v>
      </c>
      <c r="B1375" t="e">
        <f>NA()</f>
        <v>#N/A</v>
      </c>
      <c r="C1375">
        <f>15.49</f>
        <v>15.49</v>
      </c>
      <c r="D1375" t="e">
        <f>NA()</f>
        <v>#N/A</v>
      </c>
    </row>
    <row r="1376" spans="1:4" x14ac:dyDescent="0.2">
      <c r="A1376" s="1">
        <v>43220</v>
      </c>
      <c r="B1376">
        <f>13.7154</f>
        <v>13.715400000000001</v>
      </c>
      <c r="C1376">
        <f>15.93</f>
        <v>15.93</v>
      </c>
      <c r="D1376">
        <f>209.64</f>
        <v>209.64</v>
      </c>
    </row>
    <row r="1377" spans="1:4" x14ac:dyDescent="0.2">
      <c r="A1377" s="1">
        <v>43217</v>
      </c>
      <c r="B1377">
        <f>13.1315</f>
        <v>13.131500000000001</v>
      </c>
      <c r="C1377">
        <f>15.41</f>
        <v>15.41</v>
      </c>
      <c r="D1377" t="e">
        <f>NA()</f>
        <v>#N/A</v>
      </c>
    </row>
    <row r="1378" spans="1:4" x14ac:dyDescent="0.2">
      <c r="A1378" s="1">
        <v>43216</v>
      </c>
      <c r="B1378">
        <f>13.6785</f>
        <v>13.6785</v>
      </c>
      <c r="C1378">
        <f>16.24</f>
        <v>16.239999999999998</v>
      </c>
      <c r="D1378">
        <f>263.42</f>
        <v>263.42</v>
      </c>
    </row>
    <row r="1379" spans="1:4" x14ac:dyDescent="0.2">
      <c r="A1379" s="1">
        <v>43215</v>
      </c>
      <c r="B1379">
        <f>14.6576</f>
        <v>14.6576</v>
      </c>
      <c r="C1379">
        <f>17.84</f>
        <v>17.84</v>
      </c>
      <c r="D1379">
        <f>251.52</f>
        <v>251.52</v>
      </c>
    </row>
    <row r="1380" spans="1:4" x14ac:dyDescent="0.2">
      <c r="A1380" s="1">
        <v>43214</v>
      </c>
      <c r="B1380">
        <f>13.4086</f>
        <v>13.4086</v>
      </c>
      <c r="C1380">
        <f>18.02</f>
        <v>18.02</v>
      </c>
      <c r="D1380">
        <f>179.75</f>
        <v>179.75</v>
      </c>
    </row>
    <row r="1381" spans="1:4" x14ac:dyDescent="0.2">
      <c r="A1381" s="1">
        <v>43213</v>
      </c>
      <c r="B1381">
        <f>13.328</f>
        <v>13.327999999999999</v>
      </c>
      <c r="C1381">
        <f>16.34</f>
        <v>16.34</v>
      </c>
      <c r="D1381">
        <f>197.35</f>
        <v>197.35</v>
      </c>
    </row>
    <row r="1382" spans="1:4" x14ac:dyDescent="0.2">
      <c r="A1382" s="1">
        <v>43210</v>
      </c>
      <c r="B1382">
        <f>13.756</f>
        <v>13.756</v>
      </c>
      <c r="C1382">
        <f>16.88</f>
        <v>16.88</v>
      </c>
      <c r="D1382">
        <f>205.71</f>
        <v>205.71</v>
      </c>
    </row>
    <row r="1383" spans="1:4" x14ac:dyDescent="0.2">
      <c r="A1383" s="1">
        <v>43209</v>
      </c>
      <c r="B1383">
        <f>13.7415</f>
        <v>13.7415</v>
      </c>
      <c r="C1383">
        <f>15.96</f>
        <v>15.96</v>
      </c>
      <c r="D1383">
        <f>239.74</f>
        <v>239.74</v>
      </c>
    </row>
    <row r="1384" spans="1:4" x14ac:dyDescent="0.2">
      <c r="A1384" s="1">
        <v>43208</v>
      </c>
      <c r="B1384">
        <f>13.0383</f>
        <v>13.0383</v>
      </c>
      <c r="C1384">
        <f>15.6</f>
        <v>15.6</v>
      </c>
      <c r="D1384">
        <f>271.71</f>
        <v>271.70999999999998</v>
      </c>
    </row>
    <row r="1385" spans="1:4" x14ac:dyDescent="0.2">
      <c r="A1385" s="1">
        <v>43207</v>
      </c>
      <c r="B1385">
        <f>13.288</f>
        <v>13.288</v>
      </c>
      <c r="C1385">
        <f>15.25</f>
        <v>15.25</v>
      </c>
      <c r="D1385">
        <f>190.56</f>
        <v>190.56</v>
      </c>
    </row>
    <row r="1386" spans="1:4" x14ac:dyDescent="0.2">
      <c r="A1386" s="1">
        <v>43206</v>
      </c>
      <c r="B1386">
        <f>14.5036</f>
        <v>14.5036</v>
      </c>
      <c r="C1386">
        <f>16.56</f>
        <v>16.559999999999999</v>
      </c>
      <c r="D1386">
        <f>215.71</f>
        <v>215.71</v>
      </c>
    </row>
    <row r="1387" spans="1:4" x14ac:dyDescent="0.2">
      <c r="A1387" s="1">
        <v>43203</v>
      </c>
      <c r="B1387">
        <f>15.2974</f>
        <v>15.2974</v>
      </c>
      <c r="C1387">
        <f>17.41</f>
        <v>17.41</v>
      </c>
      <c r="D1387">
        <f>218.55</f>
        <v>218.55</v>
      </c>
    </row>
    <row r="1388" spans="1:4" x14ac:dyDescent="0.2">
      <c r="A1388" s="1">
        <v>43202</v>
      </c>
      <c r="B1388">
        <f>15.8108</f>
        <v>15.8108</v>
      </c>
      <c r="C1388">
        <f>18.49</f>
        <v>18.489999999999998</v>
      </c>
      <c r="D1388">
        <f>224.18</f>
        <v>224.18</v>
      </c>
    </row>
    <row r="1389" spans="1:4" x14ac:dyDescent="0.2">
      <c r="A1389" s="1">
        <v>43201</v>
      </c>
      <c r="B1389">
        <f>16.9837</f>
        <v>16.983699999999999</v>
      </c>
      <c r="C1389">
        <f>20.24</f>
        <v>20.239999999999998</v>
      </c>
      <c r="D1389">
        <f>277.84</f>
        <v>277.83999999999997</v>
      </c>
    </row>
    <row r="1390" spans="1:4" x14ac:dyDescent="0.2">
      <c r="A1390" s="1">
        <v>43200</v>
      </c>
      <c r="B1390">
        <f>16.3164</f>
        <v>16.316400000000002</v>
      </c>
      <c r="C1390">
        <f>20.47</f>
        <v>20.47</v>
      </c>
      <c r="D1390">
        <f>245.56</f>
        <v>245.56</v>
      </c>
    </row>
    <row r="1391" spans="1:4" x14ac:dyDescent="0.2">
      <c r="A1391" s="1">
        <v>43199</v>
      </c>
      <c r="B1391">
        <f>17.353</f>
        <v>17.353000000000002</v>
      </c>
      <c r="C1391">
        <f>21.77</f>
        <v>21.77</v>
      </c>
      <c r="D1391">
        <f>270.72</f>
        <v>270.72000000000003</v>
      </c>
    </row>
    <row r="1392" spans="1:4" x14ac:dyDescent="0.2">
      <c r="A1392" s="1">
        <v>43196</v>
      </c>
      <c r="B1392">
        <f>17.4368</f>
        <v>17.436800000000002</v>
      </c>
      <c r="C1392">
        <f>21.49</f>
        <v>21.49</v>
      </c>
      <c r="D1392">
        <f>241.26</f>
        <v>241.26</v>
      </c>
    </row>
    <row r="1393" spans="1:4" x14ac:dyDescent="0.2">
      <c r="A1393" s="1">
        <v>43195</v>
      </c>
      <c r="B1393">
        <f>16.9025</f>
        <v>16.9025</v>
      </c>
      <c r="C1393">
        <f>18.94</f>
        <v>18.940000000000001</v>
      </c>
      <c r="D1393">
        <f>244</f>
        <v>244</v>
      </c>
    </row>
    <row r="1394" spans="1:4" x14ac:dyDescent="0.2">
      <c r="A1394" s="1">
        <v>43194</v>
      </c>
      <c r="B1394">
        <f>19.5763</f>
        <v>19.5763</v>
      </c>
      <c r="C1394">
        <f>20.06</f>
        <v>20.059999999999999</v>
      </c>
      <c r="D1394">
        <f>273.37</f>
        <v>273.37</v>
      </c>
    </row>
    <row r="1395" spans="1:4" x14ac:dyDescent="0.2">
      <c r="A1395" s="1">
        <v>43193</v>
      </c>
      <c r="B1395">
        <f>18.8146</f>
        <v>18.814599999999999</v>
      </c>
      <c r="C1395">
        <f>21.1</f>
        <v>21.1</v>
      </c>
      <c r="D1395">
        <f>243.16</f>
        <v>243.16</v>
      </c>
    </row>
    <row r="1396" spans="1:4" x14ac:dyDescent="0.2">
      <c r="A1396" s="1">
        <v>43192</v>
      </c>
      <c r="B1396" t="e">
        <f>NA()</f>
        <v>#N/A</v>
      </c>
      <c r="C1396">
        <f>23.62</f>
        <v>23.62</v>
      </c>
      <c r="D1396" t="e">
        <f>NA()</f>
        <v>#N/A</v>
      </c>
    </row>
    <row r="1397" spans="1:4" x14ac:dyDescent="0.2">
      <c r="A1397" s="1">
        <v>43188</v>
      </c>
      <c r="B1397">
        <f>17.4364</f>
        <v>17.436399999999999</v>
      </c>
      <c r="C1397">
        <f>19.97</f>
        <v>19.97</v>
      </c>
      <c r="D1397">
        <f>421.4</f>
        <v>421.4</v>
      </c>
    </row>
    <row r="1398" spans="1:4" x14ac:dyDescent="0.2">
      <c r="A1398" s="1">
        <v>43187</v>
      </c>
      <c r="B1398">
        <f>19.6857</f>
        <v>19.685700000000001</v>
      </c>
      <c r="C1398">
        <f>22.87</f>
        <v>22.87</v>
      </c>
      <c r="D1398">
        <f>359.94</f>
        <v>359.94</v>
      </c>
    </row>
    <row r="1399" spans="1:4" x14ac:dyDescent="0.2">
      <c r="A1399" s="1">
        <v>43186</v>
      </c>
      <c r="B1399">
        <f>18.9761</f>
        <v>18.976099999999999</v>
      </c>
      <c r="C1399">
        <f>22.5</f>
        <v>22.5</v>
      </c>
      <c r="D1399">
        <f>258.29</f>
        <v>258.29000000000002</v>
      </c>
    </row>
    <row r="1400" spans="1:4" x14ac:dyDescent="0.2">
      <c r="A1400" s="1">
        <v>43185</v>
      </c>
      <c r="B1400">
        <f>22.0543</f>
        <v>22.054300000000001</v>
      </c>
      <c r="C1400">
        <f>21.03</f>
        <v>21.03</v>
      </c>
      <c r="D1400">
        <f>274.2</f>
        <v>274.2</v>
      </c>
    </row>
    <row r="1401" spans="1:4" x14ac:dyDescent="0.2">
      <c r="A1401" s="1">
        <v>43182</v>
      </c>
      <c r="B1401">
        <f>21.0758</f>
        <v>21.075800000000001</v>
      </c>
      <c r="C1401">
        <f>24.87</f>
        <v>24.87</v>
      </c>
      <c r="D1401">
        <f>471.87</f>
        <v>471.87</v>
      </c>
    </row>
    <row r="1402" spans="1:4" x14ac:dyDescent="0.2">
      <c r="A1402" s="1">
        <v>43181</v>
      </c>
      <c r="B1402">
        <f>18.551</f>
        <v>18.550999999999998</v>
      </c>
      <c r="C1402">
        <f>23.34</f>
        <v>23.34</v>
      </c>
      <c r="D1402">
        <f>329.01</f>
        <v>329.01</v>
      </c>
    </row>
    <row r="1403" spans="1:4" x14ac:dyDescent="0.2">
      <c r="A1403" s="1">
        <v>43180</v>
      </c>
      <c r="B1403">
        <f>14.8531</f>
        <v>14.8531</v>
      </c>
      <c r="C1403">
        <f>17.86</f>
        <v>17.86</v>
      </c>
      <c r="D1403" t="e">
        <f>NA()</f>
        <v>#N/A</v>
      </c>
    </row>
    <row r="1404" spans="1:4" x14ac:dyDescent="0.2">
      <c r="A1404" s="1">
        <v>43179</v>
      </c>
      <c r="B1404">
        <f>15.3836</f>
        <v>15.383599999999999</v>
      </c>
      <c r="C1404">
        <f>18.2</f>
        <v>18.2</v>
      </c>
      <c r="D1404">
        <f>254.06</f>
        <v>254.06</v>
      </c>
    </row>
    <row r="1405" spans="1:4" x14ac:dyDescent="0.2">
      <c r="A1405" s="1">
        <v>43178</v>
      </c>
      <c r="B1405">
        <f>16.4988</f>
        <v>16.498799999999999</v>
      </c>
      <c r="C1405">
        <f>19.02</f>
        <v>19.02</v>
      </c>
      <c r="D1405">
        <f>248.61</f>
        <v>248.61</v>
      </c>
    </row>
    <row r="1406" spans="1:4" x14ac:dyDescent="0.2">
      <c r="A1406" s="1">
        <v>43175</v>
      </c>
      <c r="B1406">
        <f>13.389</f>
        <v>13.388999999999999</v>
      </c>
      <c r="C1406">
        <f>15.8</f>
        <v>15.8</v>
      </c>
      <c r="D1406">
        <f>606.9</f>
        <v>606.9</v>
      </c>
    </row>
    <row r="1407" spans="1:4" x14ac:dyDescent="0.2">
      <c r="A1407" s="1">
        <v>43174</v>
      </c>
      <c r="B1407">
        <f>15.2246</f>
        <v>15.224600000000001</v>
      </c>
      <c r="C1407">
        <f>16.59</f>
        <v>16.59</v>
      </c>
      <c r="D1407">
        <f>558.6</f>
        <v>558.6</v>
      </c>
    </row>
    <row r="1408" spans="1:4" x14ac:dyDescent="0.2">
      <c r="A1408" s="1">
        <v>43173</v>
      </c>
      <c r="B1408">
        <f>16.9106</f>
        <v>16.910599999999999</v>
      </c>
      <c r="C1408">
        <f>17.23</f>
        <v>17.23</v>
      </c>
      <c r="D1408">
        <f>287.63</f>
        <v>287.63</v>
      </c>
    </row>
    <row r="1409" spans="1:4" x14ac:dyDescent="0.2">
      <c r="A1409" s="1">
        <v>43172</v>
      </c>
      <c r="B1409">
        <f>16.6195</f>
        <v>16.619499999999999</v>
      </c>
      <c r="C1409">
        <f>16.35</f>
        <v>16.350000000000001</v>
      </c>
      <c r="D1409">
        <f>323.91</f>
        <v>323.91000000000003</v>
      </c>
    </row>
    <row r="1410" spans="1:4" x14ac:dyDescent="0.2">
      <c r="A1410" s="1">
        <v>43171</v>
      </c>
      <c r="B1410">
        <f>15.4002</f>
        <v>15.4002</v>
      </c>
      <c r="C1410">
        <f>15.78</f>
        <v>15.78</v>
      </c>
      <c r="D1410">
        <f>255.87</f>
        <v>255.87</v>
      </c>
    </row>
    <row r="1411" spans="1:4" x14ac:dyDescent="0.2">
      <c r="A1411" s="1">
        <v>43168</v>
      </c>
      <c r="B1411">
        <f>15.4054</f>
        <v>15.4054</v>
      </c>
      <c r="C1411">
        <f>14.64</f>
        <v>14.64</v>
      </c>
      <c r="D1411">
        <f>232.52</f>
        <v>232.52</v>
      </c>
    </row>
    <row r="1412" spans="1:4" x14ac:dyDescent="0.2">
      <c r="A1412" s="1">
        <v>43167</v>
      </c>
      <c r="B1412">
        <f>16.6065</f>
        <v>16.6065</v>
      </c>
      <c r="C1412">
        <f>16.54</f>
        <v>16.54</v>
      </c>
      <c r="D1412">
        <f>363.15</f>
        <v>363.15</v>
      </c>
    </row>
    <row r="1413" spans="1:4" x14ac:dyDescent="0.2">
      <c r="A1413" s="1">
        <v>43166</v>
      </c>
      <c r="B1413">
        <f>18.1546</f>
        <v>18.154599999999999</v>
      </c>
      <c r="C1413">
        <f>17.76</f>
        <v>17.760000000000002</v>
      </c>
      <c r="D1413">
        <f>258.38</f>
        <v>258.38</v>
      </c>
    </row>
    <row r="1414" spans="1:4" x14ac:dyDescent="0.2">
      <c r="A1414" s="1">
        <v>43165</v>
      </c>
      <c r="B1414">
        <f>18.6852</f>
        <v>18.685199999999998</v>
      </c>
      <c r="C1414">
        <f>18.36</f>
        <v>18.36</v>
      </c>
      <c r="D1414">
        <f>256.62</f>
        <v>256.62</v>
      </c>
    </row>
    <row r="1415" spans="1:4" x14ac:dyDescent="0.2">
      <c r="A1415" s="1">
        <v>43164</v>
      </c>
      <c r="B1415">
        <f>18.8922</f>
        <v>18.892199999999999</v>
      </c>
      <c r="C1415">
        <f>18.73</f>
        <v>18.73</v>
      </c>
      <c r="D1415">
        <f>229.43</f>
        <v>229.43</v>
      </c>
    </row>
    <row r="1416" spans="1:4" x14ac:dyDescent="0.2">
      <c r="A1416" s="1">
        <v>43161</v>
      </c>
      <c r="B1416">
        <f>23.386</f>
        <v>23.385999999999999</v>
      </c>
      <c r="C1416">
        <f>19.59</f>
        <v>19.59</v>
      </c>
      <c r="D1416">
        <f>331.65</f>
        <v>331.65</v>
      </c>
    </row>
    <row r="1417" spans="1:4" x14ac:dyDescent="0.2">
      <c r="A1417" s="1">
        <v>43160</v>
      </c>
      <c r="B1417">
        <f>20.5673</f>
        <v>20.567299999999999</v>
      </c>
      <c r="C1417">
        <f>22.47</f>
        <v>22.47</v>
      </c>
      <c r="D1417">
        <f>279.02</f>
        <v>279.02</v>
      </c>
    </row>
    <row r="1418" spans="1:4" x14ac:dyDescent="0.2">
      <c r="A1418" s="1">
        <v>43159</v>
      </c>
      <c r="B1418">
        <f>18.0002</f>
        <v>18.0002</v>
      </c>
      <c r="C1418">
        <f>19.85</f>
        <v>19.850000000000001</v>
      </c>
      <c r="D1418">
        <f>349.4</f>
        <v>349.4</v>
      </c>
    </row>
    <row r="1419" spans="1:4" x14ac:dyDescent="0.2">
      <c r="A1419" s="1">
        <v>43158</v>
      </c>
      <c r="B1419">
        <f>17.5944</f>
        <v>17.5944</v>
      </c>
      <c r="C1419">
        <f>18.59</f>
        <v>18.59</v>
      </c>
      <c r="D1419">
        <f>294.83</f>
        <v>294.83</v>
      </c>
    </row>
    <row r="1420" spans="1:4" x14ac:dyDescent="0.2">
      <c r="A1420" s="1">
        <v>43157</v>
      </c>
      <c r="B1420">
        <f>16.7709</f>
        <v>16.770900000000001</v>
      </c>
      <c r="C1420">
        <f>15.8</f>
        <v>15.8</v>
      </c>
      <c r="D1420">
        <f>252.24</f>
        <v>252.24</v>
      </c>
    </row>
    <row r="1421" spans="1:4" x14ac:dyDescent="0.2">
      <c r="A1421" s="1">
        <v>43154</v>
      </c>
      <c r="B1421">
        <f>18.1752</f>
        <v>18.1752</v>
      </c>
      <c r="C1421">
        <f>16.49</f>
        <v>16.489999999999998</v>
      </c>
      <c r="D1421">
        <f>325.7</f>
        <v>325.7</v>
      </c>
    </row>
    <row r="1422" spans="1:4" x14ac:dyDescent="0.2">
      <c r="A1422" s="1">
        <v>43153</v>
      </c>
      <c r="B1422">
        <f>18.6903</f>
        <v>18.690300000000001</v>
      </c>
      <c r="C1422">
        <f>18.72</f>
        <v>18.72</v>
      </c>
      <c r="D1422">
        <f>342.36</f>
        <v>342.36</v>
      </c>
    </row>
    <row r="1423" spans="1:4" x14ac:dyDescent="0.2">
      <c r="A1423" s="1">
        <v>43152</v>
      </c>
      <c r="B1423">
        <f>18.6489</f>
        <v>18.648900000000001</v>
      </c>
      <c r="C1423">
        <f>20.02</f>
        <v>20.02</v>
      </c>
      <c r="D1423">
        <f>377.65</f>
        <v>377.65</v>
      </c>
    </row>
    <row r="1424" spans="1:4" x14ac:dyDescent="0.2">
      <c r="A1424" s="1">
        <v>43151</v>
      </c>
      <c r="B1424">
        <f>18.6401</f>
        <v>18.6401</v>
      </c>
      <c r="C1424">
        <f>20.6</f>
        <v>20.6</v>
      </c>
      <c r="D1424">
        <f>339.57</f>
        <v>339.57</v>
      </c>
    </row>
    <row r="1425" spans="1:4" x14ac:dyDescent="0.2">
      <c r="A1425" s="1">
        <v>43150</v>
      </c>
      <c r="B1425">
        <f>19.1283</f>
        <v>19.128299999999999</v>
      </c>
      <c r="C1425" t="e">
        <f>NA()</f>
        <v>#N/A</v>
      </c>
      <c r="D1425">
        <f>252.4</f>
        <v>252.4</v>
      </c>
    </row>
    <row r="1426" spans="1:4" x14ac:dyDescent="0.2">
      <c r="A1426" s="1">
        <v>43147</v>
      </c>
      <c r="B1426">
        <f>17.7606</f>
        <v>17.7606</v>
      </c>
      <c r="C1426">
        <f>19.46</f>
        <v>19.46</v>
      </c>
      <c r="D1426">
        <f>418.59</f>
        <v>418.59</v>
      </c>
    </row>
    <row r="1427" spans="1:4" x14ac:dyDescent="0.2">
      <c r="A1427" s="1">
        <v>43146</v>
      </c>
      <c r="B1427">
        <f>20.5158</f>
        <v>20.515799999999999</v>
      </c>
      <c r="C1427">
        <f>19.13</f>
        <v>19.13</v>
      </c>
      <c r="D1427">
        <f>430.96</f>
        <v>430.96</v>
      </c>
    </row>
    <row r="1428" spans="1:4" x14ac:dyDescent="0.2">
      <c r="A1428" s="1">
        <v>43145</v>
      </c>
      <c r="B1428">
        <f>20.7053</f>
        <v>20.705300000000001</v>
      </c>
      <c r="C1428">
        <f>19.26</f>
        <v>19.260000000000002</v>
      </c>
      <c r="D1428">
        <f>339.95</f>
        <v>339.95</v>
      </c>
    </row>
    <row r="1429" spans="1:4" x14ac:dyDescent="0.2">
      <c r="A1429" s="1">
        <v>43144</v>
      </c>
      <c r="B1429">
        <f>25.9501</f>
        <v>25.950099999999999</v>
      </c>
      <c r="C1429">
        <f>24.97</f>
        <v>24.97</v>
      </c>
      <c r="D1429">
        <f>290.02</f>
        <v>290.02</v>
      </c>
    </row>
    <row r="1430" spans="1:4" x14ac:dyDescent="0.2">
      <c r="A1430" s="1">
        <v>43143</v>
      </c>
      <c r="B1430">
        <f>28.1626</f>
        <v>28.162600000000001</v>
      </c>
      <c r="C1430">
        <f>25.61</f>
        <v>25.61</v>
      </c>
      <c r="D1430">
        <f>345.74</f>
        <v>345.74</v>
      </c>
    </row>
    <row r="1431" spans="1:4" x14ac:dyDescent="0.2">
      <c r="A1431" s="1">
        <v>43140</v>
      </c>
      <c r="B1431">
        <f>34.737</f>
        <v>34.737000000000002</v>
      </c>
      <c r="C1431">
        <f>29.06</f>
        <v>29.06</v>
      </c>
      <c r="D1431">
        <f>452.94</f>
        <v>452.94</v>
      </c>
    </row>
    <row r="1432" spans="1:4" x14ac:dyDescent="0.2">
      <c r="A1432" s="1">
        <v>43139</v>
      </c>
      <c r="B1432">
        <f>32.0402</f>
        <v>32.040199999999999</v>
      </c>
      <c r="C1432">
        <f>33.46</f>
        <v>33.46</v>
      </c>
      <c r="D1432">
        <f>405.9</f>
        <v>405.9</v>
      </c>
    </row>
    <row r="1433" spans="1:4" x14ac:dyDescent="0.2">
      <c r="A1433" s="1">
        <v>43138</v>
      </c>
      <c r="B1433">
        <f>21.3656</f>
        <v>21.365600000000001</v>
      </c>
      <c r="C1433">
        <f>27.73</f>
        <v>27.73</v>
      </c>
      <c r="D1433">
        <f>422.39</f>
        <v>422.39</v>
      </c>
    </row>
    <row r="1434" spans="1:4" x14ac:dyDescent="0.2">
      <c r="A1434" s="1">
        <v>43137</v>
      </c>
      <c r="B1434">
        <f>30.1771</f>
        <v>30.177099999999999</v>
      </c>
      <c r="C1434">
        <f>29.98</f>
        <v>29.98</v>
      </c>
      <c r="D1434">
        <f>394.53</f>
        <v>394.53</v>
      </c>
    </row>
    <row r="1435" spans="1:4" x14ac:dyDescent="0.2">
      <c r="A1435" s="1">
        <v>43136</v>
      </c>
      <c r="B1435">
        <f>18.855</f>
        <v>18.855</v>
      </c>
      <c r="C1435">
        <f>37.32</f>
        <v>37.32</v>
      </c>
      <c r="D1435">
        <f>341.88</f>
        <v>341.88</v>
      </c>
    </row>
    <row r="1436" spans="1:4" x14ac:dyDescent="0.2">
      <c r="A1436" s="1">
        <v>43133</v>
      </c>
      <c r="B1436">
        <f>17.5594</f>
        <v>17.5594</v>
      </c>
      <c r="C1436">
        <f>17.31</f>
        <v>17.309999999999999</v>
      </c>
      <c r="D1436">
        <f>388.62</f>
        <v>388.62</v>
      </c>
    </row>
    <row r="1437" spans="1:4" x14ac:dyDescent="0.2">
      <c r="A1437" s="1">
        <v>43132</v>
      </c>
      <c r="B1437">
        <f>16.1394</f>
        <v>16.139399999999998</v>
      </c>
      <c r="C1437">
        <f>13.47</f>
        <v>13.47</v>
      </c>
      <c r="D1437">
        <f>349.95</f>
        <v>349.95</v>
      </c>
    </row>
    <row r="1438" spans="1:4" x14ac:dyDescent="0.2">
      <c r="A1438" s="1">
        <v>43131</v>
      </c>
      <c r="B1438">
        <f>15.1644</f>
        <v>15.164400000000001</v>
      </c>
      <c r="C1438">
        <f>13.54</f>
        <v>13.54</v>
      </c>
      <c r="D1438">
        <f>310.66</f>
        <v>310.66000000000003</v>
      </c>
    </row>
    <row r="1439" spans="1:4" x14ac:dyDescent="0.2">
      <c r="A1439" s="1">
        <v>43130</v>
      </c>
      <c r="B1439">
        <f>14.811</f>
        <v>14.811</v>
      </c>
      <c r="C1439">
        <f>14.79</f>
        <v>14.79</v>
      </c>
      <c r="D1439">
        <f>358.37</f>
        <v>358.37</v>
      </c>
    </row>
    <row r="1440" spans="1:4" x14ac:dyDescent="0.2">
      <c r="A1440" s="1">
        <v>43129</v>
      </c>
      <c r="B1440">
        <f>13.2927</f>
        <v>13.2927</v>
      </c>
      <c r="C1440">
        <f>13.84</f>
        <v>13.84</v>
      </c>
      <c r="D1440">
        <f>356.09</f>
        <v>356.09</v>
      </c>
    </row>
    <row r="1441" spans="1:4" x14ac:dyDescent="0.2">
      <c r="A1441" s="1">
        <v>43126</v>
      </c>
      <c r="B1441">
        <f>12.4779</f>
        <v>12.4779</v>
      </c>
      <c r="C1441">
        <f>11.08</f>
        <v>11.08</v>
      </c>
      <c r="D1441">
        <f>294.03</f>
        <v>294.02999999999997</v>
      </c>
    </row>
    <row r="1442" spans="1:4" x14ac:dyDescent="0.2">
      <c r="A1442" s="1">
        <v>43125</v>
      </c>
      <c r="B1442">
        <f>12.691</f>
        <v>12.691000000000001</v>
      </c>
      <c r="C1442">
        <f>11.58</f>
        <v>11.58</v>
      </c>
      <c r="D1442">
        <f>272.8</f>
        <v>272.8</v>
      </c>
    </row>
    <row r="1443" spans="1:4" x14ac:dyDescent="0.2">
      <c r="A1443" s="1">
        <v>43124</v>
      </c>
      <c r="B1443">
        <f>12.3924</f>
        <v>12.3924</v>
      </c>
      <c r="C1443">
        <f>11.47</f>
        <v>11.47</v>
      </c>
      <c r="D1443">
        <f>297.5</f>
        <v>297.5</v>
      </c>
    </row>
    <row r="1444" spans="1:4" x14ac:dyDescent="0.2">
      <c r="A1444" s="1">
        <v>43123</v>
      </c>
      <c r="B1444">
        <f>11.9508</f>
        <v>11.950799999999999</v>
      </c>
      <c r="C1444">
        <f>11.1</f>
        <v>11.1</v>
      </c>
      <c r="D1444">
        <f>347.77</f>
        <v>347.77</v>
      </c>
    </row>
    <row r="1445" spans="1:4" x14ac:dyDescent="0.2">
      <c r="A1445" s="1">
        <v>43122</v>
      </c>
      <c r="B1445">
        <f>11.9678</f>
        <v>11.9678</v>
      </c>
      <c r="C1445">
        <f>11.03</f>
        <v>11.03</v>
      </c>
      <c r="D1445">
        <f>295.97</f>
        <v>295.97000000000003</v>
      </c>
    </row>
    <row r="1446" spans="1:4" x14ac:dyDescent="0.2">
      <c r="A1446" s="1">
        <v>43119</v>
      </c>
      <c r="B1446">
        <f>11.8533</f>
        <v>11.853300000000001</v>
      </c>
      <c r="C1446">
        <f>11.27</f>
        <v>11.27</v>
      </c>
      <c r="D1446">
        <f>273.56</f>
        <v>273.56</v>
      </c>
    </row>
    <row r="1447" spans="1:4" x14ac:dyDescent="0.2">
      <c r="A1447" s="1">
        <v>43118</v>
      </c>
      <c r="B1447">
        <f>11.9883</f>
        <v>11.988300000000001</v>
      </c>
      <c r="C1447">
        <f>12.22</f>
        <v>12.22</v>
      </c>
      <c r="D1447">
        <f>340.02</f>
        <v>340.02</v>
      </c>
    </row>
    <row r="1448" spans="1:4" x14ac:dyDescent="0.2">
      <c r="A1448" s="1">
        <v>43117</v>
      </c>
      <c r="B1448">
        <f>11.9473</f>
        <v>11.9473</v>
      </c>
      <c r="C1448">
        <f>11.91</f>
        <v>11.91</v>
      </c>
      <c r="D1448">
        <f>285.55</f>
        <v>285.55</v>
      </c>
    </row>
    <row r="1449" spans="1:4" x14ac:dyDescent="0.2">
      <c r="A1449" s="1">
        <v>43116</v>
      </c>
      <c r="B1449">
        <f>11.3466</f>
        <v>11.3466</v>
      </c>
      <c r="C1449">
        <f>11.66</f>
        <v>11.66</v>
      </c>
      <c r="D1449">
        <f>251.9</f>
        <v>251.9</v>
      </c>
    </row>
    <row r="1450" spans="1:4" x14ac:dyDescent="0.2">
      <c r="A1450" s="1">
        <v>43115</v>
      </c>
      <c r="B1450">
        <f>11.0727</f>
        <v>11.072699999999999</v>
      </c>
      <c r="C1450" t="e">
        <f>NA()</f>
        <v>#N/A</v>
      </c>
      <c r="D1450">
        <f>190.09</f>
        <v>190.09</v>
      </c>
    </row>
    <row r="1451" spans="1:4" x14ac:dyDescent="0.2">
      <c r="A1451" s="1">
        <v>43112</v>
      </c>
      <c r="B1451">
        <f>10.9024</f>
        <v>10.9024</v>
      </c>
      <c r="C1451">
        <f>10.16</f>
        <v>10.16</v>
      </c>
      <c r="D1451">
        <f>165.43</f>
        <v>165.43</v>
      </c>
    </row>
    <row r="1452" spans="1:4" x14ac:dyDescent="0.2">
      <c r="A1452" s="1">
        <v>43111</v>
      </c>
      <c r="B1452">
        <f>11.3595</f>
        <v>11.359500000000001</v>
      </c>
      <c r="C1452">
        <f>9.88</f>
        <v>9.8800000000000008</v>
      </c>
      <c r="D1452">
        <f>394.11</f>
        <v>394.11</v>
      </c>
    </row>
    <row r="1453" spans="1:4" x14ac:dyDescent="0.2">
      <c r="A1453" s="1">
        <v>43110</v>
      </c>
      <c r="B1453">
        <f>11.759</f>
        <v>11.759</v>
      </c>
      <c r="C1453">
        <f>9.82</f>
        <v>9.82</v>
      </c>
      <c r="D1453">
        <f>479.8</f>
        <v>479.8</v>
      </c>
    </row>
    <row r="1454" spans="1:4" x14ac:dyDescent="0.2">
      <c r="A1454" s="1">
        <v>43109</v>
      </c>
      <c r="B1454">
        <f>11.262</f>
        <v>11.262</v>
      </c>
      <c r="C1454">
        <f>10.08</f>
        <v>10.08</v>
      </c>
      <c r="D1454">
        <f>203.81</f>
        <v>203.81</v>
      </c>
    </row>
    <row r="1455" spans="1:4" x14ac:dyDescent="0.2">
      <c r="A1455" s="1">
        <v>43108</v>
      </c>
      <c r="B1455">
        <f>11.4954</f>
        <v>11.4954</v>
      </c>
      <c r="C1455">
        <f>9.52</f>
        <v>9.52</v>
      </c>
      <c r="D1455">
        <f>172.9</f>
        <v>172.9</v>
      </c>
    </row>
    <row r="1456" spans="1:4" x14ac:dyDescent="0.2">
      <c r="A1456" s="1">
        <v>43105</v>
      </c>
      <c r="B1456">
        <f>11.1245</f>
        <v>11.124499999999999</v>
      </c>
      <c r="C1456">
        <f>9.22</f>
        <v>9.2200000000000006</v>
      </c>
      <c r="D1456">
        <f>156.49</f>
        <v>156.49</v>
      </c>
    </row>
    <row r="1457" spans="1:4" x14ac:dyDescent="0.2">
      <c r="A1457" s="1">
        <v>43104</v>
      </c>
      <c r="B1457">
        <f>11.4105</f>
        <v>11.410500000000001</v>
      </c>
      <c r="C1457">
        <f>9.22</f>
        <v>9.2200000000000006</v>
      </c>
      <c r="D1457">
        <f>221.59</f>
        <v>221.59</v>
      </c>
    </row>
    <row r="1458" spans="1:4" x14ac:dyDescent="0.2">
      <c r="A1458" s="1">
        <v>43103</v>
      </c>
      <c r="B1458">
        <f>12.1367</f>
        <v>12.136699999999999</v>
      </c>
      <c r="C1458">
        <f>9.15</f>
        <v>9.15</v>
      </c>
      <c r="D1458">
        <f>165.45</f>
        <v>165.45</v>
      </c>
    </row>
    <row r="1459" spans="1:4" x14ac:dyDescent="0.2">
      <c r="A1459" s="1">
        <v>43102</v>
      </c>
      <c r="B1459">
        <f>13.3676</f>
        <v>13.367599999999999</v>
      </c>
      <c r="C1459">
        <f>9.77</f>
        <v>9.77</v>
      </c>
      <c r="D1459">
        <f>149.54</f>
        <v>149.54</v>
      </c>
    </row>
    <row r="1460" spans="1:4" x14ac:dyDescent="0.2">
      <c r="A1460" s="1">
        <v>43098</v>
      </c>
      <c r="B1460">
        <f>13.5114</f>
        <v>13.5114</v>
      </c>
      <c r="C1460">
        <f>11.04</f>
        <v>11.04</v>
      </c>
      <c r="D1460">
        <f>87.51</f>
        <v>87.51</v>
      </c>
    </row>
    <row r="1461" spans="1:4" x14ac:dyDescent="0.2">
      <c r="A1461" s="1">
        <v>43097</v>
      </c>
      <c r="B1461">
        <f>13.6229</f>
        <v>13.6229</v>
      </c>
      <c r="C1461">
        <f>10.18</f>
        <v>10.18</v>
      </c>
      <c r="D1461">
        <f>133.24</f>
        <v>133.24</v>
      </c>
    </row>
    <row r="1462" spans="1:4" x14ac:dyDescent="0.2">
      <c r="A1462" s="1">
        <v>43096</v>
      </c>
      <c r="B1462">
        <f>12.7143</f>
        <v>12.7143</v>
      </c>
      <c r="C1462">
        <f>10.47</f>
        <v>10.47</v>
      </c>
      <c r="D1462">
        <f>123.7</f>
        <v>123.7</v>
      </c>
    </row>
    <row r="1463" spans="1:4" x14ac:dyDescent="0.2">
      <c r="A1463" s="1">
        <v>43095</v>
      </c>
      <c r="B1463" t="e">
        <f>NA()</f>
        <v>#N/A</v>
      </c>
      <c r="C1463">
        <f>10.25</f>
        <v>10.25</v>
      </c>
      <c r="D1463" t="e">
        <f>NA()</f>
        <v>#N/A</v>
      </c>
    </row>
    <row r="1464" spans="1:4" x14ac:dyDescent="0.2">
      <c r="A1464" s="1">
        <v>43091</v>
      </c>
      <c r="B1464">
        <f>12.0057</f>
        <v>12.005699999999999</v>
      </c>
      <c r="C1464">
        <f>9.9</f>
        <v>9.9</v>
      </c>
      <c r="D1464">
        <f>99.39</f>
        <v>99.39</v>
      </c>
    </row>
    <row r="1465" spans="1:4" x14ac:dyDescent="0.2">
      <c r="A1465" s="1">
        <v>43090</v>
      </c>
      <c r="B1465">
        <f>11.7371</f>
        <v>11.7371</v>
      </c>
      <c r="C1465">
        <f>9.62</f>
        <v>9.6199999999999992</v>
      </c>
      <c r="D1465">
        <f>729.02</f>
        <v>729.02</v>
      </c>
    </row>
    <row r="1466" spans="1:4" x14ac:dyDescent="0.2">
      <c r="A1466" s="1">
        <v>43089</v>
      </c>
      <c r="B1466">
        <f>12.5108</f>
        <v>12.5108</v>
      </c>
      <c r="C1466">
        <f>9.72</f>
        <v>9.7200000000000006</v>
      </c>
      <c r="D1466">
        <f>533.93</f>
        <v>533.92999999999995</v>
      </c>
    </row>
    <row r="1467" spans="1:4" x14ac:dyDescent="0.2">
      <c r="A1467" s="1">
        <v>43088</v>
      </c>
      <c r="B1467">
        <f>11.197</f>
        <v>11.196999999999999</v>
      </c>
      <c r="C1467">
        <f>10.03</f>
        <v>10.029999999999999</v>
      </c>
      <c r="D1467">
        <f>658.48</f>
        <v>658.48</v>
      </c>
    </row>
    <row r="1468" spans="1:4" x14ac:dyDescent="0.2">
      <c r="A1468" s="1">
        <v>43087</v>
      </c>
      <c r="B1468">
        <f>10.6783</f>
        <v>10.6783</v>
      </c>
      <c r="C1468">
        <f>9.53</f>
        <v>9.5299999999999994</v>
      </c>
      <c r="D1468">
        <f>446.42</f>
        <v>446.42</v>
      </c>
    </row>
    <row r="1469" spans="1:4" x14ac:dyDescent="0.2">
      <c r="A1469" s="1">
        <v>43084</v>
      </c>
      <c r="B1469">
        <f>11.792</f>
        <v>11.792</v>
      </c>
      <c r="C1469">
        <f>9.42</f>
        <v>9.42</v>
      </c>
      <c r="D1469">
        <f>783.51</f>
        <v>783.51</v>
      </c>
    </row>
    <row r="1470" spans="1:4" x14ac:dyDescent="0.2">
      <c r="A1470" s="1">
        <v>43083</v>
      </c>
      <c r="B1470">
        <f>12.2635</f>
        <v>12.263500000000001</v>
      </c>
      <c r="C1470">
        <f>10.49</f>
        <v>10.49</v>
      </c>
      <c r="D1470">
        <f>394.68</f>
        <v>394.68</v>
      </c>
    </row>
    <row r="1471" spans="1:4" x14ac:dyDescent="0.2">
      <c r="A1471" s="1">
        <v>43082</v>
      </c>
      <c r="B1471">
        <f>12.7344</f>
        <v>12.734400000000001</v>
      </c>
      <c r="C1471">
        <f>10.18</f>
        <v>10.18</v>
      </c>
      <c r="D1471">
        <f>1352.2</f>
        <v>1352.2</v>
      </c>
    </row>
    <row r="1472" spans="1:4" x14ac:dyDescent="0.2">
      <c r="A1472" s="1">
        <v>43081</v>
      </c>
      <c r="B1472">
        <f>12.4734</f>
        <v>12.4734</v>
      </c>
      <c r="C1472">
        <f>9.92</f>
        <v>9.92</v>
      </c>
      <c r="D1472">
        <f>383.29</f>
        <v>383.29</v>
      </c>
    </row>
    <row r="1473" spans="1:4" x14ac:dyDescent="0.2">
      <c r="A1473" s="1">
        <v>43080</v>
      </c>
      <c r="B1473">
        <f>12.9236</f>
        <v>12.9236</v>
      </c>
      <c r="C1473">
        <f>9.34</f>
        <v>9.34</v>
      </c>
      <c r="D1473">
        <f>322.45</f>
        <v>322.45</v>
      </c>
    </row>
    <row r="1474" spans="1:4" x14ac:dyDescent="0.2">
      <c r="A1474" s="1">
        <v>43077</v>
      </c>
      <c r="B1474">
        <f>12.8484</f>
        <v>12.8484</v>
      </c>
      <c r="C1474">
        <f>9.58</f>
        <v>9.58</v>
      </c>
      <c r="D1474">
        <f>502.91</f>
        <v>502.91</v>
      </c>
    </row>
    <row r="1475" spans="1:4" x14ac:dyDescent="0.2">
      <c r="A1475" s="1">
        <v>43076</v>
      </c>
      <c r="B1475">
        <f>13.4513</f>
        <v>13.4513</v>
      </c>
      <c r="C1475">
        <f>10.16</f>
        <v>10.16</v>
      </c>
      <c r="D1475">
        <f>1056.14</f>
        <v>1056.1400000000001</v>
      </c>
    </row>
    <row r="1476" spans="1:4" x14ac:dyDescent="0.2">
      <c r="A1476" s="1">
        <v>43075</v>
      </c>
      <c r="B1476">
        <f>13.9107</f>
        <v>13.9107</v>
      </c>
      <c r="C1476">
        <f>11.02</f>
        <v>11.02</v>
      </c>
      <c r="D1476">
        <f>620.32</f>
        <v>620.32000000000005</v>
      </c>
    </row>
    <row r="1477" spans="1:4" x14ac:dyDescent="0.2">
      <c r="A1477" s="1">
        <v>43074</v>
      </c>
      <c r="B1477">
        <f>13.1587</f>
        <v>13.1587</v>
      </c>
      <c r="C1477">
        <f>11.33</f>
        <v>11.33</v>
      </c>
      <c r="D1477">
        <f>315.4</f>
        <v>315.39999999999998</v>
      </c>
    </row>
    <row r="1478" spans="1:4" x14ac:dyDescent="0.2">
      <c r="A1478" s="1">
        <v>43073</v>
      </c>
      <c r="B1478">
        <f>13.7242</f>
        <v>13.7242</v>
      </c>
      <c r="C1478">
        <f>11.68</f>
        <v>11.68</v>
      </c>
      <c r="D1478">
        <f>304.13</f>
        <v>304.13</v>
      </c>
    </row>
    <row r="1479" spans="1:4" x14ac:dyDescent="0.2">
      <c r="A1479" s="1">
        <v>43070</v>
      </c>
      <c r="B1479">
        <f>16.0124</f>
        <v>16.0124</v>
      </c>
      <c r="C1479">
        <f>11.43</f>
        <v>11.43</v>
      </c>
      <c r="D1479">
        <f>253.42</f>
        <v>253.42</v>
      </c>
    </row>
    <row r="1480" spans="1:4" x14ac:dyDescent="0.2">
      <c r="A1480" s="1">
        <v>43069</v>
      </c>
      <c r="B1480">
        <f>13.4708</f>
        <v>13.470800000000001</v>
      </c>
      <c r="C1480">
        <f>11.28</f>
        <v>11.28</v>
      </c>
      <c r="D1480">
        <f>521.32</f>
        <v>521.32000000000005</v>
      </c>
    </row>
    <row r="1481" spans="1:4" x14ac:dyDescent="0.2">
      <c r="A1481" s="1">
        <v>43068</v>
      </c>
      <c r="B1481">
        <f>13.5436</f>
        <v>13.5436</v>
      </c>
      <c r="C1481">
        <f>10.7</f>
        <v>10.7</v>
      </c>
      <c r="D1481">
        <f>234.7</f>
        <v>234.7</v>
      </c>
    </row>
    <row r="1482" spans="1:4" x14ac:dyDescent="0.2">
      <c r="A1482" s="1">
        <v>43067</v>
      </c>
      <c r="B1482">
        <f>12.8773</f>
        <v>12.8773</v>
      </c>
      <c r="C1482">
        <f>10.03</f>
        <v>10.029999999999999</v>
      </c>
      <c r="D1482">
        <f>374.15</f>
        <v>374.15</v>
      </c>
    </row>
    <row r="1483" spans="1:4" x14ac:dyDescent="0.2">
      <c r="A1483" s="1">
        <v>43066</v>
      </c>
      <c r="B1483">
        <f>13.5459</f>
        <v>13.5459</v>
      </c>
      <c r="C1483">
        <f>9.87</f>
        <v>9.8699999999999992</v>
      </c>
      <c r="D1483">
        <f>244.04</f>
        <v>244.04</v>
      </c>
    </row>
    <row r="1484" spans="1:4" x14ac:dyDescent="0.2">
      <c r="A1484" s="1">
        <v>43063</v>
      </c>
      <c r="B1484">
        <f>12.8582</f>
        <v>12.8582</v>
      </c>
      <c r="C1484">
        <f>9.67</f>
        <v>9.67</v>
      </c>
      <c r="D1484">
        <f>185.64</f>
        <v>185.64</v>
      </c>
    </row>
    <row r="1485" spans="1:4" x14ac:dyDescent="0.2">
      <c r="A1485" s="1">
        <v>43062</v>
      </c>
      <c r="B1485">
        <f>12.7296</f>
        <v>12.7296</v>
      </c>
      <c r="C1485" t="e">
        <f>NA()</f>
        <v>#N/A</v>
      </c>
      <c r="D1485">
        <f>212.19</f>
        <v>212.19</v>
      </c>
    </row>
    <row r="1486" spans="1:4" x14ac:dyDescent="0.2">
      <c r="A1486" s="1">
        <v>43061</v>
      </c>
      <c r="B1486">
        <f>12.8717</f>
        <v>12.871700000000001</v>
      </c>
      <c r="C1486">
        <f>9.88</f>
        <v>9.8800000000000008</v>
      </c>
      <c r="D1486">
        <f>252.56</f>
        <v>252.56</v>
      </c>
    </row>
    <row r="1487" spans="1:4" x14ac:dyDescent="0.2">
      <c r="A1487" s="1">
        <v>43060</v>
      </c>
      <c r="B1487">
        <f>12.9355</f>
        <v>12.935499999999999</v>
      </c>
      <c r="C1487">
        <f>9.73</f>
        <v>9.73</v>
      </c>
      <c r="D1487">
        <f>248.79</f>
        <v>248.79</v>
      </c>
    </row>
    <row r="1488" spans="1:4" x14ac:dyDescent="0.2">
      <c r="A1488" s="1">
        <v>43059</v>
      </c>
      <c r="B1488">
        <f>13.7039</f>
        <v>13.703900000000001</v>
      </c>
      <c r="C1488">
        <f>10.65</f>
        <v>10.65</v>
      </c>
      <c r="D1488">
        <f>252.85</f>
        <v>252.85</v>
      </c>
    </row>
    <row r="1489" spans="1:4" x14ac:dyDescent="0.2">
      <c r="A1489" s="1">
        <v>43056</v>
      </c>
      <c r="B1489">
        <f>14.7428</f>
        <v>14.742800000000001</v>
      </c>
      <c r="C1489">
        <f>11.43</f>
        <v>11.43</v>
      </c>
      <c r="D1489">
        <f>274.43</f>
        <v>274.43</v>
      </c>
    </row>
    <row r="1490" spans="1:4" x14ac:dyDescent="0.2">
      <c r="A1490" s="1">
        <v>43055</v>
      </c>
      <c r="B1490">
        <f>15.0291</f>
        <v>15.0291</v>
      </c>
      <c r="C1490">
        <f>11.76</f>
        <v>11.76</v>
      </c>
      <c r="D1490">
        <f>335.02</f>
        <v>335.02</v>
      </c>
    </row>
    <row r="1491" spans="1:4" x14ac:dyDescent="0.2">
      <c r="A1491" s="1">
        <v>43054</v>
      </c>
      <c r="B1491">
        <f>15.5778</f>
        <v>15.5778</v>
      </c>
      <c r="C1491">
        <f>13.13</f>
        <v>13.13</v>
      </c>
      <c r="D1491">
        <f>296.06</f>
        <v>296.06</v>
      </c>
    </row>
    <row r="1492" spans="1:4" x14ac:dyDescent="0.2">
      <c r="A1492" s="1">
        <v>43053</v>
      </c>
      <c r="B1492">
        <f>15.2348</f>
        <v>15.2348</v>
      </c>
      <c r="C1492">
        <f>11.59</f>
        <v>11.59</v>
      </c>
      <c r="D1492">
        <f>266.02</f>
        <v>266.02</v>
      </c>
    </row>
    <row r="1493" spans="1:4" x14ac:dyDescent="0.2">
      <c r="A1493" s="1">
        <v>43052</v>
      </c>
      <c r="B1493">
        <f>14.3816</f>
        <v>14.381600000000001</v>
      </c>
      <c r="C1493">
        <f>11.5</f>
        <v>11.5</v>
      </c>
      <c r="D1493">
        <f>187.25</f>
        <v>187.25</v>
      </c>
    </row>
    <row r="1494" spans="1:4" x14ac:dyDescent="0.2">
      <c r="A1494" s="1">
        <v>43049</v>
      </c>
      <c r="B1494">
        <f>14.453</f>
        <v>14.452999999999999</v>
      </c>
      <c r="C1494">
        <f>11.29</f>
        <v>11.29</v>
      </c>
      <c r="D1494">
        <f>240.18</f>
        <v>240.18</v>
      </c>
    </row>
    <row r="1495" spans="1:4" x14ac:dyDescent="0.2">
      <c r="A1495" s="1">
        <v>43048</v>
      </c>
      <c r="B1495">
        <f>13.9158</f>
        <v>13.915800000000001</v>
      </c>
      <c r="C1495">
        <f>10.5</f>
        <v>10.5</v>
      </c>
      <c r="D1495">
        <f>222.28</f>
        <v>222.28</v>
      </c>
    </row>
    <row r="1496" spans="1:4" x14ac:dyDescent="0.2">
      <c r="A1496" s="1">
        <v>43047</v>
      </c>
      <c r="B1496">
        <f>12.4069</f>
        <v>12.4069</v>
      </c>
      <c r="C1496">
        <f>9.78</f>
        <v>9.7799999999999994</v>
      </c>
      <c r="D1496">
        <f>251.98</f>
        <v>251.98</v>
      </c>
    </row>
    <row r="1497" spans="1:4" x14ac:dyDescent="0.2">
      <c r="A1497" s="1">
        <v>43046</v>
      </c>
      <c r="B1497">
        <f>12.1337</f>
        <v>12.133699999999999</v>
      </c>
      <c r="C1497">
        <f>9.89</f>
        <v>9.89</v>
      </c>
      <c r="D1497">
        <f>238.81</f>
        <v>238.81</v>
      </c>
    </row>
    <row r="1498" spans="1:4" x14ac:dyDescent="0.2">
      <c r="A1498" s="1">
        <v>43045</v>
      </c>
      <c r="B1498">
        <f>11.6934</f>
        <v>11.6934</v>
      </c>
      <c r="C1498">
        <f>9.4</f>
        <v>9.4</v>
      </c>
      <c r="D1498">
        <f>172.7</f>
        <v>172.7</v>
      </c>
    </row>
    <row r="1499" spans="1:4" x14ac:dyDescent="0.2">
      <c r="A1499" s="1">
        <v>43042</v>
      </c>
      <c r="B1499">
        <f>11.5635</f>
        <v>11.563499999999999</v>
      </c>
      <c r="C1499">
        <f>9.14</f>
        <v>9.14</v>
      </c>
      <c r="D1499">
        <f>199.53</f>
        <v>199.53</v>
      </c>
    </row>
    <row r="1500" spans="1:4" x14ac:dyDescent="0.2">
      <c r="A1500" s="1">
        <v>43041</v>
      </c>
      <c r="B1500">
        <f>12.0219</f>
        <v>12.0219</v>
      </c>
      <c r="C1500">
        <f>9.93</f>
        <v>9.93</v>
      </c>
      <c r="D1500">
        <f>193.77</f>
        <v>193.77</v>
      </c>
    </row>
    <row r="1501" spans="1:4" x14ac:dyDescent="0.2">
      <c r="A1501" s="1">
        <v>43040</v>
      </c>
      <c r="B1501">
        <f>11.7924</f>
        <v>11.792400000000001</v>
      </c>
      <c r="C1501">
        <f>10.2</f>
        <v>10.199999999999999</v>
      </c>
      <c r="D1501">
        <f>273.92</f>
        <v>273.92</v>
      </c>
    </row>
    <row r="1502" spans="1:4" x14ac:dyDescent="0.2">
      <c r="A1502" s="1">
        <v>43039</v>
      </c>
      <c r="B1502">
        <f>11.9864</f>
        <v>11.9864</v>
      </c>
      <c r="C1502">
        <f>10.18</f>
        <v>10.18</v>
      </c>
      <c r="D1502">
        <f>253.39</f>
        <v>253.39</v>
      </c>
    </row>
    <row r="1503" spans="1:4" x14ac:dyDescent="0.2">
      <c r="A1503" s="1">
        <v>43038</v>
      </c>
      <c r="B1503">
        <f>12.8308</f>
        <v>12.8308</v>
      </c>
      <c r="C1503">
        <f>10.5</f>
        <v>10.5</v>
      </c>
      <c r="D1503">
        <f>280.41</f>
        <v>280.41000000000003</v>
      </c>
    </row>
    <row r="1504" spans="1:4" x14ac:dyDescent="0.2">
      <c r="A1504" s="1">
        <v>43035</v>
      </c>
      <c r="B1504">
        <f>12.4951</f>
        <v>12.495100000000001</v>
      </c>
      <c r="C1504">
        <f>9.8</f>
        <v>9.8000000000000007</v>
      </c>
      <c r="D1504">
        <f>284.29</f>
        <v>284.29000000000002</v>
      </c>
    </row>
    <row r="1505" spans="1:4" x14ac:dyDescent="0.2">
      <c r="A1505" s="1">
        <v>43034</v>
      </c>
      <c r="B1505">
        <f>12.9159</f>
        <v>12.915900000000001</v>
      </c>
      <c r="C1505">
        <f>11.3</f>
        <v>11.3</v>
      </c>
      <c r="D1505">
        <f>410.84</f>
        <v>410.84</v>
      </c>
    </row>
    <row r="1506" spans="1:4" x14ac:dyDescent="0.2">
      <c r="A1506" s="1">
        <v>43033</v>
      </c>
      <c r="B1506">
        <f>14.5349</f>
        <v>14.5349</v>
      </c>
      <c r="C1506">
        <f>11.23</f>
        <v>11.23</v>
      </c>
      <c r="D1506">
        <f>244.4</f>
        <v>244.4</v>
      </c>
    </row>
    <row r="1507" spans="1:4" x14ac:dyDescent="0.2">
      <c r="A1507" s="1">
        <v>43032</v>
      </c>
      <c r="B1507">
        <f>12.9424</f>
        <v>12.942399999999999</v>
      </c>
      <c r="C1507">
        <f>11.16</f>
        <v>11.16</v>
      </c>
      <c r="D1507">
        <f>195.24</f>
        <v>195.24</v>
      </c>
    </row>
    <row r="1508" spans="1:4" x14ac:dyDescent="0.2">
      <c r="A1508" s="1">
        <v>43031</v>
      </c>
      <c r="B1508">
        <f>12.5904</f>
        <v>12.590400000000001</v>
      </c>
      <c r="C1508">
        <f>11.07</f>
        <v>11.07</v>
      </c>
      <c r="D1508">
        <f>188.59</f>
        <v>188.59</v>
      </c>
    </row>
    <row r="1509" spans="1:4" x14ac:dyDescent="0.2">
      <c r="A1509" s="1">
        <v>43028</v>
      </c>
      <c r="B1509">
        <f>12.2167</f>
        <v>12.216699999999999</v>
      </c>
      <c r="C1509">
        <f>9.97</f>
        <v>9.9700000000000006</v>
      </c>
      <c r="D1509">
        <f>281.57</f>
        <v>281.57</v>
      </c>
    </row>
    <row r="1510" spans="1:4" x14ac:dyDescent="0.2">
      <c r="A1510" s="1">
        <v>43027</v>
      </c>
      <c r="B1510">
        <f>12.4435</f>
        <v>12.4435</v>
      </c>
      <c r="C1510">
        <f>10.05</f>
        <v>10.050000000000001</v>
      </c>
      <c r="D1510">
        <f>270.42</f>
        <v>270.42</v>
      </c>
    </row>
    <row r="1511" spans="1:4" x14ac:dyDescent="0.2">
      <c r="A1511" s="1">
        <v>43026</v>
      </c>
      <c r="B1511">
        <f>11.0514</f>
        <v>11.051399999999999</v>
      </c>
      <c r="C1511">
        <f>10.07</f>
        <v>10.07</v>
      </c>
      <c r="D1511">
        <f>244.94</f>
        <v>244.94</v>
      </c>
    </row>
    <row r="1512" spans="1:4" x14ac:dyDescent="0.2">
      <c r="A1512" s="1">
        <v>43025</v>
      </c>
      <c r="B1512">
        <f>11.6299</f>
        <v>11.629899999999999</v>
      </c>
      <c r="C1512">
        <f>10.31</f>
        <v>10.31</v>
      </c>
      <c r="D1512">
        <f>230.48</f>
        <v>230.48</v>
      </c>
    </row>
    <row r="1513" spans="1:4" x14ac:dyDescent="0.2">
      <c r="A1513" s="1">
        <v>43024</v>
      </c>
      <c r="B1513">
        <f>11.9037</f>
        <v>11.903700000000001</v>
      </c>
      <c r="C1513">
        <f>9.91</f>
        <v>9.91</v>
      </c>
      <c r="D1513">
        <f>226.57</f>
        <v>226.57</v>
      </c>
    </row>
    <row r="1514" spans="1:4" x14ac:dyDescent="0.2">
      <c r="A1514" s="1">
        <v>43021</v>
      </c>
      <c r="B1514">
        <f>11.8458</f>
        <v>11.845800000000001</v>
      </c>
      <c r="C1514">
        <f>9.61</f>
        <v>9.61</v>
      </c>
      <c r="D1514">
        <f>269.83</f>
        <v>269.83</v>
      </c>
    </row>
    <row r="1515" spans="1:4" x14ac:dyDescent="0.2">
      <c r="A1515" s="1">
        <v>43020</v>
      </c>
      <c r="B1515">
        <f>12.3247</f>
        <v>12.3247</v>
      </c>
      <c r="C1515">
        <f>9.91</f>
        <v>9.91</v>
      </c>
      <c r="D1515">
        <f>260.33</f>
        <v>260.33</v>
      </c>
    </row>
    <row r="1516" spans="1:4" x14ac:dyDescent="0.2">
      <c r="A1516" s="1">
        <v>43019</v>
      </c>
      <c r="B1516">
        <f>12.6695</f>
        <v>12.669499999999999</v>
      </c>
      <c r="C1516">
        <f>9.85</f>
        <v>9.85</v>
      </c>
      <c r="D1516">
        <f>279.15</f>
        <v>279.14999999999998</v>
      </c>
    </row>
    <row r="1517" spans="1:4" x14ac:dyDescent="0.2">
      <c r="A1517" s="1">
        <v>43018</v>
      </c>
      <c r="B1517">
        <f>13.3944</f>
        <v>13.394399999999999</v>
      </c>
      <c r="C1517">
        <f>10.08</f>
        <v>10.08</v>
      </c>
      <c r="D1517">
        <f>243.09</f>
        <v>243.09</v>
      </c>
    </row>
    <row r="1518" spans="1:4" x14ac:dyDescent="0.2">
      <c r="A1518" s="1">
        <v>43017</v>
      </c>
      <c r="B1518">
        <f>12.6102</f>
        <v>12.610200000000001</v>
      </c>
      <c r="C1518">
        <f>10.33</f>
        <v>10.33</v>
      </c>
      <c r="D1518">
        <f>227.14</f>
        <v>227.14</v>
      </c>
    </row>
    <row r="1519" spans="1:4" x14ac:dyDescent="0.2">
      <c r="A1519" s="1">
        <v>43014</v>
      </c>
      <c r="B1519">
        <f>12.5055</f>
        <v>12.5055</v>
      </c>
      <c r="C1519">
        <f>9.65</f>
        <v>9.65</v>
      </c>
      <c r="D1519">
        <f>362.7</f>
        <v>362.7</v>
      </c>
    </row>
    <row r="1520" spans="1:4" x14ac:dyDescent="0.2">
      <c r="A1520" s="1">
        <v>43013</v>
      </c>
      <c r="B1520">
        <f>12.087</f>
        <v>12.087</v>
      </c>
      <c r="C1520">
        <f>9.19</f>
        <v>9.19</v>
      </c>
      <c r="D1520">
        <f>247.3</f>
        <v>247.3</v>
      </c>
    </row>
    <row r="1521" spans="1:4" x14ac:dyDescent="0.2">
      <c r="A1521" s="1">
        <v>43012</v>
      </c>
      <c r="B1521">
        <f>12.7752</f>
        <v>12.7752</v>
      </c>
      <c r="C1521">
        <f>9.63</f>
        <v>9.6300000000000008</v>
      </c>
      <c r="D1521">
        <f>1301.55</f>
        <v>1301.55</v>
      </c>
    </row>
    <row r="1522" spans="1:4" x14ac:dyDescent="0.2">
      <c r="A1522" s="1">
        <v>43011</v>
      </c>
      <c r="B1522">
        <f>11.8365</f>
        <v>11.836499999999999</v>
      </c>
      <c r="C1522">
        <f>9.51</f>
        <v>9.51</v>
      </c>
      <c r="D1522">
        <f>317.5</f>
        <v>317.5</v>
      </c>
    </row>
    <row r="1523" spans="1:4" x14ac:dyDescent="0.2">
      <c r="A1523" s="1">
        <v>43010</v>
      </c>
      <c r="B1523">
        <f>12.1739</f>
        <v>12.1739</v>
      </c>
      <c r="C1523">
        <f>9.45</f>
        <v>9.4499999999999993</v>
      </c>
      <c r="D1523">
        <f>288.17</f>
        <v>288.17</v>
      </c>
    </row>
    <row r="1524" spans="1:4" x14ac:dyDescent="0.2">
      <c r="A1524" s="1">
        <v>43007</v>
      </c>
      <c r="B1524">
        <f>12.1208</f>
        <v>12.120799999999999</v>
      </c>
      <c r="C1524">
        <f>9.51</f>
        <v>9.51</v>
      </c>
      <c r="D1524">
        <f>308.66</f>
        <v>308.66000000000003</v>
      </c>
    </row>
    <row r="1525" spans="1:4" x14ac:dyDescent="0.2">
      <c r="A1525" s="1">
        <v>43006</v>
      </c>
      <c r="B1525">
        <f>12.1259</f>
        <v>12.1259</v>
      </c>
      <c r="C1525">
        <f>9.55</f>
        <v>9.5500000000000007</v>
      </c>
      <c r="D1525">
        <f>276.54</f>
        <v>276.54000000000002</v>
      </c>
    </row>
    <row r="1526" spans="1:4" x14ac:dyDescent="0.2">
      <c r="A1526" s="1">
        <v>43005</v>
      </c>
      <c r="B1526">
        <f>12.1282</f>
        <v>12.1282</v>
      </c>
      <c r="C1526">
        <f>9.87</f>
        <v>9.8699999999999992</v>
      </c>
      <c r="D1526">
        <f>276.32</f>
        <v>276.32</v>
      </c>
    </row>
    <row r="1527" spans="1:4" x14ac:dyDescent="0.2">
      <c r="A1527" s="1">
        <v>43004</v>
      </c>
      <c r="B1527">
        <f>12.5406</f>
        <v>12.5406</v>
      </c>
      <c r="C1527">
        <f>10.17</f>
        <v>10.17</v>
      </c>
      <c r="D1527">
        <f>275.98</f>
        <v>275.98</v>
      </c>
    </row>
    <row r="1528" spans="1:4" x14ac:dyDescent="0.2">
      <c r="A1528" s="1">
        <v>43003</v>
      </c>
      <c r="B1528">
        <f>12.3663</f>
        <v>12.366300000000001</v>
      </c>
      <c r="C1528">
        <f>10.21</f>
        <v>10.210000000000001</v>
      </c>
      <c r="D1528" t="e">
        <f>NA()</f>
        <v>#N/A</v>
      </c>
    </row>
    <row r="1529" spans="1:4" x14ac:dyDescent="0.2">
      <c r="A1529" s="1">
        <v>43000</v>
      </c>
      <c r="B1529">
        <f>11.708</f>
        <v>11.708</v>
      </c>
      <c r="C1529">
        <f>9.59</f>
        <v>9.59</v>
      </c>
      <c r="D1529">
        <f>229.95</f>
        <v>229.95</v>
      </c>
    </row>
    <row r="1530" spans="1:4" x14ac:dyDescent="0.2">
      <c r="A1530" s="1">
        <v>42999</v>
      </c>
      <c r="B1530">
        <f>11.1906</f>
        <v>11.1906</v>
      </c>
      <c r="C1530">
        <f>9.67</f>
        <v>9.67</v>
      </c>
      <c r="D1530">
        <f>846.23</f>
        <v>846.23</v>
      </c>
    </row>
    <row r="1531" spans="1:4" x14ac:dyDescent="0.2">
      <c r="A1531" s="1">
        <v>42998</v>
      </c>
      <c r="B1531">
        <f>11.7949</f>
        <v>11.7949</v>
      </c>
      <c r="C1531">
        <f>9.78</f>
        <v>9.7799999999999994</v>
      </c>
      <c r="D1531">
        <f>265.09</f>
        <v>265.08999999999997</v>
      </c>
    </row>
    <row r="1532" spans="1:4" x14ac:dyDescent="0.2">
      <c r="A1532" s="1">
        <v>42997</v>
      </c>
      <c r="B1532">
        <f>11.7216</f>
        <v>11.7216</v>
      </c>
      <c r="C1532">
        <f>10.18</f>
        <v>10.18</v>
      </c>
      <c r="D1532">
        <f>282.05</f>
        <v>282.05</v>
      </c>
    </row>
    <row r="1533" spans="1:4" x14ac:dyDescent="0.2">
      <c r="A1533" s="1">
        <v>42996</v>
      </c>
      <c r="B1533">
        <f>11.943</f>
        <v>11.943</v>
      </c>
      <c r="C1533">
        <f>10.15</f>
        <v>10.15</v>
      </c>
      <c r="D1533">
        <f>211.81</f>
        <v>211.81</v>
      </c>
    </row>
    <row r="1534" spans="1:4" x14ac:dyDescent="0.2">
      <c r="A1534" s="1">
        <v>42993</v>
      </c>
      <c r="B1534">
        <f>12.1972</f>
        <v>12.1972</v>
      </c>
      <c r="C1534">
        <f>10.17</f>
        <v>10.17</v>
      </c>
      <c r="D1534">
        <f>493.63</f>
        <v>493.63</v>
      </c>
    </row>
    <row r="1535" spans="1:4" x14ac:dyDescent="0.2">
      <c r="A1535" s="1">
        <v>42992</v>
      </c>
      <c r="B1535">
        <f>12.2739</f>
        <v>12.273899999999999</v>
      </c>
      <c r="C1535">
        <f>10.44</f>
        <v>10.44</v>
      </c>
      <c r="D1535">
        <f>325.08</f>
        <v>325.08</v>
      </c>
    </row>
    <row r="1536" spans="1:4" x14ac:dyDescent="0.2">
      <c r="A1536" s="1">
        <v>42991</v>
      </c>
      <c r="B1536">
        <f>13.0423</f>
        <v>13.042299999999999</v>
      </c>
      <c r="C1536">
        <f>10.5</f>
        <v>10.5</v>
      </c>
      <c r="D1536">
        <f>241.49</f>
        <v>241.49</v>
      </c>
    </row>
    <row r="1537" spans="1:4" x14ac:dyDescent="0.2">
      <c r="A1537" s="1">
        <v>42990</v>
      </c>
      <c r="B1537">
        <f>13.4464</f>
        <v>13.446400000000001</v>
      </c>
      <c r="C1537">
        <f>10.58</f>
        <v>10.58</v>
      </c>
      <c r="D1537">
        <f>185.7</f>
        <v>185.7</v>
      </c>
    </row>
    <row r="1538" spans="1:4" x14ac:dyDescent="0.2">
      <c r="A1538" s="1">
        <v>42989</v>
      </c>
      <c r="B1538">
        <f>13.96</f>
        <v>13.96</v>
      </c>
      <c r="C1538">
        <f>10.73</f>
        <v>10.73</v>
      </c>
      <c r="D1538">
        <f>323.43</f>
        <v>323.43</v>
      </c>
    </row>
    <row r="1539" spans="1:4" x14ac:dyDescent="0.2">
      <c r="A1539" s="1">
        <v>42986</v>
      </c>
      <c r="B1539">
        <f>15.199</f>
        <v>15.199</v>
      </c>
      <c r="C1539">
        <f>12.12</f>
        <v>12.12</v>
      </c>
      <c r="D1539">
        <f>293.58</f>
        <v>293.58</v>
      </c>
    </row>
    <row r="1540" spans="1:4" x14ac:dyDescent="0.2">
      <c r="A1540" s="1">
        <v>42985</v>
      </c>
      <c r="B1540">
        <f>15.1482</f>
        <v>15.148199999999999</v>
      </c>
      <c r="C1540">
        <f>11.55</f>
        <v>11.55</v>
      </c>
      <c r="D1540">
        <f>239.55</f>
        <v>239.55</v>
      </c>
    </row>
    <row r="1541" spans="1:4" x14ac:dyDescent="0.2">
      <c r="A1541" s="1">
        <v>42984</v>
      </c>
      <c r="B1541">
        <f>16.3786</f>
        <v>16.378599999999999</v>
      </c>
      <c r="C1541">
        <f>11.63</f>
        <v>11.63</v>
      </c>
      <c r="D1541">
        <f>445.61</f>
        <v>445.61</v>
      </c>
    </row>
    <row r="1542" spans="1:4" x14ac:dyDescent="0.2">
      <c r="A1542" s="1">
        <v>42983</v>
      </c>
      <c r="B1542">
        <f>16.4848</f>
        <v>16.4848</v>
      </c>
      <c r="C1542">
        <f>12.23</f>
        <v>12.23</v>
      </c>
      <c r="D1542">
        <f>249.48</f>
        <v>249.48</v>
      </c>
    </row>
    <row r="1543" spans="1:4" x14ac:dyDescent="0.2">
      <c r="A1543" s="1">
        <v>42982</v>
      </c>
      <c r="B1543">
        <f>16.2117</f>
        <v>16.2117</v>
      </c>
      <c r="C1543" t="e">
        <f>NA()</f>
        <v>#N/A</v>
      </c>
      <c r="D1543">
        <f>183.6</f>
        <v>183.6</v>
      </c>
    </row>
    <row r="1544" spans="1:4" x14ac:dyDescent="0.2">
      <c r="A1544" s="1">
        <v>42979</v>
      </c>
      <c r="B1544">
        <f>14.7167</f>
        <v>14.716699999999999</v>
      </c>
      <c r="C1544">
        <f>10.13</f>
        <v>10.130000000000001</v>
      </c>
      <c r="D1544">
        <f>210.7</f>
        <v>210.7</v>
      </c>
    </row>
    <row r="1545" spans="1:4" x14ac:dyDescent="0.2">
      <c r="A1545" s="1">
        <v>42978</v>
      </c>
      <c r="B1545">
        <f>15.6317</f>
        <v>15.6317</v>
      </c>
      <c r="C1545">
        <f>10.59</f>
        <v>10.59</v>
      </c>
      <c r="D1545">
        <f>353.5</f>
        <v>353.5</v>
      </c>
    </row>
    <row r="1546" spans="1:4" x14ac:dyDescent="0.2">
      <c r="A1546" s="1">
        <v>42977</v>
      </c>
      <c r="B1546">
        <f>16.468</f>
        <v>16.468</v>
      </c>
      <c r="C1546">
        <f>11.22</f>
        <v>11.22</v>
      </c>
      <c r="D1546">
        <f>242.6</f>
        <v>242.6</v>
      </c>
    </row>
    <row r="1547" spans="1:4" x14ac:dyDescent="0.2">
      <c r="A1547" s="1">
        <v>42976</v>
      </c>
      <c r="B1547">
        <f>17.3169</f>
        <v>17.3169</v>
      </c>
      <c r="C1547">
        <f>11.7</f>
        <v>11.7</v>
      </c>
      <c r="D1547">
        <f>301.27</f>
        <v>301.27</v>
      </c>
    </row>
    <row r="1548" spans="1:4" x14ac:dyDescent="0.2">
      <c r="A1548" s="1">
        <v>42975</v>
      </c>
      <c r="B1548">
        <f>15.8508</f>
        <v>15.8508</v>
      </c>
      <c r="C1548">
        <f>11.32</f>
        <v>11.32</v>
      </c>
      <c r="D1548">
        <f>160.06</f>
        <v>160.06</v>
      </c>
    </row>
    <row r="1549" spans="1:4" x14ac:dyDescent="0.2">
      <c r="A1549" s="1">
        <v>42972</v>
      </c>
      <c r="B1549">
        <f>15.3262</f>
        <v>15.3262</v>
      </c>
      <c r="C1549">
        <f>11.28</f>
        <v>11.28</v>
      </c>
      <c r="D1549">
        <f>242.1</f>
        <v>242.1</v>
      </c>
    </row>
    <row r="1550" spans="1:4" x14ac:dyDescent="0.2">
      <c r="A1550" s="1">
        <v>42971</v>
      </c>
      <c r="B1550">
        <f>15.6665</f>
        <v>15.666499999999999</v>
      </c>
      <c r="C1550">
        <f>12.23</f>
        <v>12.23</v>
      </c>
      <c r="D1550">
        <f>393.85</f>
        <v>393.85</v>
      </c>
    </row>
    <row r="1551" spans="1:4" x14ac:dyDescent="0.2">
      <c r="A1551" s="1">
        <v>42970</v>
      </c>
      <c r="B1551">
        <f>16.2275</f>
        <v>16.227499999999999</v>
      </c>
      <c r="C1551">
        <f>12.25</f>
        <v>12.25</v>
      </c>
      <c r="D1551">
        <f>262.84</f>
        <v>262.83999999999997</v>
      </c>
    </row>
    <row r="1552" spans="1:4" x14ac:dyDescent="0.2">
      <c r="A1552" s="1">
        <v>42969</v>
      </c>
      <c r="B1552">
        <f>16.412</f>
        <v>16.411999999999999</v>
      </c>
      <c r="C1552">
        <f>11.35</f>
        <v>11.35</v>
      </c>
      <c r="D1552">
        <f>244.96</f>
        <v>244.96</v>
      </c>
    </row>
    <row r="1553" spans="1:4" x14ac:dyDescent="0.2">
      <c r="A1553" s="1">
        <v>42968</v>
      </c>
      <c r="B1553">
        <f>18.5553</f>
        <v>18.555299999999999</v>
      </c>
      <c r="C1553">
        <f>13.19</f>
        <v>13.19</v>
      </c>
      <c r="D1553">
        <f>180.14</f>
        <v>180.14</v>
      </c>
    </row>
    <row r="1554" spans="1:4" x14ac:dyDescent="0.2">
      <c r="A1554" s="1">
        <v>42965</v>
      </c>
      <c r="B1554">
        <f>17.5746</f>
        <v>17.5746</v>
      </c>
      <c r="C1554">
        <f>14.26</f>
        <v>14.26</v>
      </c>
      <c r="D1554">
        <f>188.09</f>
        <v>188.09</v>
      </c>
    </row>
    <row r="1555" spans="1:4" x14ac:dyDescent="0.2">
      <c r="A1555" s="1">
        <v>42964</v>
      </c>
      <c r="B1555">
        <f>15.3859</f>
        <v>15.385899999999999</v>
      </c>
      <c r="C1555">
        <f>15.55</f>
        <v>15.55</v>
      </c>
      <c r="D1555">
        <f>204.56</f>
        <v>204.56</v>
      </c>
    </row>
    <row r="1556" spans="1:4" x14ac:dyDescent="0.2">
      <c r="A1556" s="1">
        <v>42963</v>
      </c>
      <c r="B1556">
        <f>14.2468</f>
        <v>14.2468</v>
      </c>
      <c r="C1556">
        <f>11.74</f>
        <v>11.74</v>
      </c>
      <c r="D1556">
        <f>242.78</f>
        <v>242.78</v>
      </c>
    </row>
    <row r="1557" spans="1:4" x14ac:dyDescent="0.2">
      <c r="A1557" s="1">
        <v>42962</v>
      </c>
      <c r="B1557">
        <f>14.8801</f>
        <v>14.880100000000001</v>
      </c>
      <c r="C1557">
        <f>12.04</f>
        <v>12.04</v>
      </c>
      <c r="D1557">
        <f>190.84</f>
        <v>190.84</v>
      </c>
    </row>
    <row r="1558" spans="1:4" x14ac:dyDescent="0.2">
      <c r="A1558" s="1">
        <v>42961</v>
      </c>
      <c r="B1558">
        <f>15.6664</f>
        <v>15.666399999999999</v>
      </c>
      <c r="C1558">
        <f>12.33</f>
        <v>12.33</v>
      </c>
      <c r="D1558">
        <f>190.46</f>
        <v>190.46</v>
      </c>
    </row>
    <row r="1559" spans="1:4" x14ac:dyDescent="0.2">
      <c r="A1559" s="1">
        <v>42958</v>
      </c>
      <c r="B1559">
        <f>19.3101</f>
        <v>19.310099999999998</v>
      </c>
      <c r="C1559">
        <f>15.51</f>
        <v>15.51</v>
      </c>
      <c r="D1559">
        <f>197.71</f>
        <v>197.71</v>
      </c>
    </row>
    <row r="1560" spans="1:4" x14ac:dyDescent="0.2">
      <c r="A1560" s="1">
        <v>42957</v>
      </c>
      <c r="B1560">
        <f>18.9131</f>
        <v>18.9131</v>
      </c>
      <c r="C1560">
        <f>16.04</f>
        <v>16.04</v>
      </c>
      <c r="D1560">
        <f>225.08</f>
        <v>225.08</v>
      </c>
    </row>
    <row r="1561" spans="1:4" x14ac:dyDescent="0.2">
      <c r="A1561" s="1">
        <v>42956</v>
      </c>
      <c r="B1561">
        <f>15.0152</f>
        <v>15.0152</v>
      </c>
      <c r="C1561">
        <f>11.11</f>
        <v>11.11</v>
      </c>
      <c r="D1561" t="e">
        <f>NA()</f>
        <v>#N/A</v>
      </c>
    </row>
    <row r="1562" spans="1:4" x14ac:dyDescent="0.2">
      <c r="A1562" s="1">
        <v>42955</v>
      </c>
      <c r="B1562">
        <f>12.7883</f>
        <v>12.7883</v>
      </c>
      <c r="C1562">
        <f>10.96</f>
        <v>10.96</v>
      </c>
      <c r="D1562">
        <f>289.07</f>
        <v>289.07</v>
      </c>
    </row>
    <row r="1563" spans="1:4" x14ac:dyDescent="0.2">
      <c r="A1563" s="1">
        <v>42954</v>
      </c>
      <c r="B1563">
        <f>13.1992</f>
        <v>13.199199999999999</v>
      </c>
      <c r="C1563">
        <f>9.93</f>
        <v>9.93</v>
      </c>
      <c r="D1563">
        <f>226.23</f>
        <v>226.23</v>
      </c>
    </row>
    <row r="1564" spans="1:4" x14ac:dyDescent="0.2">
      <c r="A1564" s="1">
        <v>42951</v>
      </c>
      <c r="B1564">
        <f>13.0654</f>
        <v>13.0654</v>
      </c>
      <c r="C1564">
        <f>10.03</f>
        <v>10.029999999999999</v>
      </c>
      <c r="D1564">
        <f>239.9</f>
        <v>239.9</v>
      </c>
    </row>
    <row r="1565" spans="1:4" x14ac:dyDescent="0.2">
      <c r="A1565" s="1">
        <v>42950</v>
      </c>
      <c r="B1565">
        <f>13.7302</f>
        <v>13.7302</v>
      </c>
      <c r="C1565">
        <f>10.44</f>
        <v>10.44</v>
      </c>
      <c r="D1565">
        <f>290.29</f>
        <v>290.29000000000002</v>
      </c>
    </row>
    <row r="1566" spans="1:4" x14ac:dyDescent="0.2">
      <c r="A1566" s="1">
        <v>42949</v>
      </c>
      <c r="B1566">
        <f>13.7531</f>
        <v>13.7531</v>
      </c>
      <c r="C1566">
        <f>10.28</f>
        <v>10.28</v>
      </c>
      <c r="D1566">
        <f>273.57</f>
        <v>273.57</v>
      </c>
    </row>
    <row r="1567" spans="1:4" x14ac:dyDescent="0.2">
      <c r="A1567" s="1">
        <v>42948</v>
      </c>
      <c r="B1567">
        <f>13.4724</f>
        <v>13.4724</v>
      </c>
      <c r="C1567">
        <f>10.09</f>
        <v>10.09</v>
      </c>
      <c r="D1567">
        <f>268.09</f>
        <v>268.08999999999997</v>
      </c>
    </row>
    <row r="1568" spans="1:4" x14ac:dyDescent="0.2">
      <c r="A1568" s="1">
        <v>42947</v>
      </c>
      <c r="B1568">
        <f>13.9033</f>
        <v>13.9033</v>
      </c>
      <c r="C1568">
        <f>10.26</f>
        <v>10.26</v>
      </c>
      <c r="D1568">
        <f>309.81</f>
        <v>309.81</v>
      </c>
    </row>
    <row r="1569" spans="1:4" x14ac:dyDescent="0.2">
      <c r="A1569" s="1">
        <v>42944</v>
      </c>
      <c r="B1569">
        <f>13.7331</f>
        <v>13.7331</v>
      </c>
      <c r="C1569">
        <f>10.29</f>
        <v>10.29</v>
      </c>
      <c r="D1569">
        <f>227.14</f>
        <v>227.14</v>
      </c>
    </row>
    <row r="1570" spans="1:4" x14ac:dyDescent="0.2">
      <c r="A1570" s="1">
        <v>42943</v>
      </c>
      <c r="B1570">
        <f>12.7697</f>
        <v>12.7697</v>
      </c>
      <c r="C1570">
        <f>10.11</f>
        <v>10.11</v>
      </c>
      <c r="D1570">
        <f>267.97</f>
        <v>267.97000000000003</v>
      </c>
    </row>
    <row r="1571" spans="1:4" x14ac:dyDescent="0.2">
      <c r="A1571" s="1">
        <v>42942</v>
      </c>
      <c r="B1571">
        <f>12.9971</f>
        <v>12.9971</v>
      </c>
      <c r="C1571">
        <f>9.6</f>
        <v>9.6</v>
      </c>
      <c r="D1571">
        <f>208.08</f>
        <v>208.08</v>
      </c>
    </row>
    <row r="1572" spans="1:4" x14ac:dyDescent="0.2">
      <c r="A1572" s="1">
        <v>42941</v>
      </c>
      <c r="B1572">
        <f>13.6357</f>
        <v>13.6357</v>
      </c>
      <c r="C1572">
        <f>9.43</f>
        <v>9.43</v>
      </c>
      <c r="D1572">
        <f>187.23</f>
        <v>187.23</v>
      </c>
    </row>
    <row r="1573" spans="1:4" x14ac:dyDescent="0.2">
      <c r="A1573" s="1">
        <v>42940</v>
      </c>
      <c r="B1573">
        <f>15.0827</f>
        <v>15.082700000000001</v>
      </c>
      <c r="C1573">
        <f>9.43</f>
        <v>9.43</v>
      </c>
      <c r="D1573">
        <f>195.59</f>
        <v>195.59</v>
      </c>
    </row>
    <row r="1574" spans="1:4" x14ac:dyDescent="0.2">
      <c r="A1574" s="1">
        <v>42937</v>
      </c>
      <c r="B1574">
        <f>15.3262</f>
        <v>15.3262</v>
      </c>
      <c r="C1574">
        <f>9.36</f>
        <v>9.36</v>
      </c>
      <c r="D1574">
        <f>188.12</f>
        <v>188.12</v>
      </c>
    </row>
    <row r="1575" spans="1:4" x14ac:dyDescent="0.2">
      <c r="A1575" s="1">
        <v>42936</v>
      </c>
      <c r="B1575">
        <f>13.0879</f>
        <v>13.087899999999999</v>
      </c>
      <c r="C1575">
        <f>9.58</f>
        <v>9.58</v>
      </c>
      <c r="D1575">
        <f>210.44</f>
        <v>210.44</v>
      </c>
    </row>
    <row r="1576" spans="1:4" x14ac:dyDescent="0.2">
      <c r="A1576" s="1">
        <v>42935</v>
      </c>
      <c r="B1576">
        <f>13.2685</f>
        <v>13.2685</v>
      </c>
      <c r="C1576">
        <f>9.79</f>
        <v>9.7899999999999991</v>
      </c>
      <c r="D1576">
        <f>248.16</f>
        <v>248.16</v>
      </c>
    </row>
    <row r="1577" spans="1:4" x14ac:dyDescent="0.2">
      <c r="A1577" s="1">
        <v>42934</v>
      </c>
      <c r="B1577">
        <f>13.6841</f>
        <v>13.684100000000001</v>
      </c>
      <c r="C1577">
        <f>9.89</f>
        <v>9.89</v>
      </c>
      <c r="D1577">
        <f>171.71</f>
        <v>171.71</v>
      </c>
    </row>
    <row r="1578" spans="1:4" x14ac:dyDescent="0.2">
      <c r="A1578" s="1">
        <v>42933</v>
      </c>
      <c r="B1578">
        <f>12.6334</f>
        <v>12.6334</v>
      </c>
      <c r="C1578">
        <f>9.82</f>
        <v>9.82</v>
      </c>
      <c r="D1578">
        <f>201.51</f>
        <v>201.51</v>
      </c>
    </row>
    <row r="1579" spans="1:4" x14ac:dyDescent="0.2">
      <c r="A1579" s="1">
        <v>42930</v>
      </c>
      <c r="B1579">
        <f>12.6504</f>
        <v>12.650399999999999</v>
      </c>
      <c r="C1579">
        <f>9.51</f>
        <v>9.51</v>
      </c>
      <c r="D1579">
        <f>187.83</f>
        <v>187.83</v>
      </c>
    </row>
    <row r="1580" spans="1:4" x14ac:dyDescent="0.2">
      <c r="A1580" s="1">
        <v>42929</v>
      </c>
      <c r="B1580">
        <f>13.1228</f>
        <v>13.1228</v>
      </c>
      <c r="C1580">
        <f>9.9</f>
        <v>9.9</v>
      </c>
      <c r="D1580">
        <f>219.36</f>
        <v>219.36</v>
      </c>
    </row>
    <row r="1581" spans="1:4" x14ac:dyDescent="0.2">
      <c r="A1581" s="1">
        <v>42928</v>
      </c>
      <c r="B1581">
        <f>13.7485</f>
        <v>13.7485</v>
      </c>
      <c r="C1581">
        <f>10.3</f>
        <v>10.3</v>
      </c>
      <c r="D1581">
        <f>217.95</f>
        <v>217.95</v>
      </c>
    </row>
    <row r="1582" spans="1:4" x14ac:dyDescent="0.2">
      <c r="A1582" s="1">
        <v>42927</v>
      </c>
      <c r="B1582">
        <f>14.7732</f>
        <v>14.773199999999999</v>
      </c>
      <c r="C1582">
        <f>10.89</f>
        <v>10.89</v>
      </c>
      <c r="D1582">
        <f>256.39</f>
        <v>256.39</v>
      </c>
    </row>
    <row r="1583" spans="1:4" x14ac:dyDescent="0.2">
      <c r="A1583" s="1">
        <v>42926</v>
      </c>
      <c r="B1583">
        <f>14.783</f>
        <v>14.782999999999999</v>
      </c>
      <c r="C1583">
        <f>11.11</f>
        <v>11.11</v>
      </c>
      <c r="D1583">
        <f>156.57</f>
        <v>156.57</v>
      </c>
    </row>
    <row r="1584" spans="1:4" x14ac:dyDescent="0.2">
      <c r="A1584" s="1">
        <v>42923</v>
      </c>
      <c r="B1584">
        <f>15.1824</f>
        <v>15.182399999999999</v>
      </c>
      <c r="C1584">
        <f>11.19</f>
        <v>11.19</v>
      </c>
      <c r="D1584">
        <f>204.93</f>
        <v>204.93</v>
      </c>
    </row>
    <row r="1585" spans="1:4" x14ac:dyDescent="0.2">
      <c r="A1585" s="1">
        <v>42922</v>
      </c>
      <c r="B1585">
        <f>15.4722</f>
        <v>15.472200000000001</v>
      </c>
      <c r="C1585">
        <f>12.54</f>
        <v>12.54</v>
      </c>
      <c r="D1585">
        <f>243.93</f>
        <v>243.93</v>
      </c>
    </row>
    <row r="1586" spans="1:4" x14ac:dyDescent="0.2">
      <c r="A1586" s="1">
        <v>42921</v>
      </c>
      <c r="B1586">
        <f>14.7011</f>
        <v>14.7011</v>
      </c>
      <c r="C1586">
        <f>11.07</f>
        <v>11.07</v>
      </c>
      <c r="D1586">
        <f>222.74</f>
        <v>222.74</v>
      </c>
    </row>
    <row r="1587" spans="1:4" x14ac:dyDescent="0.2">
      <c r="A1587" s="1">
        <v>42920</v>
      </c>
      <c r="B1587">
        <f>14.3929</f>
        <v>14.392899999999999</v>
      </c>
      <c r="C1587" t="e">
        <f>NA()</f>
        <v>#N/A</v>
      </c>
      <c r="D1587">
        <f>139.97</f>
        <v>139.97</v>
      </c>
    </row>
    <row r="1588" spans="1:4" x14ac:dyDescent="0.2">
      <c r="A1588" s="1">
        <v>42919</v>
      </c>
      <c r="B1588">
        <f>14.4888</f>
        <v>14.488799999999999</v>
      </c>
      <c r="C1588">
        <f>11.22</f>
        <v>11.22</v>
      </c>
      <c r="D1588">
        <f>229.52</f>
        <v>229.52</v>
      </c>
    </row>
    <row r="1589" spans="1:4" x14ac:dyDescent="0.2">
      <c r="A1589" s="1">
        <v>42916</v>
      </c>
      <c r="B1589">
        <f>17.2533</f>
        <v>17.253299999999999</v>
      </c>
      <c r="C1589">
        <f>11.18</f>
        <v>11.18</v>
      </c>
      <c r="D1589">
        <f>256.64</f>
        <v>256.64</v>
      </c>
    </row>
    <row r="1590" spans="1:4" x14ac:dyDescent="0.2">
      <c r="A1590" s="1">
        <v>42915</v>
      </c>
      <c r="B1590">
        <f>17.6032</f>
        <v>17.603200000000001</v>
      </c>
      <c r="C1590">
        <f>11.44</f>
        <v>11.44</v>
      </c>
      <c r="D1590">
        <f>238.54</f>
        <v>238.54</v>
      </c>
    </row>
    <row r="1591" spans="1:4" x14ac:dyDescent="0.2">
      <c r="A1591" s="1">
        <v>42914</v>
      </c>
      <c r="B1591">
        <f>14.8525</f>
        <v>14.852499999999999</v>
      </c>
      <c r="C1591">
        <f>10.03</f>
        <v>10.029999999999999</v>
      </c>
      <c r="D1591">
        <f>194.08</f>
        <v>194.08</v>
      </c>
    </row>
    <row r="1592" spans="1:4" x14ac:dyDescent="0.2">
      <c r="A1592" s="1">
        <v>42913</v>
      </c>
      <c r="B1592">
        <f>14.7743</f>
        <v>14.7743</v>
      </c>
      <c r="C1592">
        <f>11.06</f>
        <v>11.06</v>
      </c>
      <c r="D1592">
        <f>197.38</f>
        <v>197.38</v>
      </c>
    </row>
    <row r="1593" spans="1:4" x14ac:dyDescent="0.2">
      <c r="A1593" s="1">
        <v>42912</v>
      </c>
      <c r="B1593">
        <f>13.6567</f>
        <v>13.656700000000001</v>
      </c>
      <c r="C1593">
        <f>9.9</f>
        <v>9.9</v>
      </c>
      <c r="D1593">
        <f>215.61</f>
        <v>215.61</v>
      </c>
    </row>
    <row r="1594" spans="1:4" x14ac:dyDescent="0.2">
      <c r="A1594" s="1">
        <v>42909</v>
      </c>
      <c r="B1594">
        <f>14.2214</f>
        <v>14.221399999999999</v>
      </c>
      <c r="C1594">
        <f>10.02</f>
        <v>10.02</v>
      </c>
      <c r="D1594">
        <f>209.19</f>
        <v>209.19</v>
      </c>
    </row>
    <row r="1595" spans="1:4" x14ac:dyDescent="0.2">
      <c r="A1595" s="1">
        <v>42908</v>
      </c>
      <c r="B1595">
        <f>14.0328</f>
        <v>14.0328</v>
      </c>
      <c r="C1595">
        <f>10.48</f>
        <v>10.48</v>
      </c>
      <c r="D1595">
        <f>223.76</f>
        <v>223.76</v>
      </c>
    </row>
    <row r="1596" spans="1:4" x14ac:dyDescent="0.2">
      <c r="A1596" s="1">
        <v>42907</v>
      </c>
      <c r="B1596">
        <f>14.1788</f>
        <v>14.178800000000001</v>
      </c>
      <c r="C1596">
        <f>10.75</f>
        <v>10.75</v>
      </c>
      <c r="D1596">
        <f>237.93</f>
        <v>237.93</v>
      </c>
    </row>
    <row r="1597" spans="1:4" x14ac:dyDescent="0.2">
      <c r="A1597" s="1">
        <v>42906</v>
      </c>
      <c r="B1597">
        <f>14.0291</f>
        <v>14.0291</v>
      </c>
      <c r="C1597">
        <f>10.86</f>
        <v>10.86</v>
      </c>
      <c r="D1597">
        <f>267.24</f>
        <v>267.24</v>
      </c>
    </row>
    <row r="1598" spans="1:4" x14ac:dyDescent="0.2">
      <c r="A1598" s="1">
        <v>42905</v>
      </c>
      <c r="B1598">
        <f>13.0325</f>
        <v>13.032500000000001</v>
      </c>
      <c r="C1598">
        <f>10.37</f>
        <v>10.37</v>
      </c>
      <c r="D1598">
        <f>269.41</f>
        <v>269.41000000000003</v>
      </c>
    </row>
    <row r="1599" spans="1:4" x14ac:dyDescent="0.2">
      <c r="A1599" s="1">
        <v>42902</v>
      </c>
      <c r="B1599">
        <f>13.7442</f>
        <v>13.744199999999999</v>
      </c>
      <c r="C1599">
        <f>10.38</f>
        <v>10.38</v>
      </c>
      <c r="D1599" t="e">
        <f>NA()</f>
        <v>#N/A</v>
      </c>
    </row>
    <row r="1600" spans="1:4" x14ac:dyDescent="0.2">
      <c r="A1600" s="1">
        <v>42901</v>
      </c>
      <c r="B1600">
        <f>14.9445</f>
        <v>14.9445</v>
      </c>
      <c r="C1600">
        <f>10.9</f>
        <v>10.9</v>
      </c>
      <c r="D1600">
        <f>810.48</f>
        <v>810.48</v>
      </c>
    </row>
    <row r="1601" spans="1:4" x14ac:dyDescent="0.2">
      <c r="A1601" s="1">
        <v>42900</v>
      </c>
      <c r="B1601">
        <f>13.9464</f>
        <v>13.946400000000001</v>
      </c>
      <c r="C1601">
        <f>10.64</f>
        <v>10.64</v>
      </c>
      <c r="D1601">
        <f>362.41</f>
        <v>362.41</v>
      </c>
    </row>
    <row r="1602" spans="1:4" x14ac:dyDescent="0.2">
      <c r="A1602" s="1">
        <v>42899</v>
      </c>
      <c r="B1602">
        <f>13.5587</f>
        <v>13.5587</v>
      </c>
      <c r="C1602">
        <f>10.42</f>
        <v>10.42</v>
      </c>
      <c r="D1602">
        <f>259.94</f>
        <v>259.94</v>
      </c>
    </row>
    <row r="1603" spans="1:4" x14ac:dyDescent="0.2">
      <c r="A1603" s="1">
        <v>42898</v>
      </c>
      <c r="B1603">
        <f>14.5102</f>
        <v>14.510199999999999</v>
      </c>
      <c r="C1603">
        <f>11.46</f>
        <v>11.46</v>
      </c>
      <c r="D1603">
        <f>250.16</f>
        <v>250.16</v>
      </c>
    </row>
    <row r="1604" spans="1:4" x14ac:dyDescent="0.2">
      <c r="A1604" s="1">
        <v>42895</v>
      </c>
      <c r="B1604">
        <f>13.3926</f>
        <v>13.3926</v>
      </c>
      <c r="C1604">
        <f>10.7</f>
        <v>10.7</v>
      </c>
      <c r="D1604">
        <f>258.75</f>
        <v>258.75</v>
      </c>
    </row>
    <row r="1605" spans="1:4" x14ac:dyDescent="0.2">
      <c r="A1605" s="1">
        <v>42894</v>
      </c>
      <c r="B1605">
        <f>14.0799</f>
        <v>14.0799</v>
      </c>
      <c r="C1605">
        <f>10.16</f>
        <v>10.16</v>
      </c>
      <c r="D1605">
        <f>252.52</f>
        <v>252.52</v>
      </c>
    </row>
    <row r="1606" spans="1:4" x14ac:dyDescent="0.2">
      <c r="A1606" s="1">
        <v>42893</v>
      </c>
      <c r="B1606">
        <f>14.6073</f>
        <v>14.6073</v>
      </c>
      <c r="C1606">
        <f>10.39</f>
        <v>10.39</v>
      </c>
      <c r="D1606">
        <f>305.26</f>
        <v>305.26</v>
      </c>
    </row>
    <row r="1607" spans="1:4" x14ac:dyDescent="0.2">
      <c r="A1607" s="1">
        <v>42892</v>
      </c>
      <c r="B1607">
        <f>14.3862</f>
        <v>14.386200000000001</v>
      </c>
      <c r="C1607">
        <f>10.45</f>
        <v>10.45</v>
      </c>
      <c r="D1607">
        <f>301.61</f>
        <v>301.61</v>
      </c>
    </row>
    <row r="1608" spans="1:4" x14ac:dyDescent="0.2">
      <c r="A1608" s="1">
        <v>42891</v>
      </c>
      <c r="B1608">
        <f>13.9431</f>
        <v>13.943099999999999</v>
      </c>
      <c r="C1608">
        <f>10.07</f>
        <v>10.07</v>
      </c>
      <c r="D1608">
        <f>377.36</f>
        <v>377.36</v>
      </c>
    </row>
    <row r="1609" spans="1:4" x14ac:dyDescent="0.2">
      <c r="A1609" s="1">
        <v>42888</v>
      </c>
      <c r="B1609">
        <f>13.3345</f>
        <v>13.3345</v>
      </c>
      <c r="C1609">
        <f>9.75</f>
        <v>9.75</v>
      </c>
      <c r="D1609">
        <f>313.09</f>
        <v>313.08999999999997</v>
      </c>
    </row>
    <row r="1610" spans="1:4" x14ac:dyDescent="0.2">
      <c r="A1610" s="1">
        <v>42887</v>
      </c>
      <c r="B1610">
        <f>13.6227</f>
        <v>13.6227</v>
      </c>
      <c r="C1610">
        <f>9.89</f>
        <v>9.89</v>
      </c>
      <c r="D1610">
        <f>591.11</f>
        <v>591.11</v>
      </c>
    </row>
    <row r="1611" spans="1:4" x14ac:dyDescent="0.2">
      <c r="A1611" s="1">
        <v>42886</v>
      </c>
      <c r="B1611">
        <f>14.5538</f>
        <v>14.553800000000001</v>
      </c>
      <c r="C1611">
        <f>10.41</f>
        <v>10.41</v>
      </c>
      <c r="D1611">
        <f>405.46</f>
        <v>405.46</v>
      </c>
    </row>
    <row r="1612" spans="1:4" x14ac:dyDescent="0.2">
      <c r="A1612" s="1">
        <v>42885</v>
      </c>
      <c r="B1612">
        <f>14.4715</f>
        <v>14.471500000000001</v>
      </c>
      <c r="C1612">
        <f>10.38</f>
        <v>10.38</v>
      </c>
      <c r="D1612">
        <f>168.12</f>
        <v>168.12</v>
      </c>
    </row>
    <row r="1613" spans="1:4" x14ac:dyDescent="0.2">
      <c r="A1613" s="1">
        <v>42884</v>
      </c>
      <c r="B1613">
        <f>14.1781</f>
        <v>14.178100000000001</v>
      </c>
      <c r="C1613" t="e">
        <f>NA()</f>
        <v>#N/A</v>
      </c>
      <c r="D1613">
        <f>102.08</f>
        <v>102.08</v>
      </c>
    </row>
    <row r="1614" spans="1:4" x14ac:dyDescent="0.2">
      <c r="A1614" s="1">
        <v>42881</v>
      </c>
      <c r="B1614">
        <f>13.8547</f>
        <v>13.854699999999999</v>
      </c>
      <c r="C1614">
        <f>9.81</f>
        <v>9.81</v>
      </c>
      <c r="D1614">
        <f>184.38</f>
        <v>184.38</v>
      </c>
    </row>
    <row r="1615" spans="1:4" x14ac:dyDescent="0.2">
      <c r="A1615" s="1">
        <v>42880</v>
      </c>
      <c r="B1615">
        <f>13.9599</f>
        <v>13.959899999999999</v>
      </c>
      <c r="C1615">
        <f>9.99</f>
        <v>9.99</v>
      </c>
      <c r="D1615">
        <f>252.75</f>
        <v>252.75</v>
      </c>
    </row>
    <row r="1616" spans="1:4" x14ac:dyDescent="0.2">
      <c r="A1616" s="1">
        <v>42879</v>
      </c>
      <c r="B1616">
        <f>13.8757</f>
        <v>13.8757</v>
      </c>
      <c r="C1616">
        <f>10.02</f>
        <v>10.02</v>
      </c>
      <c r="D1616">
        <f>222.5</f>
        <v>222.5</v>
      </c>
    </row>
    <row r="1617" spans="1:4" x14ac:dyDescent="0.2">
      <c r="A1617" s="1">
        <v>42878</v>
      </c>
      <c r="B1617">
        <f>13.8428</f>
        <v>13.8428</v>
      </c>
      <c r="C1617">
        <f>10.72</f>
        <v>10.72</v>
      </c>
      <c r="D1617">
        <f>219.6</f>
        <v>219.6</v>
      </c>
    </row>
    <row r="1618" spans="1:4" x14ac:dyDescent="0.2">
      <c r="A1618" s="1">
        <v>42877</v>
      </c>
      <c r="B1618">
        <f>14.8259</f>
        <v>14.825900000000001</v>
      </c>
      <c r="C1618">
        <f>10.93</f>
        <v>10.93</v>
      </c>
      <c r="D1618">
        <f>188.03</f>
        <v>188.03</v>
      </c>
    </row>
    <row r="1619" spans="1:4" x14ac:dyDescent="0.2">
      <c r="A1619" s="1">
        <v>42874</v>
      </c>
      <c r="B1619">
        <f>15.4679</f>
        <v>15.4679</v>
      </c>
      <c r="C1619">
        <f>12.04</f>
        <v>12.04</v>
      </c>
      <c r="D1619">
        <f>230.23</f>
        <v>230.23</v>
      </c>
    </row>
    <row r="1620" spans="1:4" x14ac:dyDescent="0.2">
      <c r="A1620" s="1">
        <v>42873</v>
      </c>
      <c r="B1620">
        <f>17.0825</f>
        <v>17.0825</v>
      </c>
      <c r="C1620">
        <f>14.66</f>
        <v>14.66</v>
      </c>
      <c r="D1620">
        <f>341.61</f>
        <v>341.61</v>
      </c>
    </row>
    <row r="1621" spans="1:4" x14ac:dyDescent="0.2">
      <c r="A1621" s="1">
        <v>42872</v>
      </c>
      <c r="B1621">
        <f>16.1438</f>
        <v>16.143799999999999</v>
      </c>
      <c r="C1621">
        <f>15.59</f>
        <v>15.59</v>
      </c>
      <c r="D1621">
        <f>274.8</f>
        <v>274.8</v>
      </c>
    </row>
    <row r="1622" spans="1:4" x14ac:dyDescent="0.2">
      <c r="A1622" s="1">
        <v>42871</v>
      </c>
      <c r="B1622">
        <f>13.5401</f>
        <v>13.540100000000001</v>
      </c>
      <c r="C1622">
        <f>10.65</f>
        <v>10.65</v>
      </c>
      <c r="D1622">
        <f>202.93</f>
        <v>202.93</v>
      </c>
    </row>
    <row r="1623" spans="1:4" x14ac:dyDescent="0.2">
      <c r="A1623" s="1">
        <v>42870</v>
      </c>
      <c r="B1623">
        <f>14.2041</f>
        <v>14.2041</v>
      </c>
      <c r="C1623">
        <f>10.42</f>
        <v>10.42</v>
      </c>
      <c r="D1623">
        <f>155.4</f>
        <v>155.4</v>
      </c>
    </row>
    <row r="1624" spans="1:4" x14ac:dyDescent="0.2">
      <c r="A1624" s="1">
        <v>42867</v>
      </c>
      <c r="B1624">
        <f>13.8689</f>
        <v>13.8689</v>
      </c>
      <c r="C1624">
        <f>10.4</f>
        <v>10.4</v>
      </c>
      <c r="D1624">
        <f>160.46</f>
        <v>160.46</v>
      </c>
    </row>
    <row r="1625" spans="1:4" x14ac:dyDescent="0.2">
      <c r="A1625" s="1">
        <v>42866</v>
      </c>
      <c r="B1625">
        <f>14.3491</f>
        <v>14.3491</v>
      </c>
      <c r="C1625">
        <f>10.6</f>
        <v>10.6</v>
      </c>
      <c r="D1625">
        <f>206.58</f>
        <v>206.58</v>
      </c>
    </row>
    <row r="1626" spans="1:4" x14ac:dyDescent="0.2">
      <c r="A1626" s="1">
        <v>42865</v>
      </c>
      <c r="B1626">
        <f>14.0655</f>
        <v>14.0655</v>
      </c>
      <c r="C1626">
        <f>10.21</f>
        <v>10.210000000000001</v>
      </c>
      <c r="D1626">
        <f>233.47</f>
        <v>233.47</v>
      </c>
    </row>
    <row r="1627" spans="1:4" x14ac:dyDescent="0.2">
      <c r="A1627" s="1">
        <v>42864</v>
      </c>
      <c r="B1627">
        <f>14.0868</f>
        <v>14.0868</v>
      </c>
      <c r="C1627">
        <f>9.96</f>
        <v>9.9600000000000009</v>
      </c>
      <c r="D1627">
        <f>198.71</f>
        <v>198.71</v>
      </c>
    </row>
    <row r="1628" spans="1:4" x14ac:dyDescent="0.2">
      <c r="A1628" s="1">
        <v>42863</v>
      </c>
      <c r="B1628">
        <f>14.393</f>
        <v>14.393000000000001</v>
      </c>
      <c r="C1628">
        <f>9.77</f>
        <v>9.77</v>
      </c>
      <c r="D1628">
        <f>172.13</f>
        <v>172.13</v>
      </c>
    </row>
    <row r="1629" spans="1:4" x14ac:dyDescent="0.2">
      <c r="A1629" s="1">
        <v>42860</v>
      </c>
      <c r="B1629">
        <f>17.0143</f>
        <v>17.014299999999999</v>
      </c>
      <c r="C1629">
        <f>10.57</f>
        <v>10.57</v>
      </c>
      <c r="D1629">
        <f>241.45</f>
        <v>241.45</v>
      </c>
    </row>
    <row r="1630" spans="1:4" x14ac:dyDescent="0.2">
      <c r="A1630" s="1">
        <v>42859</v>
      </c>
      <c r="B1630">
        <f>16.4843</f>
        <v>16.484300000000001</v>
      </c>
      <c r="C1630">
        <f>10.46</f>
        <v>10.46</v>
      </c>
      <c r="D1630">
        <f>296.86</f>
        <v>296.86</v>
      </c>
    </row>
    <row r="1631" spans="1:4" x14ac:dyDescent="0.2">
      <c r="A1631" s="1">
        <v>42858</v>
      </c>
      <c r="B1631">
        <f>17.3982</f>
        <v>17.398199999999999</v>
      </c>
      <c r="C1631">
        <f>10.68</f>
        <v>10.68</v>
      </c>
      <c r="D1631">
        <f>253.07</f>
        <v>253.07</v>
      </c>
    </row>
    <row r="1632" spans="1:4" x14ac:dyDescent="0.2">
      <c r="A1632" s="1">
        <v>42857</v>
      </c>
      <c r="B1632">
        <f>17.2673</f>
        <v>17.267299999999999</v>
      </c>
      <c r="C1632">
        <f>10.59</f>
        <v>10.59</v>
      </c>
      <c r="D1632">
        <f>242.08</f>
        <v>242.08</v>
      </c>
    </row>
    <row r="1633" spans="1:4" x14ac:dyDescent="0.2">
      <c r="A1633" s="1">
        <v>42856</v>
      </c>
      <c r="B1633" t="e">
        <f>NA()</f>
        <v>#N/A</v>
      </c>
      <c r="C1633">
        <f>10.11</f>
        <v>10.11</v>
      </c>
      <c r="D1633" t="e">
        <f>NA()</f>
        <v>#N/A</v>
      </c>
    </row>
    <row r="1634" spans="1:4" x14ac:dyDescent="0.2">
      <c r="A1634" s="1">
        <v>42853</v>
      </c>
      <c r="B1634">
        <f>17.0495</f>
        <v>17.049499999999998</v>
      </c>
      <c r="C1634">
        <f>10.82</f>
        <v>10.82</v>
      </c>
      <c r="D1634">
        <f>224.17</f>
        <v>224.17</v>
      </c>
    </row>
    <row r="1635" spans="1:4" x14ac:dyDescent="0.2">
      <c r="A1635" s="1">
        <v>42852</v>
      </c>
      <c r="B1635">
        <f>16.107</f>
        <v>16.106999999999999</v>
      </c>
      <c r="C1635">
        <f>10.36</f>
        <v>10.36</v>
      </c>
      <c r="D1635" t="e">
        <f>NA()</f>
        <v>#N/A</v>
      </c>
    </row>
    <row r="1636" spans="1:4" x14ac:dyDescent="0.2">
      <c r="A1636" s="1">
        <v>42851</v>
      </c>
      <c r="B1636">
        <f>15.584</f>
        <v>15.584</v>
      </c>
      <c r="C1636">
        <f>10.85</f>
        <v>10.85</v>
      </c>
      <c r="D1636">
        <f>218.04</f>
        <v>218.04</v>
      </c>
    </row>
    <row r="1637" spans="1:4" x14ac:dyDescent="0.2">
      <c r="A1637" s="1">
        <v>42850</v>
      </c>
      <c r="B1637">
        <f>15.4196</f>
        <v>15.419600000000001</v>
      </c>
      <c r="C1637">
        <f>10.76</f>
        <v>10.76</v>
      </c>
      <c r="D1637">
        <f>218.69</f>
        <v>218.69</v>
      </c>
    </row>
    <row r="1638" spans="1:4" x14ac:dyDescent="0.2">
      <c r="A1638" s="1">
        <v>42849</v>
      </c>
      <c r="B1638">
        <f>16.2463</f>
        <v>16.246300000000002</v>
      </c>
      <c r="C1638">
        <f>10.84</f>
        <v>10.84</v>
      </c>
      <c r="D1638">
        <f>234.25</f>
        <v>234.25</v>
      </c>
    </row>
    <row r="1639" spans="1:4" x14ac:dyDescent="0.2">
      <c r="A1639" s="1">
        <v>42846</v>
      </c>
      <c r="B1639">
        <f>25.0928</f>
        <v>25.0928</v>
      </c>
      <c r="C1639">
        <f>14.63</f>
        <v>14.63</v>
      </c>
      <c r="D1639">
        <f>187.06</f>
        <v>187.06</v>
      </c>
    </row>
    <row r="1640" spans="1:4" x14ac:dyDescent="0.2">
      <c r="A1640" s="1">
        <v>42845</v>
      </c>
      <c r="B1640">
        <f>24.8992</f>
        <v>24.8992</v>
      </c>
      <c r="C1640">
        <f>14.15</f>
        <v>14.15</v>
      </c>
      <c r="D1640">
        <f>223.44</f>
        <v>223.44</v>
      </c>
    </row>
    <row r="1641" spans="1:4" x14ac:dyDescent="0.2">
      <c r="A1641" s="1">
        <v>42844</v>
      </c>
      <c r="B1641">
        <f>24.2021</f>
        <v>24.202100000000002</v>
      </c>
      <c r="C1641">
        <f>14.93</f>
        <v>14.93</v>
      </c>
      <c r="D1641">
        <f>243.55</f>
        <v>243.55</v>
      </c>
    </row>
    <row r="1642" spans="1:4" x14ac:dyDescent="0.2">
      <c r="A1642" s="1">
        <v>42843</v>
      </c>
      <c r="B1642">
        <f>25.5942</f>
        <v>25.594200000000001</v>
      </c>
      <c r="C1642">
        <f>14.42</f>
        <v>14.42</v>
      </c>
      <c r="D1642">
        <f>248.56</f>
        <v>248.56</v>
      </c>
    </row>
    <row r="1643" spans="1:4" x14ac:dyDescent="0.2">
      <c r="A1643" s="1">
        <v>42842</v>
      </c>
      <c r="B1643" t="e">
        <f>NA()</f>
        <v>#N/A</v>
      </c>
      <c r="C1643">
        <f>14.66</f>
        <v>14.66</v>
      </c>
      <c r="D1643" t="e">
        <f>NA()</f>
        <v>#N/A</v>
      </c>
    </row>
    <row r="1644" spans="1:4" x14ac:dyDescent="0.2">
      <c r="A1644" s="1">
        <v>42838</v>
      </c>
      <c r="B1644">
        <f>23.3883</f>
        <v>23.388300000000001</v>
      </c>
      <c r="C1644">
        <f>15.96</f>
        <v>15.96</v>
      </c>
      <c r="D1644">
        <f>240.77</f>
        <v>240.77</v>
      </c>
    </row>
    <row r="1645" spans="1:4" x14ac:dyDescent="0.2">
      <c r="A1645" s="1">
        <v>42837</v>
      </c>
      <c r="B1645">
        <f>22.7155</f>
        <v>22.715499999999999</v>
      </c>
      <c r="C1645">
        <f>15.77</f>
        <v>15.77</v>
      </c>
      <c r="D1645">
        <f>281.95</f>
        <v>281.95</v>
      </c>
    </row>
    <row r="1646" spans="1:4" x14ac:dyDescent="0.2">
      <c r="A1646" s="1">
        <v>42836</v>
      </c>
      <c r="B1646">
        <f>22.9518</f>
        <v>22.951799999999999</v>
      </c>
      <c r="C1646">
        <f>15.07</f>
        <v>15.07</v>
      </c>
      <c r="D1646">
        <f>289</f>
        <v>289</v>
      </c>
    </row>
    <row r="1647" spans="1:4" x14ac:dyDescent="0.2">
      <c r="A1647" s="1">
        <v>42835</v>
      </c>
      <c r="B1647">
        <f>22.0934</f>
        <v>22.093399999999999</v>
      </c>
      <c r="C1647">
        <f>14.05</f>
        <v>14.05</v>
      </c>
      <c r="D1647">
        <f>275.99</f>
        <v>275.99</v>
      </c>
    </row>
    <row r="1648" spans="1:4" x14ac:dyDescent="0.2">
      <c r="A1648" s="1">
        <v>42832</v>
      </c>
      <c r="B1648">
        <f>19.5373</f>
        <v>19.537299999999998</v>
      </c>
      <c r="C1648">
        <f>12.87</f>
        <v>12.87</v>
      </c>
      <c r="D1648">
        <f>230.18</f>
        <v>230.18</v>
      </c>
    </row>
    <row r="1649" spans="1:4" x14ac:dyDescent="0.2">
      <c r="A1649" s="1">
        <v>42831</v>
      </c>
      <c r="B1649">
        <f>18.8703</f>
        <v>18.8703</v>
      </c>
      <c r="C1649">
        <f>12.39</f>
        <v>12.39</v>
      </c>
      <c r="D1649">
        <f>310.29</f>
        <v>310.29000000000002</v>
      </c>
    </row>
    <row r="1650" spans="1:4" x14ac:dyDescent="0.2">
      <c r="A1650" s="1">
        <v>42830</v>
      </c>
      <c r="B1650">
        <f>18.5205</f>
        <v>18.520499999999998</v>
      </c>
      <c r="C1650">
        <f>12.89</f>
        <v>12.89</v>
      </c>
      <c r="D1650">
        <f>338.12</f>
        <v>338.12</v>
      </c>
    </row>
    <row r="1651" spans="1:4" x14ac:dyDescent="0.2">
      <c r="A1651" s="1">
        <v>42829</v>
      </c>
      <c r="B1651">
        <f>18.005</f>
        <v>18.004999999999999</v>
      </c>
      <c r="C1651">
        <f>11.79</f>
        <v>11.79</v>
      </c>
      <c r="D1651">
        <f>315.39</f>
        <v>315.39</v>
      </c>
    </row>
    <row r="1652" spans="1:4" x14ac:dyDescent="0.2">
      <c r="A1652" s="1">
        <v>42828</v>
      </c>
      <c r="B1652">
        <f>17.9597</f>
        <v>17.959700000000002</v>
      </c>
      <c r="C1652">
        <f>12.38</f>
        <v>12.38</v>
      </c>
      <c r="D1652">
        <f>322.64</f>
        <v>322.64</v>
      </c>
    </row>
    <row r="1653" spans="1:4" x14ac:dyDescent="0.2">
      <c r="A1653" s="1">
        <v>42825</v>
      </c>
      <c r="B1653">
        <f>16.5221</f>
        <v>16.522099999999998</v>
      </c>
      <c r="C1653">
        <f>12.37</f>
        <v>12.37</v>
      </c>
      <c r="D1653">
        <f>531.51</f>
        <v>531.51</v>
      </c>
    </row>
    <row r="1654" spans="1:4" x14ac:dyDescent="0.2">
      <c r="A1654" s="1">
        <v>42824</v>
      </c>
      <c r="B1654">
        <f>16.1041</f>
        <v>16.104099999999999</v>
      </c>
      <c r="C1654">
        <f>11.54</f>
        <v>11.54</v>
      </c>
      <c r="D1654">
        <f>203.7</f>
        <v>203.7</v>
      </c>
    </row>
    <row r="1655" spans="1:4" x14ac:dyDescent="0.2">
      <c r="A1655" s="1">
        <v>42823</v>
      </c>
      <c r="B1655">
        <f>15.9304</f>
        <v>15.930400000000001</v>
      </c>
      <c r="C1655">
        <f>11.42</f>
        <v>11.42</v>
      </c>
      <c r="D1655">
        <f>281.2</f>
        <v>281.2</v>
      </c>
    </row>
    <row r="1656" spans="1:4" x14ac:dyDescent="0.2">
      <c r="A1656" s="1">
        <v>42822</v>
      </c>
      <c r="B1656">
        <f>15.8635</f>
        <v>15.8635</v>
      </c>
      <c r="C1656">
        <f>11.53</f>
        <v>11.53</v>
      </c>
      <c r="D1656">
        <f>284.43</f>
        <v>284.43</v>
      </c>
    </row>
    <row r="1657" spans="1:4" x14ac:dyDescent="0.2">
      <c r="A1657" s="1">
        <v>42821</v>
      </c>
      <c r="B1657">
        <f>16.3493</f>
        <v>16.349299999999999</v>
      </c>
      <c r="C1657">
        <f>12.5</f>
        <v>12.5</v>
      </c>
      <c r="D1657">
        <f>220.73</f>
        <v>220.73</v>
      </c>
    </row>
    <row r="1658" spans="1:4" x14ac:dyDescent="0.2">
      <c r="A1658" s="1">
        <v>42818</v>
      </c>
      <c r="B1658">
        <f>15.1975</f>
        <v>15.1975</v>
      </c>
      <c r="C1658">
        <f>12.96</f>
        <v>12.96</v>
      </c>
      <c r="D1658">
        <f>209.8</f>
        <v>209.8</v>
      </c>
    </row>
    <row r="1659" spans="1:4" x14ac:dyDescent="0.2">
      <c r="A1659" s="1">
        <v>42817</v>
      </c>
      <c r="B1659">
        <f>15.0982</f>
        <v>15.0982</v>
      </c>
      <c r="C1659">
        <f>13.12</f>
        <v>13.12</v>
      </c>
      <c r="D1659">
        <f>190.03</f>
        <v>190.03</v>
      </c>
    </row>
    <row r="1660" spans="1:4" x14ac:dyDescent="0.2">
      <c r="A1660" s="1">
        <v>42816</v>
      </c>
      <c r="B1660">
        <f>14.5148</f>
        <v>14.514799999999999</v>
      </c>
      <c r="C1660">
        <f>12.81</f>
        <v>12.81</v>
      </c>
      <c r="D1660">
        <f>243.36</f>
        <v>243.36</v>
      </c>
    </row>
    <row r="1661" spans="1:4" x14ac:dyDescent="0.2">
      <c r="A1661" s="1">
        <v>42815</v>
      </c>
      <c r="B1661">
        <f>13.7745</f>
        <v>13.7745</v>
      </c>
      <c r="C1661">
        <f>12.47</f>
        <v>12.47</v>
      </c>
      <c r="D1661" t="e">
        <f>NA()</f>
        <v>#N/A</v>
      </c>
    </row>
    <row r="1662" spans="1:4" x14ac:dyDescent="0.2">
      <c r="A1662" s="1">
        <v>42814</v>
      </c>
      <c r="B1662">
        <f>13.0797</f>
        <v>13.079700000000001</v>
      </c>
      <c r="C1662">
        <f>11.34</f>
        <v>11.34</v>
      </c>
      <c r="D1662">
        <f>143</f>
        <v>143</v>
      </c>
    </row>
    <row r="1663" spans="1:4" x14ac:dyDescent="0.2">
      <c r="A1663" s="1">
        <v>42811</v>
      </c>
      <c r="B1663">
        <f>11.1647</f>
        <v>11.1647</v>
      </c>
      <c r="C1663">
        <f>11.28</f>
        <v>11.28</v>
      </c>
      <c r="D1663">
        <f>455.5</f>
        <v>455.5</v>
      </c>
    </row>
    <row r="1664" spans="1:4" x14ac:dyDescent="0.2">
      <c r="A1664" s="1">
        <v>42810</v>
      </c>
      <c r="B1664">
        <f>11.5181</f>
        <v>11.5181</v>
      </c>
      <c r="C1664">
        <f>11.21</f>
        <v>11.21</v>
      </c>
      <c r="D1664">
        <f>673.52</f>
        <v>673.52</v>
      </c>
    </row>
    <row r="1665" spans="1:4" x14ac:dyDescent="0.2">
      <c r="A1665" s="1">
        <v>42809</v>
      </c>
      <c r="B1665">
        <f>15.5983</f>
        <v>15.5983</v>
      </c>
      <c r="C1665">
        <f>11.63</f>
        <v>11.63</v>
      </c>
      <c r="D1665">
        <f>261.45</f>
        <v>261.45</v>
      </c>
    </row>
    <row r="1666" spans="1:4" x14ac:dyDescent="0.2">
      <c r="A1666" s="1">
        <v>42808</v>
      </c>
      <c r="B1666">
        <f>15.9737</f>
        <v>15.973699999999999</v>
      </c>
      <c r="C1666">
        <f>12.3</f>
        <v>12.3</v>
      </c>
      <c r="D1666">
        <f>239.73</f>
        <v>239.73</v>
      </c>
    </row>
    <row r="1667" spans="1:4" x14ac:dyDescent="0.2">
      <c r="A1667" s="1">
        <v>42807</v>
      </c>
      <c r="B1667">
        <f>15.5803</f>
        <v>15.580299999999999</v>
      </c>
      <c r="C1667">
        <f>11.35</f>
        <v>11.35</v>
      </c>
      <c r="D1667">
        <f>180.44</f>
        <v>180.44</v>
      </c>
    </row>
    <row r="1668" spans="1:4" x14ac:dyDescent="0.2">
      <c r="A1668" s="1">
        <v>42804</v>
      </c>
      <c r="B1668">
        <f>15.3441</f>
        <v>15.344099999999999</v>
      </c>
      <c r="C1668">
        <f>11.66</f>
        <v>11.66</v>
      </c>
      <c r="D1668">
        <f>199.19</f>
        <v>199.19</v>
      </c>
    </row>
    <row r="1669" spans="1:4" x14ac:dyDescent="0.2">
      <c r="A1669" s="1">
        <v>42803</v>
      </c>
      <c r="B1669">
        <f>15.2123</f>
        <v>15.212300000000001</v>
      </c>
      <c r="C1669">
        <f>12.3</f>
        <v>12.3</v>
      </c>
      <c r="D1669">
        <f>268.65</f>
        <v>268.64999999999998</v>
      </c>
    </row>
    <row r="1670" spans="1:4" x14ac:dyDescent="0.2">
      <c r="A1670" s="1">
        <v>42802</v>
      </c>
      <c r="B1670">
        <f>14.9751</f>
        <v>14.975099999999999</v>
      </c>
      <c r="C1670">
        <f>11.86</f>
        <v>11.86</v>
      </c>
      <c r="D1670">
        <f>247.62</f>
        <v>247.62</v>
      </c>
    </row>
    <row r="1671" spans="1:4" x14ac:dyDescent="0.2">
      <c r="A1671" s="1">
        <v>42801</v>
      </c>
      <c r="B1671">
        <f>15.3718</f>
        <v>15.3718</v>
      </c>
      <c r="C1671">
        <f>11.45</f>
        <v>11.45</v>
      </c>
      <c r="D1671">
        <f>227.23</f>
        <v>227.23</v>
      </c>
    </row>
    <row r="1672" spans="1:4" x14ac:dyDescent="0.2">
      <c r="A1672" s="1">
        <v>42800</v>
      </c>
      <c r="B1672">
        <f>15.7683</f>
        <v>15.7683</v>
      </c>
      <c r="C1672">
        <f>11.24</f>
        <v>11.24</v>
      </c>
      <c r="D1672">
        <f>191.67</f>
        <v>191.67</v>
      </c>
    </row>
    <row r="1673" spans="1:4" x14ac:dyDescent="0.2">
      <c r="A1673" s="1">
        <v>42797</v>
      </c>
      <c r="B1673">
        <f>15.2708</f>
        <v>15.270799999999999</v>
      </c>
      <c r="C1673">
        <f>10.96</f>
        <v>10.96</v>
      </c>
      <c r="D1673">
        <f>232.77</f>
        <v>232.77</v>
      </c>
    </row>
    <row r="1674" spans="1:4" x14ac:dyDescent="0.2">
      <c r="A1674" s="1">
        <v>42796</v>
      </c>
      <c r="B1674">
        <f>15.2754</f>
        <v>15.275399999999999</v>
      </c>
      <c r="C1674">
        <f>11.81</f>
        <v>11.81</v>
      </c>
      <c r="D1674">
        <f>263.53</f>
        <v>263.52999999999997</v>
      </c>
    </row>
    <row r="1675" spans="1:4" x14ac:dyDescent="0.2">
      <c r="A1675" s="1">
        <v>42795</v>
      </c>
      <c r="B1675">
        <f>15.3905</f>
        <v>15.390499999999999</v>
      </c>
      <c r="C1675">
        <f>12.54</f>
        <v>12.54</v>
      </c>
      <c r="D1675">
        <f>251.22</f>
        <v>251.22</v>
      </c>
    </row>
    <row r="1676" spans="1:4" x14ac:dyDescent="0.2">
      <c r="A1676" s="1">
        <v>42794</v>
      </c>
      <c r="B1676">
        <f>16.2849</f>
        <v>16.2849</v>
      </c>
      <c r="C1676">
        <f>12.92</f>
        <v>12.92</v>
      </c>
      <c r="D1676">
        <f>305.75</f>
        <v>305.75</v>
      </c>
    </row>
    <row r="1677" spans="1:4" x14ac:dyDescent="0.2">
      <c r="A1677" s="1">
        <v>42793</v>
      </c>
      <c r="B1677">
        <f>16.0402</f>
        <v>16.040199999999999</v>
      </c>
      <c r="C1677">
        <f>12.09</f>
        <v>12.09</v>
      </c>
      <c r="D1677">
        <f>186.22</f>
        <v>186.22</v>
      </c>
    </row>
    <row r="1678" spans="1:4" x14ac:dyDescent="0.2">
      <c r="A1678" s="1">
        <v>42790</v>
      </c>
      <c r="B1678">
        <f>15.8552</f>
        <v>15.8552</v>
      </c>
      <c r="C1678">
        <f>11.47</f>
        <v>11.47</v>
      </c>
      <c r="D1678">
        <f>219.11</f>
        <v>219.11</v>
      </c>
    </row>
    <row r="1679" spans="1:4" x14ac:dyDescent="0.2">
      <c r="A1679" s="1">
        <v>42789</v>
      </c>
      <c r="B1679">
        <f>15.4578</f>
        <v>15.457800000000001</v>
      </c>
      <c r="C1679">
        <f>11.71</f>
        <v>11.71</v>
      </c>
      <c r="D1679">
        <f>280.55</f>
        <v>280.55</v>
      </c>
    </row>
    <row r="1680" spans="1:4" x14ac:dyDescent="0.2">
      <c r="A1680" s="1">
        <v>42788</v>
      </c>
      <c r="B1680">
        <f>14.8577</f>
        <v>14.857699999999999</v>
      </c>
      <c r="C1680">
        <f>11.74</f>
        <v>11.74</v>
      </c>
      <c r="D1680">
        <f>278.69</f>
        <v>278.69</v>
      </c>
    </row>
    <row r="1681" spans="1:4" x14ac:dyDescent="0.2">
      <c r="A1681" s="1">
        <v>42787</v>
      </c>
      <c r="B1681">
        <f>14.5706</f>
        <v>14.570600000000001</v>
      </c>
      <c r="C1681">
        <f>11.57</f>
        <v>11.57</v>
      </c>
      <c r="D1681">
        <f>250.07</f>
        <v>250.07</v>
      </c>
    </row>
    <row r="1682" spans="1:4" x14ac:dyDescent="0.2">
      <c r="A1682" s="1">
        <v>42786</v>
      </c>
      <c r="B1682">
        <f>14.8906</f>
        <v>14.890599999999999</v>
      </c>
      <c r="C1682" t="e">
        <f>NA()</f>
        <v>#N/A</v>
      </c>
      <c r="D1682">
        <f>182.29</f>
        <v>182.29</v>
      </c>
    </row>
    <row r="1683" spans="1:4" x14ac:dyDescent="0.2">
      <c r="A1683" s="1">
        <v>42783</v>
      </c>
      <c r="B1683">
        <f>14.8315</f>
        <v>14.8315</v>
      </c>
      <c r="C1683">
        <f>11.49</f>
        <v>11.49</v>
      </c>
      <c r="D1683">
        <f>207.96</f>
        <v>207.96</v>
      </c>
    </row>
    <row r="1684" spans="1:4" x14ac:dyDescent="0.2">
      <c r="A1684" s="1">
        <v>42782</v>
      </c>
      <c r="B1684">
        <f>15.3999</f>
        <v>15.399900000000001</v>
      </c>
      <c r="C1684">
        <f>11.76</f>
        <v>11.76</v>
      </c>
      <c r="D1684">
        <f>299.21</f>
        <v>299.20999999999998</v>
      </c>
    </row>
    <row r="1685" spans="1:4" x14ac:dyDescent="0.2">
      <c r="A1685" s="1">
        <v>42781</v>
      </c>
      <c r="B1685">
        <f>14.6829</f>
        <v>14.6829</v>
      </c>
      <c r="C1685">
        <f>11.97</f>
        <v>11.97</v>
      </c>
      <c r="D1685">
        <f>248.63</f>
        <v>248.63</v>
      </c>
    </row>
    <row r="1686" spans="1:4" x14ac:dyDescent="0.2">
      <c r="A1686" s="1">
        <v>42780</v>
      </c>
      <c r="B1686">
        <f>14.6469</f>
        <v>14.6469</v>
      </c>
      <c r="C1686">
        <f>10.74</f>
        <v>10.74</v>
      </c>
      <c r="D1686">
        <f>242.7</f>
        <v>242.7</v>
      </c>
    </row>
    <row r="1687" spans="1:4" x14ac:dyDescent="0.2">
      <c r="A1687" s="1">
        <v>42779</v>
      </c>
      <c r="B1687">
        <f>14.8043</f>
        <v>14.8043</v>
      </c>
      <c r="C1687">
        <f>11.07</f>
        <v>11.07</v>
      </c>
      <c r="D1687">
        <f>203.59</f>
        <v>203.59</v>
      </c>
    </row>
    <row r="1688" spans="1:4" x14ac:dyDescent="0.2">
      <c r="A1688" s="1">
        <v>42776</v>
      </c>
      <c r="B1688">
        <f>15.1125</f>
        <v>15.112500000000001</v>
      </c>
      <c r="C1688">
        <f>10.85</f>
        <v>10.85</v>
      </c>
      <c r="D1688">
        <f>308.58</f>
        <v>308.58</v>
      </c>
    </row>
    <row r="1689" spans="1:4" x14ac:dyDescent="0.2">
      <c r="A1689" s="1">
        <v>42775</v>
      </c>
      <c r="B1689">
        <f>15.2973</f>
        <v>15.2973</v>
      </c>
      <c r="C1689">
        <f>10.88</f>
        <v>10.88</v>
      </c>
      <c r="D1689">
        <f>226.01</f>
        <v>226.01</v>
      </c>
    </row>
    <row r="1690" spans="1:4" x14ac:dyDescent="0.2">
      <c r="A1690" s="1">
        <v>42774</v>
      </c>
      <c r="B1690">
        <f>16.831</f>
        <v>16.831</v>
      </c>
      <c r="C1690">
        <f>11.45</f>
        <v>11.45</v>
      </c>
      <c r="D1690">
        <f>237.21</f>
        <v>237.21</v>
      </c>
    </row>
    <row r="1691" spans="1:4" x14ac:dyDescent="0.2">
      <c r="A1691" s="1">
        <v>42773</v>
      </c>
      <c r="B1691">
        <f>16.9147</f>
        <v>16.9147</v>
      </c>
      <c r="C1691">
        <f>11.29</f>
        <v>11.29</v>
      </c>
      <c r="D1691">
        <f>199.7</f>
        <v>199.7</v>
      </c>
    </row>
    <row r="1692" spans="1:4" x14ac:dyDescent="0.2">
      <c r="A1692" s="1">
        <v>42772</v>
      </c>
      <c r="B1692">
        <f>16.4328</f>
        <v>16.4328</v>
      </c>
      <c r="C1692">
        <f>11.37</f>
        <v>11.37</v>
      </c>
      <c r="D1692">
        <f>176.84</f>
        <v>176.84</v>
      </c>
    </row>
    <row r="1693" spans="1:4" x14ac:dyDescent="0.2">
      <c r="A1693" s="1">
        <v>42769</v>
      </c>
      <c r="B1693">
        <f>15.1332</f>
        <v>15.1332</v>
      </c>
      <c r="C1693">
        <f>10.97</f>
        <v>10.97</v>
      </c>
      <c r="D1693">
        <f>208.69</f>
        <v>208.69</v>
      </c>
    </row>
    <row r="1694" spans="1:4" x14ac:dyDescent="0.2">
      <c r="A1694" s="1">
        <v>42768</v>
      </c>
      <c r="B1694">
        <f>16.1939</f>
        <v>16.193899999999999</v>
      </c>
      <c r="C1694">
        <f>11.93</f>
        <v>11.93</v>
      </c>
      <c r="D1694">
        <f>271.91</f>
        <v>271.91000000000003</v>
      </c>
    </row>
    <row r="1695" spans="1:4" x14ac:dyDescent="0.2">
      <c r="A1695" s="1">
        <v>42767</v>
      </c>
      <c r="B1695">
        <f>16.6427</f>
        <v>16.642700000000001</v>
      </c>
      <c r="C1695">
        <f>11.81</f>
        <v>11.81</v>
      </c>
      <c r="D1695">
        <f>251.64</f>
        <v>251.64</v>
      </c>
    </row>
    <row r="1696" spans="1:4" x14ac:dyDescent="0.2">
      <c r="A1696" s="1">
        <v>42766</v>
      </c>
      <c r="B1696">
        <f>17.3682</f>
        <v>17.368200000000002</v>
      </c>
      <c r="C1696">
        <f>11.99</f>
        <v>11.99</v>
      </c>
      <c r="D1696">
        <f>216.45</f>
        <v>216.45</v>
      </c>
    </row>
    <row r="1697" spans="1:4" x14ac:dyDescent="0.2">
      <c r="A1697" s="1">
        <v>42765</v>
      </c>
      <c r="B1697">
        <f>17.4653</f>
        <v>17.465299999999999</v>
      </c>
      <c r="C1697">
        <f>11.88</f>
        <v>11.88</v>
      </c>
      <c r="D1697">
        <f>204.06</f>
        <v>204.06</v>
      </c>
    </row>
    <row r="1698" spans="1:4" x14ac:dyDescent="0.2">
      <c r="A1698" s="1">
        <v>42762</v>
      </c>
      <c r="B1698">
        <f>15.847</f>
        <v>15.847</v>
      </c>
      <c r="C1698">
        <f>10.58</f>
        <v>10.58</v>
      </c>
      <c r="D1698">
        <f>230.34</f>
        <v>230.34</v>
      </c>
    </row>
    <row r="1699" spans="1:4" x14ac:dyDescent="0.2">
      <c r="A1699" s="1">
        <v>42761</v>
      </c>
      <c r="B1699">
        <f>15.6052</f>
        <v>15.6052</v>
      </c>
      <c r="C1699">
        <f>10.63</f>
        <v>10.63</v>
      </c>
      <c r="D1699">
        <f>255.02</f>
        <v>255.02</v>
      </c>
    </row>
    <row r="1700" spans="1:4" x14ac:dyDescent="0.2">
      <c r="A1700" s="1">
        <v>42760</v>
      </c>
      <c r="B1700">
        <f>15.6958</f>
        <v>15.6958</v>
      </c>
      <c r="C1700">
        <f>10.81</f>
        <v>10.81</v>
      </c>
      <c r="D1700">
        <f>230.91</f>
        <v>230.91</v>
      </c>
    </row>
    <row r="1701" spans="1:4" x14ac:dyDescent="0.2">
      <c r="A1701" s="1">
        <v>42759</v>
      </c>
      <c r="B1701">
        <f>16.3083</f>
        <v>16.308299999999999</v>
      </c>
      <c r="C1701">
        <f>11.07</f>
        <v>11.07</v>
      </c>
      <c r="D1701">
        <f>256.71</f>
        <v>256.70999999999998</v>
      </c>
    </row>
    <row r="1702" spans="1:4" x14ac:dyDescent="0.2">
      <c r="A1702" s="1">
        <v>42758</v>
      </c>
      <c r="B1702">
        <f>17.1108</f>
        <v>17.110800000000001</v>
      </c>
      <c r="C1702">
        <f>11.77</f>
        <v>11.77</v>
      </c>
      <c r="D1702">
        <f>188.17</f>
        <v>188.17</v>
      </c>
    </row>
    <row r="1703" spans="1:4" x14ac:dyDescent="0.2">
      <c r="A1703" s="1">
        <v>42755</v>
      </c>
      <c r="B1703">
        <f>14.5963</f>
        <v>14.596299999999999</v>
      </c>
      <c r="C1703">
        <f>11.54</f>
        <v>11.54</v>
      </c>
      <c r="D1703">
        <f>179.49</f>
        <v>179.49</v>
      </c>
    </row>
    <row r="1704" spans="1:4" x14ac:dyDescent="0.2">
      <c r="A1704" s="1">
        <v>42754</v>
      </c>
      <c r="B1704">
        <f>14.8475</f>
        <v>14.8475</v>
      </c>
      <c r="C1704">
        <f>12.78</f>
        <v>12.78</v>
      </c>
      <c r="D1704">
        <f>201.79</f>
        <v>201.79</v>
      </c>
    </row>
    <row r="1705" spans="1:4" x14ac:dyDescent="0.2">
      <c r="A1705" s="1">
        <v>42753</v>
      </c>
      <c r="B1705">
        <f>14.8506</f>
        <v>14.8506</v>
      </c>
      <c r="C1705">
        <f>12.48</f>
        <v>12.48</v>
      </c>
      <c r="D1705">
        <f>238.76</f>
        <v>238.76</v>
      </c>
    </row>
    <row r="1706" spans="1:4" x14ac:dyDescent="0.2">
      <c r="A1706" s="1">
        <v>42752</v>
      </c>
      <c r="B1706">
        <f>15.6671</f>
        <v>15.6671</v>
      </c>
      <c r="C1706">
        <f>11.87</f>
        <v>11.87</v>
      </c>
      <c r="D1706">
        <f>302.03</f>
        <v>302.02999999999997</v>
      </c>
    </row>
    <row r="1707" spans="1:4" x14ac:dyDescent="0.2">
      <c r="A1707" s="1">
        <v>42751</v>
      </c>
      <c r="B1707">
        <f>15.4655</f>
        <v>15.4655</v>
      </c>
      <c r="C1707" t="e">
        <f>NA()</f>
        <v>#N/A</v>
      </c>
      <c r="D1707">
        <f>218.78</f>
        <v>218.78</v>
      </c>
    </row>
    <row r="1708" spans="1:4" x14ac:dyDescent="0.2">
      <c r="A1708" s="1">
        <v>42748</v>
      </c>
      <c r="B1708">
        <f>14.8618</f>
        <v>14.861800000000001</v>
      </c>
      <c r="C1708">
        <f>11.23</f>
        <v>11.23</v>
      </c>
      <c r="D1708">
        <f>204.58</f>
        <v>204.58</v>
      </c>
    </row>
    <row r="1709" spans="1:4" x14ac:dyDescent="0.2">
      <c r="A1709" s="1">
        <v>42747</v>
      </c>
      <c r="B1709">
        <f>16.2935</f>
        <v>16.293500000000002</v>
      </c>
      <c r="C1709">
        <f>11.54</f>
        <v>11.54</v>
      </c>
      <c r="D1709">
        <f>238.79</f>
        <v>238.79</v>
      </c>
    </row>
    <row r="1710" spans="1:4" x14ac:dyDescent="0.2">
      <c r="A1710" s="1">
        <v>42746</v>
      </c>
      <c r="B1710">
        <f>15.7011</f>
        <v>15.7011</v>
      </c>
      <c r="C1710">
        <f>11.26</f>
        <v>11.26</v>
      </c>
      <c r="D1710">
        <f>260.17</f>
        <v>260.17</v>
      </c>
    </row>
    <row r="1711" spans="1:4" x14ac:dyDescent="0.2">
      <c r="A1711" s="1">
        <v>42745</v>
      </c>
      <c r="B1711">
        <f>15.3547</f>
        <v>15.354699999999999</v>
      </c>
      <c r="C1711">
        <f>11.49</f>
        <v>11.49</v>
      </c>
      <c r="D1711">
        <f>178.69</f>
        <v>178.69</v>
      </c>
    </row>
    <row r="1712" spans="1:4" x14ac:dyDescent="0.2">
      <c r="A1712" s="1">
        <v>42744</v>
      </c>
      <c r="B1712">
        <f>15.5143</f>
        <v>15.5143</v>
      </c>
      <c r="C1712">
        <f>11.56</f>
        <v>11.56</v>
      </c>
      <c r="D1712">
        <f>135.64</f>
        <v>135.63999999999999</v>
      </c>
    </row>
    <row r="1713" spans="1:4" x14ac:dyDescent="0.2">
      <c r="A1713" s="1">
        <v>42741</v>
      </c>
      <c r="B1713">
        <f>15.3421</f>
        <v>15.3421</v>
      </c>
      <c r="C1713">
        <f>11.32</f>
        <v>11.32</v>
      </c>
      <c r="D1713">
        <f>139.07</f>
        <v>139.07</v>
      </c>
    </row>
    <row r="1714" spans="1:4" x14ac:dyDescent="0.2">
      <c r="A1714" s="1">
        <v>42740</v>
      </c>
      <c r="B1714">
        <f>15.9801</f>
        <v>15.9801</v>
      </c>
      <c r="C1714">
        <f>11.67</f>
        <v>11.67</v>
      </c>
      <c r="D1714">
        <f>161.9</f>
        <v>161.9</v>
      </c>
    </row>
    <row r="1715" spans="1:4" x14ac:dyDescent="0.2">
      <c r="A1715" s="1">
        <v>42739</v>
      </c>
      <c r="B1715">
        <f>16.4641</f>
        <v>16.464099999999998</v>
      </c>
      <c r="C1715">
        <f>11.85</f>
        <v>11.85</v>
      </c>
      <c r="D1715">
        <f>174.56</f>
        <v>174.56</v>
      </c>
    </row>
    <row r="1716" spans="1:4" x14ac:dyDescent="0.2">
      <c r="A1716" s="1">
        <v>42738</v>
      </c>
      <c r="B1716">
        <f>17.3519</f>
        <v>17.351900000000001</v>
      </c>
      <c r="C1716">
        <f>12.85</f>
        <v>12.85</v>
      </c>
      <c r="D1716">
        <f>151.65</f>
        <v>151.65</v>
      </c>
    </row>
    <row r="1717" spans="1:4" x14ac:dyDescent="0.2">
      <c r="A1717" s="1">
        <v>42737</v>
      </c>
      <c r="B1717">
        <f>17.9578</f>
        <v>17.957799999999999</v>
      </c>
      <c r="C1717" t="e">
        <f>NA()</f>
        <v>#N/A</v>
      </c>
      <c r="D1717" t="e">
        <f>NA()</f>
        <v>#N/A</v>
      </c>
    </row>
    <row r="1718" spans="1:4" x14ac:dyDescent="0.2">
      <c r="A1718" s="1">
        <v>42734</v>
      </c>
      <c r="B1718">
        <f>18.123</f>
        <v>18.123000000000001</v>
      </c>
      <c r="C1718">
        <f>14.04</f>
        <v>14.04</v>
      </c>
      <c r="D1718">
        <f>83.81</f>
        <v>83.81</v>
      </c>
    </row>
    <row r="1719" spans="1:4" x14ac:dyDescent="0.2">
      <c r="A1719" s="1">
        <v>42733</v>
      </c>
      <c r="B1719">
        <f>17.771</f>
        <v>17.771000000000001</v>
      </c>
      <c r="C1719">
        <f>13.37</f>
        <v>13.37</v>
      </c>
      <c r="D1719">
        <f>111.5</f>
        <v>111.5</v>
      </c>
    </row>
    <row r="1720" spans="1:4" x14ac:dyDescent="0.2">
      <c r="A1720" s="1">
        <v>42732</v>
      </c>
      <c r="B1720">
        <f>17.0648</f>
        <v>17.064800000000002</v>
      </c>
      <c r="C1720">
        <f>12.95</f>
        <v>12.95</v>
      </c>
      <c r="D1720">
        <f>114.42</f>
        <v>114.42</v>
      </c>
    </row>
    <row r="1721" spans="1:4" x14ac:dyDescent="0.2">
      <c r="A1721" s="1">
        <v>42731</v>
      </c>
      <c r="B1721">
        <f>16.718</f>
        <v>16.718</v>
      </c>
      <c r="C1721">
        <f>11.99</f>
        <v>11.99</v>
      </c>
      <c r="D1721" t="e">
        <f>NA()</f>
        <v>#N/A</v>
      </c>
    </row>
    <row r="1722" spans="1:4" x14ac:dyDescent="0.2">
      <c r="A1722" s="1">
        <v>42727</v>
      </c>
      <c r="B1722">
        <f>15.0936</f>
        <v>15.0936</v>
      </c>
      <c r="C1722">
        <f>11.44</f>
        <v>11.44</v>
      </c>
      <c r="D1722">
        <f>54.22</f>
        <v>54.22</v>
      </c>
    </row>
    <row r="1723" spans="1:4" x14ac:dyDescent="0.2">
      <c r="A1723" s="1">
        <v>42726</v>
      </c>
      <c r="B1723">
        <f>14.8767</f>
        <v>14.8767</v>
      </c>
      <c r="C1723">
        <f>11.43</f>
        <v>11.43</v>
      </c>
      <c r="D1723">
        <f>127.37</f>
        <v>127.37</v>
      </c>
    </row>
    <row r="1724" spans="1:4" x14ac:dyDescent="0.2">
      <c r="A1724" s="1">
        <v>42725</v>
      </c>
      <c r="B1724">
        <f>14.7373</f>
        <v>14.737299999999999</v>
      </c>
      <c r="C1724">
        <f>11.27</f>
        <v>11.27</v>
      </c>
      <c r="D1724">
        <f>135.01</f>
        <v>135.01</v>
      </c>
    </row>
    <row r="1725" spans="1:4" x14ac:dyDescent="0.2">
      <c r="A1725" s="1">
        <v>42724</v>
      </c>
      <c r="B1725">
        <f>14.8754</f>
        <v>14.875400000000001</v>
      </c>
      <c r="C1725">
        <f>11.45</f>
        <v>11.45</v>
      </c>
      <c r="D1725">
        <f>247.17</f>
        <v>247.17</v>
      </c>
    </row>
    <row r="1726" spans="1:4" x14ac:dyDescent="0.2">
      <c r="A1726" s="1">
        <v>42723</v>
      </c>
      <c r="B1726">
        <f>15.1177</f>
        <v>15.117699999999999</v>
      </c>
      <c r="C1726">
        <f>11.71</f>
        <v>11.71</v>
      </c>
      <c r="D1726">
        <f>206.24</f>
        <v>206.24</v>
      </c>
    </row>
    <row r="1727" spans="1:4" x14ac:dyDescent="0.2">
      <c r="A1727" s="1">
        <v>42720</v>
      </c>
      <c r="B1727">
        <f>15.098</f>
        <v>15.098000000000001</v>
      </c>
      <c r="C1727">
        <f>12.2</f>
        <v>12.2</v>
      </c>
      <c r="D1727" t="e">
        <f>NA()</f>
        <v>#N/A</v>
      </c>
    </row>
    <row r="1728" spans="1:4" x14ac:dyDescent="0.2">
      <c r="A1728" s="1">
        <v>42719</v>
      </c>
      <c r="B1728">
        <f>15.8633</f>
        <v>15.863300000000001</v>
      </c>
      <c r="C1728">
        <f>12.79</f>
        <v>12.79</v>
      </c>
      <c r="D1728">
        <f>679.59</f>
        <v>679.59</v>
      </c>
    </row>
    <row r="1729" spans="1:4" x14ac:dyDescent="0.2">
      <c r="A1729" s="1">
        <v>42718</v>
      </c>
      <c r="B1729">
        <f>17.1147</f>
        <v>17.114699999999999</v>
      </c>
      <c r="C1729">
        <f>13.19</f>
        <v>13.19</v>
      </c>
      <c r="D1729">
        <f>255.74</f>
        <v>255.74</v>
      </c>
    </row>
    <row r="1730" spans="1:4" x14ac:dyDescent="0.2">
      <c r="A1730" s="1">
        <v>42717</v>
      </c>
      <c r="B1730">
        <f>16.8704</f>
        <v>16.8704</v>
      </c>
      <c r="C1730">
        <f>12.72</f>
        <v>12.72</v>
      </c>
      <c r="D1730">
        <f>270.12</f>
        <v>270.12</v>
      </c>
    </row>
    <row r="1731" spans="1:4" x14ac:dyDescent="0.2">
      <c r="A1731" s="1">
        <v>42716</v>
      </c>
      <c r="B1731">
        <f>16.9318</f>
        <v>16.931799999999999</v>
      </c>
      <c r="C1731">
        <f>12.64</f>
        <v>12.64</v>
      </c>
      <c r="D1731">
        <f>227.6</f>
        <v>227.6</v>
      </c>
    </row>
    <row r="1732" spans="1:4" x14ac:dyDescent="0.2">
      <c r="A1732" s="1">
        <v>42713</v>
      </c>
      <c r="B1732">
        <f>16.6203</f>
        <v>16.6203</v>
      </c>
      <c r="C1732">
        <f>11.75</f>
        <v>11.75</v>
      </c>
      <c r="D1732">
        <f>233.47</f>
        <v>233.47</v>
      </c>
    </row>
    <row r="1733" spans="1:4" x14ac:dyDescent="0.2">
      <c r="A1733" s="1">
        <v>42712</v>
      </c>
      <c r="B1733">
        <f>16.1593</f>
        <v>16.159300000000002</v>
      </c>
      <c r="C1733">
        <f>12.64</f>
        <v>12.64</v>
      </c>
      <c r="D1733">
        <f>273.27</f>
        <v>273.27</v>
      </c>
    </row>
    <row r="1734" spans="1:4" x14ac:dyDescent="0.2">
      <c r="A1734" s="1">
        <v>42711</v>
      </c>
      <c r="B1734">
        <f>17.1436</f>
        <v>17.143599999999999</v>
      </c>
      <c r="C1734">
        <f>12.22</f>
        <v>12.22</v>
      </c>
      <c r="D1734">
        <f>234.76</f>
        <v>234.76</v>
      </c>
    </row>
    <row r="1735" spans="1:4" x14ac:dyDescent="0.2">
      <c r="A1735" s="1">
        <v>42710</v>
      </c>
      <c r="B1735">
        <f>17.6341</f>
        <v>17.6341</v>
      </c>
      <c r="C1735">
        <f>11.79</f>
        <v>11.79</v>
      </c>
      <c r="D1735">
        <f>214.57</f>
        <v>214.57</v>
      </c>
    </row>
    <row r="1736" spans="1:4" x14ac:dyDescent="0.2">
      <c r="A1736" s="1">
        <v>42709</v>
      </c>
      <c r="B1736">
        <f>18.9556</f>
        <v>18.9556</v>
      </c>
      <c r="C1736">
        <f>12.14</f>
        <v>12.14</v>
      </c>
      <c r="D1736">
        <f>252.98</f>
        <v>252.98</v>
      </c>
    </row>
    <row r="1737" spans="1:4" x14ac:dyDescent="0.2">
      <c r="A1737" s="1">
        <v>42706</v>
      </c>
      <c r="B1737">
        <f>22.6159</f>
        <v>22.6159</v>
      </c>
      <c r="C1737">
        <f>14.12</f>
        <v>14.12</v>
      </c>
      <c r="D1737">
        <f>263.08</f>
        <v>263.08</v>
      </c>
    </row>
    <row r="1738" spans="1:4" x14ac:dyDescent="0.2">
      <c r="A1738" s="1">
        <v>42705</v>
      </c>
      <c r="B1738">
        <f>22.6014</f>
        <v>22.601400000000002</v>
      </c>
      <c r="C1738">
        <f>14.07</f>
        <v>14.07</v>
      </c>
      <c r="D1738">
        <f>360.92</f>
        <v>360.92</v>
      </c>
    </row>
    <row r="1739" spans="1:4" x14ac:dyDescent="0.2">
      <c r="A1739" s="1">
        <v>42704</v>
      </c>
      <c r="B1739">
        <f>21.4372</f>
        <v>21.437200000000001</v>
      </c>
      <c r="C1739">
        <f>13.33</f>
        <v>13.33</v>
      </c>
      <c r="D1739">
        <f>340.9</f>
        <v>340.9</v>
      </c>
    </row>
    <row r="1740" spans="1:4" x14ac:dyDescent="0.2">
      <c r="A1740" s="1">
        <v>42703</v>
      </c>
      <c r="B1740">
        <f>21.7987</f>
        <v>21.7987</v>
      </c>
      <c r="C1740">
        <f>12.9</f>
        <v>12.9</v>
      </c>
      <c r="D1740">
        <f>264.02</f>
        <v>264.02</v>
      </c>
    </row>
    <row r="1741" spans="1:4" x14ac:dyDescent="0.2">
      <c r="A1741" s="1">
        <v>42702</v>
      </c>
      <c r="B1741">
        <f>22.533</f>
        <v>22.533000000000001</v>
      </c>
      <c r="C1741">
        <f>13.15</f>
        <v>13.15</v>
      </c>
      <c r="D1741">
        <f>208.95</f>
        <v>208.95</v>
      </c>
    </row>
    <row r="1742" spans="1:4" x14ac:dyDescent="0.2">
      <c r="A1742" s="1">
        <v>42699</v>
      </c>
      <c r="B1742">
        <f>20.4086</f>
        <v>20.4086</v>
      </c>
      <c r="C1742">
        <f>12.34</f>
        <v>12.34</v>
      </c>
      <c r="D1742">
        <f>159.25</f>
        <v>159.25</v>
      </c>
    </row>
    <row r="1743" spans="1:4" x14ac:dyDescent="0.2">
      <c r="A1743" s="1">
        <v>42698</v>
      </c>
      <c r="B1743">
        <f>20.0292</f>
        <v>20.029199999999999</v>
      </c>
      <c r="C1743" t="e">
        <f>NA()</f>
        <v>#N/A</v>
      </c>
      <c r="D1743">
        <f>196.53</f>
        <v>196.53</v>
      </c>
    </row>
    <row r="1744" spans="1:4" x14ac:dyDescent="0.2">
      <c r="A1744" s="1">
        <v>42697</v>
      </c>
      <c r="B1744">
        <f>20.1928</f>
        <v>20.192799999999998</v>
      </c>
      <c r="C1744">
        <f>12.43</f>
        <v>12.43</v>
      </c>
      <c r="D1744">
        <f>245.96</f>
        <v>245.96</v>
      </c>
    </row>
    <row r="1745" spans="1:4" x14ac:dyDescent="0.2">
      <c r="A1745" s="1">
        <v>42696</v>
      </c>
      <c r="B1745">
        <f>20.2468</f>
        <v>20.2468</v>
      </c>
      <c r="C1745">
        <f>12.41</f>
        <v>12.41</v>
      </c>
      <c r="D1745">
        <f>273.05</f>
        <v>273.05</v>
      </c>
    </row>
    <row r="1746" spans="1:4" x14ac:dyDescent="0.2">
      <c r="A1746" s="1">
        <v>42695</v>
      </c>
      <c r="B1746">
        <f>20.5539</f>
        <v>20.553899999999999</v>
      </c>
      <c r="C1746">
        <f>12.42</f>
        <v>12.42</v>
      </c>
      <c r="D1746">
        <f>184.95</f>
        <v>184.95</v>
      </c>
    </row>
    <row r="1747" spans="1:4" x14ac:dyDescent="0.2">
      <c r="A1747" s="1">
        <v>42692</v>
      </c>
      <c r="B1747">
        <f>20.3697</f>
        <v>20.369700000000002</v>
      </c>
      <c r="C1747">
        <f>12.85</f>
        <v>12.85</v>
      </c>
      <c r="D1747">
        <f>195.3</f>
        <v>195.3</v>
      </c>
    </row>
    <row r="1748" spans="1:4" x14ac:dyDescent="0.2">
      <c r="A1748" s="1">
        <v>42691</v>
      </c>
      <c r="B1748">
        <f>19.9481</f>
        <v>19.9481</v>
      </c>
      <c r="C1748">
        <f>13.35</f>
        <v>13.35</v>
      </c>
      <c r="D1748">
        <f>242.37</f>
        <v>242.37</v>
      </c>
    </row>
    <row r="1749" spans="1:4" x14ac:dyDescent="0.2">
      <c r="A1749" s="1">
        <v>42690</v>
      </c>
      <c r="B1749">
        <f>21.1147</f>
        <v>21.114699999999999</v>
      </c>
      <c r="C1749">
        <f>13.72</f>
        <v>13.72</v>
      </c>
      <c r="D1749">
        <f>261.26</f>
        <v>261.26</v>
      </c>
    </row>
    <row r="1750" spans="1:4" x14ac:dyDescent="0.2">
      <c r="A1750" s="1">
        <v>42689</v>
      </c>
      <c r="B1750">
        <f>20.6381</f>
        <v>20.638100000000001</v>
      </c>
      <c r="C1750">
        <f>13.37</f>
        <v>13.37</v>
      </c>
      <c r="D1750">
        <f>242.99</f>
        <v>242.99</v>
      </c>
    </row>
    <row r="1751" spans="1:4" x14ac:dyDescent="0.2">
      <c r="A1751" s="1">
        <v>42688</v>
      </c>
      <c r="B1751">
        <f>22.1941</f>
        <v>22.194099999999999</v>
      </c>
      <c r="C1751">
        <f>14.48</f>
        <v>14.48</v>
      </c>
      <c r="D1751">
        <f>283.95</f>
        <v>283.95</v>
      </c>
    </row>
    <row r="1752" spans="1:4" x14ac:dyDescent="0.2">
      <c r="A1752" s="1">
        <v>42685</v>
      </c>
      <c r="B1752">
        <f>21.9585</f>
        <v>21.958500000000001</v>
      </c>
      <c r="C1752">
        <f>14.17</f>
        <v>14.17</v>
      </c>
      <c r="D1752">
        <f>348.27</f>
        <v>348.27</v>
      </c>
    </row>
    <row r="1753" spans="1:4" x14ac:dyDescent="0.2">
      <c r="A1753" s="1">
        <v>42684</v>
      </c>
      <c r="B1753">
        <f>21.0959</f>
        <v>21.0959</v>
      </c>
      <c r="C1753">
        <f>14.74</f>
        <v>14.74</v>
      </c>
      <c r="D1753">
        <f>317.94</f>
        <v>317.94</v>
      </c>
    </row>
    <row r="1754" spans="1:4" x14ac:dyDescent="0.2">
      <c r="A1754" s="1">
        <v>42683</v>
      </c>
      <c r="B1754">
        <f>21.1011</f>
        <v>21.101099999999999</v>
      </c>
      <c r="C1754">
        <f>14.38</f>
        <v>14.38</v>
      </c>
      <c r="D1754">
        <f>228.41</f>
        <v>228.41</v>
      </c>
    </row>
    <row r="1755" spans="1:4" x14ac:dyDescent="0.2">
      <c r="A1755" s="1">
        <v>42682</v>
      </c>
      <c r="B1755">
        <f>24.9341</f>
        <v>24.934100000000001</v>
      </c>
      <c r="C1755">
        <f>18.74</f>
        <v>18.739999999999998</v>
      </c>
      <c r="D1755">
        <f>238.02</f>
        <v>238.02</v>
      </c>
    </row>
    <row r="1756" spans="1:4" x14ac:dyDescent="0.2">
      <c r="A1756" s="1">
        <v>42681</v>
      </c>
      <c r="B1756">
        <f>24.6196</f>
        <v>24.619599999999998</v>
      </c>
      <c r="C1756">
        <f>18.71</f>
        <v>18.71</v>
      </c>
      <c r="D1756">
        <f>185.33</f>
        <v>185.33</v>
      </c>
    </row>
    <row r="1757" spans="1:4" x14ac:dyDescent="0.2">
      <c r="A1757" s="1">
        <v>42678</v>
      </c>
      <c r="B1757">
        <f>25.2078</f>
        <v>25.207799999999999</v>
      </c>
      <c r="C1757">
        <f>22.51</f>
        <v>22.51</v>
      </c>
      <c r="D1757">
        <f>248.06</f>
        <v>248.06</v>
      </c>
    </row>
    <row r="1758" spans="1:4" x14ac:dyDescent="0.2">
      <c r="A1758" s="1">
        <v>42677</v>
      </c>
      <c r="B1758">
        <f>24.6804</f>
        <v>24.680399999999999</v>
      </c>
      <c r="C1758">
        <f>22.08</f>
        <v>22.08</v>
      </c>
      <c r="D1758">
        <f>309.73</f>
        <v>309.73</v>
      </c>
    </row>
    <row r="1759" spans="1:4" x14ac:dyDescent="0.2">
      <c r="A1759" s="1">
        <v>42676</v>
      </c>
      <c r="B1759">
        <f>23.6546</f>
        <v>23.654599999999999</v>
      </c>
      <c r="C1759">
        <f>19.32</f>
        <v>19.32</v>
      </c>
      <c r="D1759">
        <f>254.65</f>
        <v>254.65</v>
      </c>
    </row>
    <row r="1760" spans="1:4" x14ac:dyDescent="0.2">
      <c r="A1760" s="1">
        <v>42675</v>
      </c>
      <c r="B1760">
        <f>23.4631</f>
        <v>23.463100000000001</v>
      </c>
      <c r="C1760">
        <f>18.56</f>
        <v>18.559999999999999</v>
      </c>
      <c r="D1760">
        <f>221.92</f>
        <v>221.92</v>
      </c>
    </row>
    <row r="1761" spans="1:4" x14ac:dyDescent="0.2">
      <c r="A1761" s="1">
        <v>42674</v>
      </c>
      <c r="B1761">
        <f>21.4449</f>
        <v>21.444900000000001</v>
      </c>
      <c r="C1761">
        <f>17.06</f>
        <v>17.059999999999999</v>
      </c>
      <c r="D1761">
        <f>270.12</f>
        <v>270.12</v>
      </c>
    </row>
    <row r="1762" spans="1:4" x14ac:dyDescent="0.2">
      <c r="A1762" s="1">
        <v>42671</v>
      </c>
      <c r="B1762">
        <f>19.2694</f>
        <v>19.269400000000001</v>
      </c>
      <c r="C1762">
        <f>16.19</f>
        <v>16.190000000000001</v>
      </c>
      <c r="D1762">
        <f>207.63</f>
        <v>207.63</v>
      </c>
    </row>
    <row r="1763" spans="1:4" x14ac:dyDescent="0.2">
      <c r="A1763" s="1">
        <v>42670</v>
      </c>
      <c r="B1763">
        <f>18.7315</f>
        <v>18.7315</v>
      </c>
      <c r="C1763">
        <f>15.36</f>
        <v>15.36</v>
      </c>
      <c r="D1763">
        <f>204.63</f>
        <v>204.63</v>
      </c>
    </row>
    <row r="1764" spans="1:4" x14ac:dyDescent="0.2">
      <c r="A1764" s="1">
        <v>42669</v>
      </c>
      <c r="B1764">
        <f>18.674</f>
        <v>18.673999999999999</v>
      </c>
      <c r="C1764">
        <f>14.24</f>
        <v>14.24</v>
      </c>
      <c r="D1764">
        <f>167.16</f>
        <v>167.16</v>
      </c>
    </row>
    <row r="1765" spans="1:4" x14ac:dyDescent="0.2">
      <c r="A1765" s="1">
        <v>42668</v>
      </c>
      <c r="B1765">
        <f>18.2257</f>
        <v>18.2257</v>
      </c>
      <c r="C1765">
        <f>13.46</f>
        <v>13.46</v>
      </c>
      <c r="D1765">
        <f>202.21</f>
        <v>202.21</v>
      </c>
    </row>
    <row r="1766" spans="1:4" x14ac:dyDescent="0.2">
      <c r="A1766" s="1">
        <v>42667</v>
      </c>
      <c r="B1766">
        <f>17.7055</f>
        <v>17.705500000000001</v>
      </c>
      <c r="C1766">
        <f>13.02</f>
        <v>13.02</v>
      </c>
      <c r="D1766">
        <f>199.73</f>
        <v>199.73</v>
      </c>
    </row>
    <row r="1767" spans="1:4" x14ac:dyDescent="0.2">
      <c r="A1767" s="1">
        <v>42664</v>
      </c>
      <c r="B1767">
        <f>16.599</f>
        <v>16.599</v>
      </c>
      <c r="C1767">
        <f>13.34</f>
        <v>13.34</v>
      </c>
      <c r="D1767">
        <f>224.91</f>
        <v>224.91</v>
      </c>
    </row>
    <row r="1768" spans="1:4" x14ac:dyDescent="0.2">
      <c r="A1768" s="1">
        <v>42663</v>
      </c>
      <c r="B1768">
        <f>17.2172</f>
        <v>17.217199999999998</v>
      </c>
      <c r="C1768">
        <f>13.75</f>
        <v>13.75</v>
      </c>
      <c r="D1768">
        <f>161.61</f>
        <v>161.61000000000001</v>
      </c>
    </row>
    <row r="1769" spans="1:4" x14ac:dyDescent="0.2">
      <c r="A1769" s="1">
        <v>42662</v>
      </c>
      <c r="B1769">
        <f>18.0718</f>
        <v>18.0718</v>
      </c>
      <c r="C1769">
        <f>14.41</f>
        <v>14.41</v>
      </c>
      <c r="D1769">
        <f>220.41</f>
        <v>220.41</v>
      </c>
    </row>
    <row r="1770" spans="1:4" x14ac:dyDescent="0.2">
      <c r="A1770" s="1">
        <v>42661</v>
      </c>
      <c r="B1770">
        <f>19.069</f>
        <v>19.068999999999999</v>
      </c>
      <c r="C1770">
        <f>15.28</f>
        <v>15.28</v>
      </c>
      <c r="D1770">
        <f>237.79</f>
        <v>237.79</v>
      </c>
    </row>
    <row r="1771" spans="1:4" x14ac:dyDescent="0.2">
      <c r="A1771" s="1">
        <v>42660</v>
      </c>
      <c r="B1771">
        <f>20.6231</f>
        <v>20.623100000000001</v>
      </c>
      <c r="C1771">
        <f>16.21</f>
        <v>16.21</v>
      </c>
      <c r="D1771">
        <f>177.28</f>
        <v>177.28</v>
      </c>
    </row>
    <row r="1772" spans="1:4" x14ac:dyDescent="0.2">
      <c r="A1772" s="1">
        <v>42657</v>
      </c>
      <c r="B1772">
        <f>19.4618</f>
        <v>19.4618</v>
      </c>
      <c r="C1772">
        <f>16.12</f>
        <v>16.12</v>
      </c>
      <c r="D1772">
        <f>250.8</f>
        <v>250.8</v>
      </c>
    </row>
    <row r="1773" spans="1:4" x14ac:dyDescent="0.2">
      <c r="A1773" s="1">
        <v>42656</v>
      </c>
      <c r="B1773">
        <f>20.9273</f>
        <v>20.927299999999999</v>
      </c>
      <c r="C1773">
        <f>16.69</f>
        <v>16.690000000000001</v>
      </c>
      <c r="D1773">
        <f>313.09</f>
        <v>313.08999999999997</v>
      </c>
    </row>
    <row r="1774" spans="1:4" x14ac:dyDescent="0.2">
      <c r="A1774" s="1">
        <v>42655</v>
      </c>
      <c r="B1774">
        <f>20.1318</f>
        <v>20.131799999999998</v>
      </c>
      <c r="C1774">
        <f>15.91</f>
        <v>15.91</v>
      </c>
      <c r="D1774">
        <f>257.18</f>
        <v>257.18</v>
      </c>
    </row>
    <row r="1775" spans="1:4" x14ac:dyDescent="0.2">
      <c r="A1775" s="1">
        <v>42654</v>
      </c>
      <c r="B1775">
        <f>19.8788</f>
        <v>19.878799999999998</v>
      </c>
      <c r="C1775">
        <f>15.36</f>
        <v>15.36</v>
      </c>
      <c r="D1775">
        <f>398.93</f>
        <v>398.93</v>
      </c>
    </row>
    <row r="1776" spans="1:4" x14ac:dyDescent="0.2">
      <c r="A1776" s="1">
        <v>42653</v>
      </c>
      <c r="B1776">
        <f>19.2601</f>
        <v>19.260100000000001</v>
      </c>
      <c r="C1776">
        <f>13.38</f>
        <v>13.38</v>
      </c>
      <c r="D1776">
        <f>214.38</f>
        <v>214.38</v>
      </c>
    </row>
    <row r="1777" spans="1:4" x14ac:dyDescent="0.2">
      <c r="A1777" s="1">
        <v>42650</v>
      </c>
      <c r="B1777">
        <f>20.0387</f>
        <v>20.038699999999999</v>
      </c>
      <c r="C1777">
        <f>13.48</f>
        <v>13.48</v>
      </c>
      <c r="D1777">
        <f>236.66</f>
        <v>236.66</v>
      </c>
    </row>
    <row r="1778" spans="1:4" x14ac:dyDescent="0.2">
      <c r="A1778" s="1">
        <v>42649</v>
      </c>
      <c r="B1778">
        <f>19.1722</f>
        <v>19.1722</v>
      </c>
      <c r="C1778">
        <f>12.84</f>
        <v>12.84</v>
      </c>
      <c r="D1778">
        <f>267.87</f>
        <v>267.87</v>
      </c>
    </row>
    <row r="1779" spans="1:4" x14ac:dyDescent="0.2">
      <c r="A1779" s="1">
        <v>42648</v>
      </c>
      <c r="B1779">
        <f>19.4441</f>
        <v>19.444099999999999</v>
      </c>
      <c r="C1779">
        <f>12.99</f>
        <v>12.99</v>
      </c>
      <c r="D1779">
        <f>215.06</f>
        <v>215.06</v>
      </c>
    </row>
    <row r="1780" spans="1:4" x14ac:dyDescent="0.2">
      <c r="A1780" s="1">
        <v>42647</v>
      </c>
      <c r="B1780">
        <f>19.2097</f>
        <v>19.209700000000002</v>
      </c>
      <c r="C1780">
        <f>13.63</f>
        <v>13.63</v>
      </c>
      <c r="D1780">
        <f>246.44</f>
        <v>246.44</v>
      </c>
    </row>
    <row r="1781" spans="1:4" x14ac:dyDescent="0.2">
      <c r="A1781" s="1">
        <v>42646</v>
      </c>
      <c r="B1781">
        <f>20.3951</f>
        <v>20.395099999999999</v>
      </c>
      <c r="C1781">
        <f>13.57</f>
        <v>13.57</v>
      </c>
      <c r="D1781">
        <f>191.47</f>
        <v>191.47</v>
      </c>
    </row>
    <row r="1782" spans="1:4" x14ac:dyDescent="0.2">
      <c r="A1782" s="1">
        <v>42643</v>
      </c>
      <c r="B1782">
        <f>19.7693</f>
        <v>19.769300000000001</v>
      </c>
      <c r="C1782">
        <f>13.29</f>
        <v>13.29</v>
      </c>
      <c r="D1782">
        <f>327.15</f>
        <v>327.14999999999998</v>
      </c>
    </row>
    <row r="1783" spans="1:4" x14ac:dyDescent="0.2">
      <c r="A1783" s="1">
        <v>42642</v>
      </c>
      <c r="B1783">
        <f>19.9598</f>
        <v>19.959800000000001</v>
      </c>
      <c r="C1783">
        <f>14.02</f>
        <v>14.02</v>
      </c>
      <c r="D1783">
        <f>451.34</f>
        <v>451.34</v>
      </c>
    </row>
    <row r="1784" spans="1:4" x14ac:dyDescent="0.2">
      <c r="A1784" s="1">
        <v>42641</v>
      </c>
      <c r="B1784">
        <f>19.6948</f>
        <v>19.694800000000001</v>
      </c>
      <c r="C1784">
        <f>12.39</f>
        <v>12.39</v>
      </c>
      <c r="D1784">
        <f>247.78</f>
        <v>247.78</v>
      </c>
    </row>
    <row r="1785" spans="1:4" x14ac:dyDescent="0.2">
      <c r="A1785" s="1">
        <v>42640</v>
      </c>
      <c r="B1785">
        <f>20.6567</f>
        <v>20.656700000000001</v>
      </c>
      <c r="C1785">
        <f>13.1</f>
        <v>13.1</v>
      </c>
      <c r="D1785">
        <f>248.7</f>
        <v>248.7</v>
      </c>
    </row>
    <row r="1786" spans="1:4" x14ac:dyDescent="0.2">
      <c r="A1786" s="1">
        <v>42639</v>
      </c>
      <c r="B1786">
        <f>20.2181</f>
        <v>20.2181</v>
      </c>
      <c r="C1786">
        <f>14.5</f>
        <v>14.5</v>
      </c>
      <c r="D1786">
        <f>188.38</f>
        <v>188.38</v>
      </c>
    </row>
    <row r="1787" spans="1:4" x14ac:dyDescent="0.2">
      <c r="A1787" s="1">
        <v>42636</v>
      </c>
      <c r="B1787">
        <f>16.8292</f>
        <v>16.8292</v>
      </c>
      <c r="C1787">
        <f>12.29</f>
        <v>12.29</v>
      </c>
      <c r="D1787">
        <f>256.93</f>
        <v>256.93</v>
      </c>
    </row>
    <row r="1788" spans="1:4" x14ac:dyDescent="0.2">
      <c r="A1788" s="1">
        <v>42635</v>
      </c>
      <c r="B1788">
        <f>17.2703</f>
        <v>17.270299999999999</v>
      </c>
      <c r="C1788">
        <f>12.02</f>
        <v>12.02</v>
      </c>
      <c r="D1788">
        <f>282.5</f>
        <v>282.5</v>
      </c>
    </row>
    <row r="1789" spans="1:4" x14ac:dyDescent="0.2">
      <c r="A1789" s="1">
        <v>42634</v>
      </c>
      <c r="B1789">
        <f>20.0923</f>
        <v>20.092300000000002</v>
      </c>
      <c r="C1789">
        <f>13.3</f>
        <v>13.3</v>
      </c>
      <c r="D1789">
        <f>246.56</f>
        <v>246.56</v>
      </c>
    </row>
    <row r="1790" spans="1:4" x14ac:dyDescent="0.2">
      <c r="A1790" s="1">
        <v>42633</v>
      </c>
      <c r="B1790">
        <f>20.6992</f>
        <v>20.699200000000001</v>
      </c>
      <c r="C1790">
        <f>15.92</f>
        <v>15.92</v>
      </c>
      <c r="D1790">
        <f>258.33</f>
        <v>258.33</v>
      </c>
    </row>
    <row r="1791" spans="1:4" x14ac:dyDescent="0.2">
      <c r="A1791" s="1">
        <v>42632</v>
      </c>
      <c r="B1791">
        <f>20.3183</f>
        <v>20.318300000000001</v>
      </c>
      <c r="C1791">
        <f>15.53</f>
        <v>15.53</v>
      </c>
      <c r="D1791">
        <f>205.51</f>
        <v>205.51</v>
      </c>
    </row>
    <row r="1792" spans="1:4" x14ac:dyDescent="0.2">
      <c r="A1792" s="1">
        <v>42629</v>
      </c>
      <c r="B1792">
        <f>21.3052</f>
        <v>21.305199999999999</v>
      </c>
      <c r="C1792">
        <f>15.37</f>
        <v>15.37</v>
      </c>
      <c r="D1792">
        <f>452.82</f>
        <v>452.82</v>
      </c>
    </row>
    <row r="1793" spans="1:4" x14ac:dyDescent="0.2">
      <c r="A1793" s="1">
        <v>42628</v>
      </c>
      <c r="B1793">
        <f>20.5507</f>
        <v>20.550699999999999</v>
      </c>
      <c r="C1793">
        <f>16.3</f>
        <v>16.3</v>
      </c>
      <c r="D1793">
        <f>554.87</f>
        <v>554.87</v>
      </c>
    </row>
    <row r="1794" spans="1:4" x14ac:dyDescent="0.2">
      <c r="A1794" s="1">
        <v>42627</v>
      </c>
      <c r="B1794">
        <f>22.2142</f>
        <v>22.214200000000002</v>
      </c>
      <c r="C1794">
        <f>18.14</f>
        <v>18.14</v>
      </c>
      <c r="D1794">
        <f>223.55</f>
        <v>223.55</v>
      </c>
    </row>
    <row r="1795" spans="1:4" x14ac:dyDescent="0.2">
      <c r="A1795" s="1">
        <v>42626</v>
      </c>
      <c r="B1795">
        <f>22.7814</f>
        <v>22.781400000000001</v>
      </c>
      <c r="C1795">
        <f>17.85</f>
        <v>17.850000000000001</v>
      </c>
      <c r="D1795">
        <f>251.46</f>
        <v>251.46</v>
      </c>
    </row>
    <row r="1796" spans="1:4" x14ac:dyDescent="0.2">
      <c r="A1796" s="1">
        <v>42625</v>
      </c>
      <c r="B1796">
        <f>21.8999</f>
        <v>21.899899999999999</v>
      </c>
      <c r="C1796">
        <f>15.16</f>
        <v>15.16</v>
      </c>
      <c r="D1796">
        <f>241.77</f>
        <v>241.77</v>
      </c>
    </row>
    <row r="1797" spans="1:4" x14ac:dyDescent="0.2">
      <c r="A1797" s="1">
        <v>42622</v>
      </c>
      <c r="B1797">
        <f>19.2991</f>
        <v>19.299099999999999</v>
      </c>
      <c r="C1797">
        <f>17.5</f>
        <v>17.5</v>
      </c>
      <c r="D1797">
        <f>277.07</f>
        <v>277.07</v>
      </c>
    </row>
    <row r="1798" spans="1:4" x14ac:dyDescent="0.2">
      <c r="A1798" s="1">
        <v>42621</v>
      </c>
      <c r="B1798">
        <f>17.8149</f>
        <v>17.814900000000002</v>
      </c>
      <c r="C1798">
        <f>12.51</f>
        <v>12.51</v>
      </c>
      <c r="D1798">
        <f>338.5</f>
        <v>338.5</v>
      </c>
    </row>
    <row r="1799" spans="1:4" x14ac:dyDescent="0.2">
      <c r="A1799" s="1">
        <v>42620</v>
      </c>
      <c r="B1799">
        <f>18.5743</f>
        <v>18.574300000000001</v>
      </c>
      <c r="C1799">
        <f>11.94</f>
        <v>11.94</v>
      </c>
      <c r="D1799">
        <f>239.51</f>
        <v>239.51</v>
      </c>
    </row>
    <row r="1800" spans="1:4" x14ac:dyDescent="0.2">
      <c r="A1800" s="1">
        <v>42619</v>
      </c>
      <c r="B1800">
        <f>19.0847</f>
        <v>19.084700000000002</v>
      </c>
      <c r="C1800">
        <f>12.02</f>
        <v>12.02</v>
      </c>
      <c r="D1800">
        <f>269.38</f>
        <v>269.38</v>
      </c>
    </row>
    <row r="1801" spans="1:4" x14ac:dyDescent="0.2">
      <c r="A1801" s="1">
        <v>42618</v>
      </c>
      <c r="B1801">
        <f>18.411</f>
        <v>18.411000000000001</v>
      </c>
      <c r="C1801" t="e">
        <f>NA()</f>
        <v>#N/A</v>
      </c>
      <c r="D1801">
        <f>217.65</f>
        <v>217.65</v>
      </c>
    </row>
    <row r="1802" spans="1:4" x14ac:dyDescent="0.2">
      <c r="A1802" s="1">
        <v>42615</v>
      </c>
      <c r="B1802">
        <f>18.2963</f>
        <v>18.296299999999999</v>
      </c>
      <c r="C1802">
        <f>11.98</f>
        <v>11.98</v>
      </c>
      <c r="D1802">
        <f>240</f>
        <v>240</v>
      </c>
    </row>
    <row r="1803" spans="1:4" x14ac:dyDescent="0.2">
      <c r="A1803" s="1">
        <v>42614</v>
      </c>
      <c r="B1803">
        <f>20.0636</f>
        <v>20.063600000000001</v>
      </c>
      <c r="C1803">
        <f>13.48</f>
        <v>13.48</v>
      </c>
      <c r="D1803">
        <f>366.15</f>
        <v>366.15</v>
      </c>
    </row>
    <row r="1804" spans="1:4" x14ac:dyDescent="0.2">
      <c r="A1804" s="1">
        <v>42613</v>
      </c>
      <c r="B1804">
        <f>19.4166</f>
        <v>19.416599999999999</v>
      </c>
      <c r="C1804">
        <f>13.42</f>
        <v>13.42</v>
      </c>
      <c r="D1804">
        <f>365.59</f>
        <v>365.59</v>
      </c>
    </row>
    <row r="1805" spans="1:4" x14ac:dyDescent="0.2">
      <c r="A1805" s="1">
        <v>42612</v>
      </c>
      <c r="B1805">
        <f>19.3723</f>
        <v>19.372299999999999</v>
      </c>
      <c r="C1805">
        <f>13.12</f>
        <v>13.12</v>
      </c>
      <c r="D1805">
        <f>227.32</f>
        <v>227.32</v>
      </c>
    </row>
    <row r="1806" spans="1:4" x14ac:dyDescent="0.2">
      <c r="A1806" s="1">
        <v>42611</v>
      </c>
      <c r="B1806">
        <f>20.1851</f>
        <v>20.185099999999998</v>
      </c>
      <c r="C1806">
        <f>12.94</f>
        <v>12.94</v>
      </c>
      <c r="D1806">
        <f>169.14</f>
        <v>169.14</v>
      </c>
    </row>
    <row r="1807" spans="1:4" x14ac:dyDescent="0.2">
      <c r="A1807" s="1">
        <v>42608</v>
      </c>
      <c r="B1807">
        <f>19.4893</f>
        <v>19.4893</v>
      </c>
      <c r="C1807">
        <f>13.65</f>
        <v>13.65</v>
      </c>
      <c r="D1807">
        <f>224.09</f>
        <v>224.09</v>
      </c>
    </row>
    <row r="1808" spans="1:4" x14ac:dyDescent="0.2">
      <c r="A1808" s="1">
        <v>42607</v>
      </c>
      <c r="B1808">
        <f>20.4096</f>
        <v>20.409600000000001</v>
      </c>
      <c r="C1808">
        <f>13.63</f>
        <v>13.63</v>
      </c>
      <c r="D1808">
        <f>259.76</f>
        <v>259.76</v>
      </c>
    </row>
    <row r="1809" spans="1:4" x14ac:dyDescent="0.2">
      <c r="A1809" s="1">
        <v>42606</v>
      </c>
      <c r="B1809">
        <f>19.8311</f>
        <v>19.831099999999999</v>
      </c>
      <c r="C1809">
        <f>13.45</f>
        <v>13.45</v>
      </c>
      <c r="D1809">
        <f>372.05</f>
        <v>372.05</v>
      </c>
    </row>
    <row r="1810" spans="1:4" x14ac:dyDescent="0.2">
      <c r="A1810" s="1">
        <v>42605</v>
      </c>
      <c r="B1810">
        <f>20.2231</f>
        <v>20.223099999999999</v>
      </c>
      <c r="C1810">
        <f>12.38</f>
        <v>12.38</v>
      </c>
      <c r="D1810">
        <f>211.22</f>
        <v>211.22</v>
      </c>
    </row>
    <row r="1811" spans="1:4" x14ac:dyDescent="0.2">
      <c r="A1811" s="1">
        <v>42604</v>
      </c>
      <c r="B1811">
        <f>21.6649</f>
        <v>21.664899999999999</v>
      </c>
      <c r="C1811">
        <f>12.27</f>
        <v>12.27</v>
      </c>
      <c r="D1811">
        <f>157.46</f>
        <v>157.46</v>
      </c>
    </row>
    <row r="1812" spans="1:4" x14ac:dyDescent="0.2">
      <c r="A1812" s="1">
        <v>42601</v>
      </c>
      <c r="B1812">
        <f>21.1313</f>
        <v>21.1313</v>
      </c>
      <c r="C1812">
        <f>11.34</f>
        <v>11.34</v>
      </c>
      <c r="D1812">
        <f>210.79</f>
        <v>210.79</v>
      </c>
    </row>
    <row r="1813" spans="1:4" x14ac:dyDescent="0.2">
      <c r="A1813" s="1">
        <v>42600</v>
      </c>
      <c r="B1813">
        <f>20.3198</f>
        <v>20.319800000000001</v>
      </c>
      <c r="C1813">
        <f>11.43</f>
        <v>11.43</v>
      </c>
      <c r="D1813">
        <f>190.98</f>
        <v>190.98</v>
      </c>
    </row>
    <row r="1814" spans="1:4" x14ac:dyDescent="0.2">
      <c r="A1814" s="1">
        <v>42599</v>
      </c>
      <c r="B1814">
        <f>21.1903</f>
        <v>21.190300000000001</v>
      </c>
      <c r="C1814">
        <f>12.19</f>
        <v>12.19</v>
      </c>
      <c r="D1814">
        <f>249.33</f>
        <v>249.33</v>
      </c>
    </row>
    <row r="1815" spans="1:4" x14ac:dyDescent="0.2">
      <c r="A1815" s="1">
        <v>42598</v>
      </c>
      <c r="B1815">
        <f>20.0679</f>
        <v>20.067900000000002</v>
      </c>
      <c r="C1815">
        <f>12.64</f>
        <v>12.64</v>
      </c>
      <c r="D1815">
        <f>272.1</f>
        <v>272.10000000000002</v>
      </c>
    </row>
    <row r="1816" spans="1:4" x14ac:dyDescent="0.2">
      <c r="A1816" s="1">
        <v>42597</v>
      </c>
      <c r="B1816">
        <f>18.8343</f>
        <v>18.834299999999999</v>
      </c>
      <c r="C1816">
        <f>11.81</f>
        <v>11.81</v>
      </c>
      <c r="D1816">
        <f>201.61</f>
        <v>201.61</v>
      </c>
    </row>
    <row r="1817" spans="1:4" x14ac:dyDescent="0.2">
      <c r="A1817" s="1">
        <v>42594</v>
      </c>
      <c r="B1817">
        <f>17.8981</f>
        <v>17.898099999999999</v>
      </c>
      <c r="C1817">
        <f>11.55</f>
        <v>11.55</v>
      </c>
      <c r="D1817">
        <f>228.7</f>
        <v>228.7</v>
      </c>
    </row>
    <row r="1818" spans="1:4" x14ac:dyDescent="0.2">
      <c r="A1818" s="1">
        <v>42593</v>
      </c>
      <c r="B1818">
        <f>18.3588</f>
        <v>18.358799999999999</v>
      </c>
      <c r="C1818">
        <f>11.68</f>
        <v>11.68</v>
      </c>
      <c r="D1818">
        <f>224.47</f>
        <v>224.47</v>
      </c>
    </row>
    <row r="1819" spans="1:4" x14ac:dyDescent="0.2">
      <c r="A1819" s="1">
        <v>42592</v>
      </c>
      <c r="B1819">
        <f>19.1902</f>
        <v>19.190200000000001</v>
      </c>
      <c r="C1819">
        <f>12.05</f>
        <v>12.05</v>
      </c>
      <c r="D1819">
        <f>334.24</f>
        <v>334.24</v>
      </c>
    </row>
    <row r="1820" spans="1:4" x14ac:dyDescent="0.2">
      <c r="A1820" s="1">
        <v>42591</v>
      </c>
      <c r="B1820">
        <f>18.2898</f>
        <v>18.2898</v>
      </c>
      <c r="C1820">
        <f>11.66</f>
        <v>11.66</v>
      </c>
      <c r="D1820" t="e">
        <f>NA()</f>
        <v>#N/A</v>
      </c>
    </row>
    <row r="1821" spans="1:4" x14ac:dyDescent="0.2">
      <c r="A1821" s="1">
        <v>42590</v>
      </c>
      <c r="B1821">
        <f>18.9378</f>
        <v>18.937799999999999</v>
      </c>
      <c r="C1821">
        <f>11.5</f>
        <v>11.5</v>
      </c>
      <c r="D1821">
        <f>150.75</f>
        <v>150.75</v>
      </c>
    </row>
    <row r="1822" spans="1:4" x14ac:dyDescent="0.2">
      <c r="A1822" s="1">
        <v>42587</v>
      </c>
      <c r="B1822">
        <f>19.3019</f>
        <v>19.3019</v>
      </c>
      <c r="C1822">
        <f>11.39</f>
        <v>11.39</v>
      </c>
      <c r="D1822">
        <f>221.14</f>
        <v>221.14</v>
      </c>
    </row>
    <row r="1823" spans="1:4" x14ac:dyDescent="0.2">
      <c r="A1823" s="1">
        <v>42586</v>
      </c>
      <c r="B1823">
        <f>21.4128</f>
        <v>21.412800000000001</v>
      </c>
      <c r="C1823">
        <f>12.42</f>
        <v>12.42</v>
      </c>
      <c r="D1823">
        <f>253.36</f>
        <v>253.36</v>
      </c>
    </row>
    <row r="1824" spans="1:4" x14ac:dyDescent="0.2">
      <c r="A1824" s="1">
        <v>42585</v>
      </c>
      <c r="B1824">
        <f>22.9514</f>
        <v>22.9514</v>
      </c>
      <c r="C1824">
        <f>12.86</f>
        <v>12.86</v>
      </c>
      <c r="D1824" t="e">
        <f>NA()</f>
        <v>#N/A</v>
      </c>
    </row>
    <row r="1825" spans="1:4" x14ac:dyDescent="0.2">
      <c r="A1825" s="1">
        <v>42584</v>
      </c>
      <c r="B1825">
        <f>23.1234</f>
        <v>23.1234</v>
      </c>
      <c r="C1825">
        <f>13.37</f>
        <v>13.37</v>
      </c>
      <c r="D1825">
        <f>253.07</f>
        <v>253.07</v>
      </c>
    </row>
    <row r="1826" spans="1:4" x14ac:dyDescent="0.2">
      <c r="A1826" s="1">
        <v>42583</v>
      </c>
      <c r="B1826">
        <f>20.3298</f>
        <v>20.329799999999999</v>
      </c>
      <c r="C1826">
        <f>12.44</f>
        <v>12.44</v>
      </c>
      <c r="D1826">
        <f>279.39</f>
        <v>279.39</v>
      </c>
    </row>
    <row r="1827" spans="1:4" x14ac:dyDescent="0.2">
      <c r="A1827" s="1">
        <v>42580</v>
      </c>
      <c r="B1827">
        <f>20.2451</f>
        <v>20.245100000000001</v>
      </c>
      <c r="C1827">
        <f>11.87</f>
        <v>11.87</v>
      </c>
      <c r="D1827">
        <f>225.13</f>
        <v>225.13</v>
      </c>
    </row>
    <row r="1828" spans="1:4" x14ac:dyDescent="0.2">
      <c r="A1828" s="1">
        <v>42579</v>
      </c>
      <c r="B1828">
        <f>20.9929</f>
        <v>20.992899999999999</v>
      </c>
      <c r="C1828">
        <f>12.72</f>
        <v>12.72</v>
      </c>
      <c r="D1828">
        <f>280</f>
        <v>280</v>
      </c>
    </row>
    <row r="1829" spans="1:4" x14ac:dyDescent="0.2">
      <c r="A1829" s="1">
        <v>42578</v>
      </c>
      <c r="B1829">
        <f>20.5334</f>
        <v>20.5334</v>
      </c>
      <c r="C1829">
        <f>12.83</f>
        <v>12.83</v>
      </c>
      <c r="D1829">
        <f>248.98</f>
        <v>248.98</v>
      </c>
    </row>
    <row r="1830" spans="1:4" x14ac:dyDescent="0.2">
      <c r="A1830" s="1">
        <v>42577</v>
      </c>
      <c r="B1830">
        <f>20.1355</f>
        <v>20.1355</v>
      </c>
      <c r="C1830">
        <f>13.05</f>
        <v>13.05</v>
      </c>
      <c r="D1830">
        <f>246.67</f>
        <v>246.67</v>
      </c>
    </row>
    <row r="1831" spans="1:4" x14ac:dyDescent="0.2">
      <c r="A1831" s="1">
        <v>42576</v>
      </c>
      <c r="B1831">
        <f>19.918</f>
        <v>19.917999999999999</v>
      </c>
      <c r="C1831">
        <f>12.87</f>
        <v>12.87</v>
      </c>
      <c r="D1831">
        <f>209.33</f>
        <v>209.33</v>
      </c>
    </row>
    <row r="1832" spans="1:4" x14ac:dyDescent="0.2">
      <c r="A1832" s="1">
        <v>42573</v>
      </c>
      <c r="B1832">
        <f>19.1159</f>
        <v>19.1159</v>
      </c>
      <c r="C1832">
        <f>12.02</f>
        <v>12.02</v>
      </c>
      <c r="D1832">
        <f>198.46</f>
        <v>198.46</v>
      </c>
    </row>
    <row r="1833" spans="1:4" x14ac:dyDescent="0.2">
      <c r="A1833" s="1">
        <v>42572</v>
      </c>
      <c r="B1833">
        <f>19.4501</f>
        <v>19.450099999999999</v>
      </c>
      <c r="C1833">
        <f>12.74</f>
        <v>12.74</v>
      </c>
      <c r="D1833">
        <f>201.98</f>
        <v>201.98</v>
      </c>
    </row>
    <row r="1834" spans="1:4" x14ac:dyDescent="0.2">
      <c r="A1834" s="1">
        <v>42571</v>
      </c>
      <c r="B1834">
        <f>20.345</f>
        <v>20.344999999999999</v>
      </c>
      <c r="C1834">
        <f>11.77</f>
        <v>11.77</v>
      </c>
      <c r="D1834">
        <f>239.44</f>
        <v>239.44</v>
      </c>
    </row>
    <row r="1835" spans="1:4" x14ac:dyDescent="0.2">
      <c r="A1835" s="1">
        <v>42570</v>
      </c>
      <c r="B1835">
        <f>21.0119</f>
        <v>21.011900000000001</v>
      </c>
      <c r="C1835">
        <f>11.97</f>
        <v>11.97</v>
      </c>
      <c r="D1835">
        <f>225.24</f>
        <v>225.24</v>
      </c>
    </row>
    <row r="1836" spans="1:4" x14ac:dyDescent="0.2">
      <c r="A1836" s="1">
        <v>42569</v>
      </c>
      <c r="B1836">
        <f>20.8355</f>
        <v>20.8355</v>
      </c>
      <c r="C1836">
        <f>12.44</f>
        <v>12.44</v>
      </c>
      <c r="D1836">
        <f>151.08</f>
        <v>151.08000000000001</v>
      </c>
    </row>
    <row r="1837" spans="1:4" x14ac:dyDescent="0.2">
      <c r="A1837" s="1">
        <v>42566</v>
      </c>
      <c r="B1837">
        <f>20.92</f>
        <v>20.92</v>
      </c>
      <c r="C1837">
        <f>12.67</f>
        <v>12.67</v>
      </c>
      <c r="D1837">
        <f>197.05</f>
        <v>197.05</v>
      </c>
    </row>
    <row r="1838" spans="1:4" x14ac:dyDescent="0.2">
      <c r="A1838" s="1">
        <v>42565</v>
      </c>
      <c r="B1838">
        <f>21.8141</f>
        <v>21.8141</v>
      </c>
      <c r="C1838">
        <f>12.82</f>
        <v>12.82</v>
      </c>
      <c r="D1838">
        <f>245.73</f>
        <v>245.73</v>
      </c>
    </row>
    <row r="1839" spans="1:4" x14ac:dyDescent="0.2">
      <c r="A1839" s="1">
        <v>42564</v>
      </c>
      <c r="B1839">
        <f>23.0918</f>
        <v>23.091799999999999</v>
      </c>
      <c r="C1839">
        <f>13.04</f>
        <v>13.04</v>
      </c>
      <c r="D1839">
        <f>218.49</f>
        <v>218.49</v>
      </c>
    </row>
    <row r="1840" spans="1:4" x14ac:dyDescent="0.2">
      <c r="A1840" s="1">
        <v>42563</v>
      </c>
      <c r="B1840">
        <f>22.3198</f>
        <v>22.319800000000001</v>
      </c>
      <c r="C1840">
        <f>13.55</f>
        <v>13.55</v>
      </c>
      <c r="D1840">
        <f>272.02</f>
        <v>272.02</v>
      </c>
    </row>
    <row r="1841" spans="1:4" x14ac:dyDescent="0.2">
      <c r="A1841" s="1">
        <v>42562</v>
      </c>
      <c r="B1841">
        <f>23.5704</f>
        <v>23.570399999999999</v>
      </c>
      <c r="C1841">
        <f>13.54</f>
        <v>13.54</v>
      </c>
      <c r="D1841">
        <f>186.45</f>
        <v>186.45</v>
      </c>
    </row>
    <row r="1842" spans="1:4" x14ac:dyDescent="0.2">
      <c r="A1842" s="1">
        <v>42559</v>
      </c>
      <c r="B1842">
        <f>24.6151</f>
        <v>24.615100000000002</v>
      </c>
      <c r="C1842">
        <f>13.2</f>
        <v>13.2</v>
      </c>
      <c r="D1842">
        <f>165.89</f>
        <v>165.89</v>
      </c>
    </row>
    <row r="1843" spans="1:4" x14ac:dyDescent="0.2">
      <c r="A1843" s="1">
        <v>42558</v>
      </c>
      <c r="B1843">
        <f>26.545</f>
        <v>26.545000000000002</v>
      </c>
      <c r="C1843">
        <f>14.76</f>
        <v>14.76</v>
      </c>
      <c r="D1843">
        <f>211.24</f>
        <v>211.24</v>
      </c>
    </row>
    <row r="1844" spans="1:4" x14ac:dyDescent="0.2">
      <c r="A1844" s="1">
        <v>42557</v>
      </c>
      <c r="B1844">
        <f>28.2579</f>
        <v>28.257899999999999</v>
      </c>
      <c r="C1844">
        <f>14.96</f>
        <v>14.96</v>
      </c>
      <c r="D1844">
        <f>295.42</f>
        <v>295.42</v>
      </c>
    </row>
    <row r="1845" spans="1:4" x14ac:dyDescent="0.2">
      <c r="A1845" s="1">
        <v>42556</v>
      </c>
      <c r="B1845">
        <f>26.7055</f>
        <v>26.705500000000001</v>
      </c>
      <c r="C1845">
        <f>15.58</f>
        <v>15.58</v>
      </c>
      <c r="D1845">
        <f>244.39</f>
        <v>244.39</v>
      </c>
    </row>
    <row r="1846" spans="1:4" x14ac:dyDescent="0.2">
      <c r="A1846" s="1">
        <v>42555</v>
      </c>
      <c r="B1846">
        <f>24.9798</f>
        <v>24.979800000000001</v>
      </c>
      <c r="C1846" t="e">
        <f>NA()</f>
        <v>#N/A</v>
      </c>
      <c r="D1846">
        <f>181.45</f>
        <v>181.45</v>
      </c>
    </row>
    <row r="1847" spans="1:4" x14ac:dyDescent="0.2">
      <c r="A1847" s="1">
        <v>42552</v>
      </c>
      <c r="B1847">
        <f>25.0196</f>
        <v>25.019600000000001</v>
      </c>
      <c r="C1847">
        <f>14.77</f>
        <v>14.77</v>
      </c>
      <c r="D1847">
        <f>238.47</f>
        <v>238.47</v>
      </c>
    </row>
    <row r="1848" spans="1:4" x14ac:dyDescent="0.2">
      <c r="A1848" s="1">
        <v>42551</v>
      </c>
      <c r="B1848">
        <f>26.0765</f>
        <v>26.076499999999999</v>
      </c>
      <c r="C1848">
        <f>15.63</f>
        <v>15.63</v>
      </c>
      <c r="D1848">
        <f>270.37</f>
        <v>270.37</v>
      </c>
    </row>
    <row r="1849" spans="1:4" x14ac:dyDescent="0.2">
      <c r="A1849" s="1">
        <v>42550</v>
      </c>
      <c r="B1849">
        <f>28.553</f>
        <v>28.553000000000001</v>
      </c>
      <c r="C1849">
        <f>16.64</f>
        <v>16.64</v>
      </c>
      <c r="D1849">
        <f>257.56</f>
        <v>257.56</v>
      </c>
    </row>
    <row r="1850" spans="1:4" x14ac:dyDescent="0.2">
      <c r="A1850" s="1">
        <v>42549</v>
      </c>
      <c r="B1850">
        <f>31.0147</f>
        <v>31.014700000000001</v>
      </c>
      <c r="C1850">
        <f>18.75</f>
        <v>18.75</v>
      </c>
      <c r="D1850">
        <f>296.83</f>
        <v>296.83</v>
      </c>
    </row>
    <row r="1851" spans="1:4" x14ac:dyDescent="0.2">
      <c r="A1851" s="1">
        <v>42548</v>
      </c>
      <c r="B1851">
        <f>34.9988</f>
        <v>34.998800000000003</v>
      </c>
      <c r="C1851">
        <f>23.85</f>
        <v>23.85</v>
      </c>
      <c r="D1851">
        <f>327.4</f>
        <v>327.39999999999998</v>
      </c>
    </row>
    <row r="1852" spans="1:4" x14ac:dyDescent="0.2">
      <c r="A1852" s="1">
        <v>42545</v>
      </c>
      <c r="B1852">
        <f>35.4279</f>
        <v>35.427900000000001</v>
      </c>
      <c r="C1852">
        <f>25.76</f>
        <v>25.76</v>
      </c>
      <c r="D1852">
        <f>360.61</f>
        <v>360.61</v>
      </c>
    </row>
    <row r="1853" spans="1:4" x14ac:dyDescent="0.2">
      <c r="A1853" s="1">
        <v>42544</v>
      </c>
      <c r="B1853">
        <f>32.0555</f>
        <v>32.055500000000002</v>
      </c>
      <c r="C1853">
        <f>17.25</f>
        <v>17.25</v>
      </c>
      <c r="D1853">
        <f>216.12</f>
        <v>216.12</v>
      </c>
    </row>
    <row r="1854" spans="1:4" x14ac:dyDescent="0.2">
      <c r="A1854" s="1">
        <v>42543</v>
      </c>
      <c r="B1854">
        <f>36.0375</f>
        <v>36.037500000000001</v>
      </c>
      <c r="C1854">
        <f>21.17</f>
        <v>21.17</v>
      </c>
      <c r="D1854">
        <f>230.35</f>
        <v>230.35</v>
      </c>
    </row>
    <row r="1855" spans="1:4" x14ac:dyDescent="0.2">
      <c r="A1855" s="1">
        <v>42542</v>
      </c>
      <c r="B1855">
        <f>34.4684</f>
        <v>34.468400000000003</v>
      </c>
      <c r="C1855">
        <f>18.48</f>
        <v>18.48</v>
      </c>
      <c r="D1855">
        <f>218.18</f>
        <v>218.18</v>
      </c>
    </row>
    <row r="1856" spans="1:4" x14ac:dyDescent="0.2">
      <c r="A1856" s="1">
        <v>42541</v>
      </c>
      <c r="B1856">
        <f>34.2207</f>
        <v>34.220700000000001</v>
      </c>
      <c r="C1856">
        <f>18.37</f>
        <v>18.37</v>
      </c>
      <c r="D1856">
        <f>231.26</f>
        <v>231.26</v>
      </c>
    </row>
    <row r="1857" spans="1:4" x14ac:dyDescent="0.2">
      <c r="A1857" s="1">
        <v>42538</v>
      </c>
      <c r="B1857">
        <f>38.0273</f>
        <v>38.027299999999997</v>
      </c>
      <c r="C1857">
        <f>19.41</f>
        <v>19.41</v>
      </c>
      <c r="D1857">
        <f>298.2</f>
        <v>298.2</v>
      </c>
    </row>
    <row r="1858" spans="1:4" x14ac:dyDescent="0.2">
      <c r="A1858" s="1">
        <v>42537</v>
      </c>
      <c r="B1858">
        <f>39.8975</f>
        <v>39.897500000000001</v>
      </c>
      <c r="C1858">
        <f>19.37</f>
        <v>19.37</v>
      </c>
      <c r="D1858" t="e">
        <f>NA()</f>
        <v>#N/A</v>
      </c>
    </row>
    <row r="1859" spans="1:4" x14ac:dyDescent="0.2">
      <c r="A1859" s="1">
        <v>42536</v>
      </c>
      <c r="B1859">
        <f>37.6871</f>
        <v>37.687100000000001</v>
      </c>
      <c r="C1859">
        <f>20.14</f>
        <v>20.14</v>
      </c>
      <c r="D1859">
        <f>491.99</f>
        <v>491.99</v>
      </c>
    </row>
    <row r="1860" spans="1:4" x14ac:dyDescent="0.2">
      <c r="A1860" s="1">
        <v>42535</v>
      </c>
      <c r="B1860">
        <f>38.3353</f>
        <v>38.335299999999997</v>
      </c>
      <c r="C1860">
        <f>20.5</f>
        <v>20.5</v>
      </c>
      <c r="D1860">
        <f>278.25</f>
        <v>278.25</v>
      </c>
    </row>
    <row r="1861" spans="1:4" x14ac:dyDescent="0.2">
      <c r="A1861" s="1">
        <v>42534</v>
      </c>
      <c r="B1861">
        <f>34.3644</f>
        <v>34.364400000000003</v>
      </c>
      <c r="C1861">
        <f>20.97</f>
        <v>20.97</v>
      </c>
      <c r="D1861">
        <f>254.44</f>
        <v>254.44</v>
      </c>
    </row>
    <row r="1862" spans="1:4" x14ac:dyDescent="0.2">
      <c r="A1862" s="1">
        <v>42531</v>
      </c>
      <c r="B1862">
        <f>30.2251</f>
        <v>30.225100000000001</v>
      </c>
      <c r="C1862">
        <f>17.03</f>
        <v>17.03</v>
      </c>
      <c r="D1862">
        <f>276.61</f>
        <v>276.61</v>
      </c>
    </row>
    <row r="1863" spans="1:4" x14ac:dyDescent="0.2">
      <c r="A1863" s="1">
        <v>42530</v>
      </c>
      <c r="B1863">
        <f>25.8413</f>
        <v>25.8413</v>
      </c>
      <c r="C1863">
        <f>14.64</f>
        <v>14.64</v>
      </c>
      <c r="D1863">
        <f>220.57</f>
        <v>220.57</v>
      </c>
    </row>
    <row r="1864" spans="1:4" x14ac:dyDescent="0.2">
      <c r="A1864" s="1">
        <v>42529</v>
      </c>
      <c r="B1864">
        <f>24.3166</f>
        <v>24.316600000000001</v>
      </c>
      <c r="C1864">
        <f>14.08</f>
        <v>14.08</v>
      </c>
      <c r="D1864">
        <f>220.09</f>
        <v>220.09</v>
      </c>
    </row>
    <row r="1865" spans="1:4" x14ac:dyDescent="0.2">
      <c r="A1865" s="1">
        <v>42528</v>
      </c>
      <c r="B1865">
        <f>23.3496</f>
        <v>23.349599999999999</v>
      </c>
      <c r="C1865">
        <f>14.05</f>
        <v>14.05</v>
      </c>
      <c r="D1865">
        <f>226.07</f>
        <v>226.07</v>
      </c>
    </row>
    <row r="1866" spans="1:4" x14ac:dyDescent="0.2">
      <c r="A1866" s="1">
        <v>42527</v>
      </c>
      <c r="B1866">
        <f>24.0527</f>
        <v>24.052700000000002</v>
      </c>
      <c r="C1866">
        <f>13.65</f>
        <v>13.65</v>
      </c>
      <c r="D1866">
        <f>231.01</f>
        <v>231.01</v>
      </c>
    </row>
    <row r="1867" spans="1:4" x14ac:dyDescent="0.2">
      <c r="A1867" s="1">
        <v>42524</v>
      </c>
      <c r="B1867">
        <f>23.5541</f>
        <v>23.554099999999998</v>
      </c>
      <c r="C1867">
        <f>13.47</f>
        <v>13.47</v>
      </c>
      <c r="D1867">
        <f>255.04</f>
        <v>255.04</v>
      </c>
    </row>
    <row r="1868" spans="1:4" x14ac:dyDescent="0.2">
      <c r="A1868" s="1">
        <v>42523</v>
      </c>
      <c r="B1868">
        <f>23.1068</f>
        <v>23.1068</v>
      </c>
      <c r="C1868">
        <f>13.63</f>
        <v>13.63</v>
      </c>
      <c r="D1868">
        <f>213.95</f>
        <v>213.95</v>
      </c>
    </row>
    <row r="1869" spans="1:4" x14ac:dyDescent="0.2">
      <c r="A1869" s="1">
        <v>42522</v>
      </c>
      <c r="B1869">
        <f>23.9317</f>
        <v>23.931699999999999</v>
      </c>
      <c r="C1869">
        <f>14.2</f>
        <v>14.2</v>
      </c>
      <c r="D1869">
        <f>268.6</f>
        <v>268.60000000000002</v>
      </c>
    </row>
    <row r="1870" spans="1:4" x14ac:dyDescent="0.2">
      <c r="A1870" s="1">
        <v>42521</v>
      </c>
      <c r="B1870">
        <f>22.1149</f>
        <v>22.114899999999999</v>
      </c>
      <c r="C1870">
        <f>14.19</f>
        <v>14.19</v>
      </c>
      <c r="D1870">
        <f>541.5</f>
        <v>541.5</v>
      </c>
    </row>
    <row r="1871" spans="1:4" x14ac:dyDescent="0.2">
      <c r="A1871" s="1">
        <v>42520</v>
      </c>
      <c r="B1871">
        <f>20.9441</f>
        <v>20.944099999999999</v>
      </c>
      <c r="C1871" t="e">
        <f>NA()</f>
        <v>#N/A</v>
      </c>
      <c r="D1871">
        <f>111.73</f>
        <v>111.73</v>
      </c>
    </row>
    <row r="1872" spans="1:4" x14ac:dyDescent="0.2">
      <c r="A1872" s="1">
        <v>42517</v>
      </c>
      <c r="B1872">
        <f>20.4629</f>
        <v>20.462900000000001</v>
      </c>
      <c r="C1872">
        <f>13.12</f>
        <v>13.12</v>
      </c>
      <c r="D1872">
        <f>193.36</f>
        <v>193.36</v>
      </c>
    </row>
    <row r="1873" spans="1:4" x14ac:dyDescent="0.2">
      <c r="A1873" s="1">
        <v>42516</v>
      </c>
      <c r="B1873">
        <f>20.819</f>
        <v>20.818999999999999</v>
      </c>
      <c r="C1873">
        <f>13.43</f>
        <v>13.43</v>
      </c>
      <c r="D1873">
        <f>247.11</f>
        <v>247.11</v>
      </c>
    </row>
    <row r="1874" spans="1:4" x14ac:dyDescent="0.2">
      <c r="A1874" s="1">
        <v>42515</v>
      </c>
      <c r="B1874">
        <f>21.0604</f>
        <v>21.060400000000001</v>
      </c>
      <c r="C1874">
        <f>13.9</f>
        <v>13.9</v>
      </c>
      <c r="D1874">
        <f>254.99</f>
        <v>254.99</v>
      </c>
    </row>
    <row r="1875" spans="1:4" x14ac:dyDescent="0.2">
      <c r="A1875" s="1">
        <v>42514</v>
      </c>
      <c r="B1875">
        <f>21.7857</f>
        <v>21.785699999999999</v>
      </c>
      <c r="C1875">
        <f>14.42</f>
        <v>14.42</v>
      </c>
      <c r="D1875">
        <f>261.36</f>
        <v>261.36</v>
      </c>
    </row>
    <row r="1876" spans="1:4" x14ac:dyDescent="0.2">
      <c r="A1876" s="1">
        <v>42513</v>
      </c>
      <c r="B1876">
        <f>23.2929</f>
        <v>23.292899999999999</v>
      </c>
      <c r="C1876">
        <f>15.82</f>
        <v>15.82</v>
      </c>
      <c r="D1876">
        <f>172.52</f>
        <v>172.52</v>
      </c>
    </row>
    <row r="1877" spans="1:4" x14ac:dyDescent="0.2">
      <c r="A1877" s="1">
        <v>42510</v>
      </c>
      <c r="B1877">
        <f>22.6043</f>
        <v>22.604299999999999</v>
      </c>
      <c r="C1877">
        <f>15.2</f>
        <v>15.2</v>
      </c>
      <c r="D1877">
        <f>261.94</f>
        <v>261.94</v>
      </c>
    </row>
    <row r="1878" spans="1:4" x14ac:dyDescent="0.2">
      <c r="A1878" s="1">
        <v>42509</v>
      </c>
      <c r="B1878">
        <f>24.3817</f>
        <v>24.381699999999999</v>
      </c>
      <c r="C1878">
        <f>16.33</f>
        <v>16.329999999999998</v>
      </c>
      <c r="D1878">
        <f>190.07</f>
        <v>190.07</v>
      </c>
    </row>
    <row r="1879" spans="1:4" x14ac:dyDescent="0.2">
      <c r="A1879" s="1">
        <v>42508</v>
      </c>
      <c r="B1879">
        <f>23.2967</f>
        <v>23.296700000000001</v>
      </c>
      <c r="C1879">
        <f>15.95</f>
        <v>15.95</v>
      </c>
      <c r="D1879">
        <f>259.01</f>
        <v>259.01</v>
      </c>
    </row>
    <row r="1880" spans="1:4" x14ac:dyDescent="0.2">
      <c r="A1880" s="1">
        <v>42507</v>
      </c>
      <c r="B1880">
        <f>24.474</f>
        <v>24.474</v>
      </c>
      <c r="C1880">
        <f>15.57</f>
        <v>15.57</v>
      </c>
      <c r="D1880">
        <f>243.43</f>
        <v>243.43</v>
      </c>
    </row>
    <row r="1881" spans="1:4" x14ac:dyDescent="0.2">
      <c r="A1881" s="1">
        <v>42506</v>
      </c>
      <c r="B1881">
        <f>24.2125</f>
        <v>24.212499999999999</v>
      </c>
      <c r="C1881">
        <f>14.68</f>
        <v>14.68</v>
      </c>
      <c r="D1881">
        <f>200.32</f>
        <v>200.32</v>
      </c>
    </row>
    <row r="1882" spans="1:4" x14ac:dyDescent="0.2">
      <c r="A1882" s="1">
        <v>42503</v>
      </c>
      <c r="B1882">
        <f>23.5957</f>
        <v>23.595700000000001</v>
      </c>
      <c r="C1882">
        <f>15.04</f>
        <v>15.04</v>
      </c>
      <c r="D1882">
        <f>230.77</f>
        <v>230.77</v>
      </c>
    </row>
    <row r="1883" spans="1:4" x14ac:dyDescent="0.2">
      <c r="A1883" s="1">
        <v>42502</v>
      </c>
      <c r="B1883">
        <f>24.4471</f>
        <v>24.447099999999999</v>
      </c>
      <c r="C1883">
        <f>14.41</f>
        <v>14.41</v>
      </c>
      <c r="D1883">
        <f>199.78</f>
        <v>199.78</v>
      </c>
    </row>
    <row r="1884" spans="1:4" x14ac:dyDescent="0.2">
      <c r="A1884" s="1">
        <v>42501</v>
      </c>
      <c r="B1884">
        <f>23.8595</f>
        <v>23.859500000000001</v>
      </c>
      <c r="C1884">
        <f>14.69</f>
        <v>14.69</v>
      </c>
      <c r="D1884">
        <f>182.37</f>
        <v>182.37</v>
      </c>
    </row>
    <row r="1885" spans="1:4" x14ac:dyDescent="0.2">
      <c r="A1885" s="1">
        <v>42500</v>
      </c>
      <c r="B1885">
        <f>23.891</f>
        <v>23.890999999999998</v>
      </c>
      <c r="C1885">
        <f>13.63</f>
        <v>13.63</v>
      </c>
      <c r="D1885">
        <f>214.47</f>
        <v>214.47</v>
      </c>
    </row>
    <row r="1886" spans="1:4" x14ac:dyDescent="0.2">
      <c r="A1886" s="1">
        <v>42499</v>
      </c>
      <c r="B1886">
        <f>24.956</f>
        <v>24.956</v>
      </c>
      <c r="C1886">
        <f>14.57</f>
        <v>14.57</v>
      </c>
      <c r="D1886">
        <f>225.27</f>
        <v>225.27</v>
      </c>
    </row>
    <row r="1887" spans="1:4" x14ac:dyDescent="0.2">
      <c r="A1887" s="1">
        <v>42496</v>
      </c>
      <c r="B1887">
        <f>25.1235</f>
        <v>25.1235</v>
      </c>
      <c r="C1887">
        <f>14.72</f>
        <v>14.72</v>
      </c>
      <c r="D1887">
        <f>221.82</f>
        <v>221.82</v>
      </c>
    </row>
    <row r="1888" spans="1:4" x14ac:dyDescent="0.2">
      <c r="A1888" s="1">
        <v>42495</v>
      </c>
      <c r="B1888">
        <f>25.9343</f>
        <v>25.9343</v>
      </c>
      <c r="C1888">
        <f>15.91</f>
        <v>15.91</v>
      </c>
      <c r="D1888">
        <f>396.29</f>
        <v>396.29</v>
      </c>
    </row>
    <row r="1889" spans="1:4" x14ac:dyDescent="0.2">
      <c r="A1889" s="1">
        <v>42494</v>
      </c>
      <c r="B1889">
        <f>27.0373</f>
        <v>27.037299999999998</v>
      </c>
      <c r="C1889">
        <f>16.05</f>
        <v>16.05</v>
      </c>
      <c r="D1889">
        <f>275.17</f>
        <v>275.17</v>
      </c>
    </row>
    <row r="1890" spans="1:4" x14ac:dyDescent="0.2">
      <c r="A1890" s="1">
        <v>42493</v>
      </c>
      <c r="B1890">
        <f>26.4095</f>
        <v>26.409500000000001</v>
      </c>
      <c r="C1890">
        <f>15.6</f>
        <v>15.6</v>
      </c>
      <c r="D1890">
        <f>266.81</f>
        <v>266.81</v>
      </c>
    </row>
    <row r="1891" spans="1:4" x14ac:dyDescent="0.2">
      <c r="A1891" s="1">
        <v>42492</v>
      </c>
      <c r="B1891">
        <f>25.1167</f>
        <v>25.116700000000002</v>
      </c>
      <c r="C1891">
        <f>14.68</f>
        <v>14.68</v>
      </c>
      <c r="D1891" t="e">
        <f>NA()</f>
        <v>#N/A</v>
      </c>
    </row>
    <row r="1892" spans="1:4" x14ac:dyDescent="0.2">
      <c r="A1892" s="1">
        <v>42489</v>
      </c>
      <c r="B1892">
        <f>24.033</f>
        <v>24.033000000000001</v>
      </c>
      <c r="C1892">
        <f>15.7</f>
        <v>15.7</v>
      </c>
      <c r="D1892">
        <f>241.32</f>
        <v>241.32</v>
      </c>
    </row>
    <row r="1893" spans="1:4" x14ac:dyDescent="0.2">
      <c r="A1893" s="1">
        <v>42488</v>
      </c>
      <c r="B1893">
        <f>20.8538</f>
        <v>20.8538</v>
      </c>
      <c r="C1893">
        <f>15.22</f>
        <v>15.22</v>
      </c>
      <c r="D1893">
        <f>241.18</f>
        <v>241.18</v>
      </c>
    </row>
    <row r="1894" spans="1:4" x14ac:dyDescent="0.2">
      <c r="A1894" s="1">
        <v>42487</v>
      </c>
      <c r="B1894">
        <f>21.2843</f>
        <v>21.284300000000002</v>
      </c>
      <c r="C1894">
        <f>13.77</f>
        <v>13.77</v>
      </c>
      <c r="D1894" t="e">
        <f>NA()</f>
        <v>#N/A</v>
      </c>
    </row>
    <row r="1895" spans="1:4" x14ac:dyDescent="0.2">
      <c r="A1895" s="1">
        <v>42486</v>
      </c>
      <c r="B1895">
        <f>21.2816</f>
        <v>21.281600000000001</v>
      </c>
      <c r="C1895">
        <f>13.96</f>
        <v>13.96</v>
      </c>
      <c r="D1895">
        <f>192.86</f>
        <v>192.86</v>
      </c>
    </row>
    <row r="1896" spans="1:4" x14ac:dyDescent="0.2">
      <c r="A1896" s="1">
        <v>42485</v>
      </c>
      <c r="B1896">
        <f>21.8388</f>
        <v>21.838799999999999</v>
      </c>
      <c r="C1896">
        <f>14.08</f>
        <v>14.08</v>
      </c>
      <c r="D1896">
        <f>153.51</f>
        <v>153.51</v>
      </c>
    </row>
    <row r="1897" spans="1:4" x14ac:dyDescent="0.2">
      <c r="A1897" s="1">
        <v>42482</v>
      </c>
      <c r="B1897">
        <f>20.6022</f>
        <v>20.6022</v>
      </c>
      <c r="C1897">
        <f>13.22</f>
        <v>13.22</v>
      </c>
      <c r="D1897">
        <f>202.04</f>
        <v>202.04</v>
      </c>
    </row>
    <row r="1898" spans="1:4" x14ac:dyDescent="0.2">
      <c r="A1898" s="1">
        <v>42481</v>
      </c>
      <c r="B1898">
        <f>20.3114</f>
        <v>20.311399999999999</v>
      </c>
      <c r="C1898">
        <f>13.95</f>
        <v>13.95</v>
      </c>
      <c r="D1898">
        <f>249.56</f>
        <v>249.56</v>
      </c>
    </row>
    <row r="1899" spans="1:4" x14ac:dyDescent="0.2">
      <c r="A1899" s="1">
        <v>42480</v>
      </c>
      <c r="B1899">
        <f>19.8831</f>
        <v>19.883099999999999</v>
      </c>
      <c r="C1899">
        <f>13.28</f>
        <v>13.28</v>
      </c>
      <c r="D1899">
        <f>260.71</f>
        <v>260.70999999999998</v>
      </c>
    </row>
    <row r="1900" spans="1:4" x14ac:dyDescent="0.2">
      <c r="A1900" s="1">
        <v>42479</v>
      </c>
      <c r="B1900">
        <f>20.3617</f>
        <v>20.361699999999999</v>
      </c>
      <c r="C1900">
        <f>13.24</f>
        <v>13.24</v>
      </c>
      <c r="D1900">
        <f>212.07</f>
        <v>212.07</v>
      </c>
    </row>
    <row r="1901" spans="1:4" x14ac:dyDescent="0.2">
      <c r="A1901" s="1">
        <v>42478</v>
      </c>
      <c r="B1901">
        <f>21.2846</f>
        <v>21.284600000000001</v>
      </c>
      <c r="C1901">
        <f>13.35</f>
        <v>13.35</v>
      </c>
      <c r="D1901">
        <f>187.84</f>
        <v>187.84</v>
      </c>
    </row>
    <row r="1902" spans="1:4" x14ac:dyDescent="0.2">
      <c r="A1902" s="1">
        <v>42475</v>
      </c>
      <c r="B1902">
        <f>20.5487</f>
        <v>20.5487</v>
      </c>
      <c r="C1902">
        <f>13.62</f>
        <v>13.62</v>
      </c>
      <c r="D1902">
        <f>168.7</f>
        <v>168.7</v>
      </c>
    </row>
    <row r="1903" spans="1:4" x14ac:dyDescent="0.2">
      <c r="A1903" s="1">
        <v>42474</v>
      </c>
      <c r="B1903">
        <f>20.6302</f>
        <v>20.630199999999999</v>
      </c>
      <c r="C1903">
        <f>13.72</f>
        <v>13.72</v>
      </c>
      <c r="D1903">
        <f>238.63</f>
        <v>238.63</v>
      </c>
    </row>
    <row r="1904" spans="1:4" x14ac:dyDescent="0.2">
      <c r="A1904" s="1">
        <v>42473</v>
      </c>
      <c r="B1904">
        <f>22.3118</f>
        <v>22.311800000000002</v>
      </c>
      <c r="C1904">
        <f>13.84</f>
        <v>13.84</v>
      </c>
      <c r="D1904">
        <f>306</f>
        <v>306</v>
      </c>
    </row>
    <row r="1905" spans="1:4" x14ac:dyDescent="0.2">
      <c r="A1905" s="1">
        <v>42472</v>
      </c>
      <c r="B1905">
        <f>24.0775</f>
        <v>24.077500000000001</v>
      </c>
      <c r="C1905">
        <f>14.85</f>
        <v>14.85</v>
      </c>
      <c r="D1905">
        <f>288.15</f>
        <v>288.14999999999998</v>
      </c>
    </row>
    <row r="1906" spans="1:4" x14ac:dyDescent="0.2">
      <c r="A1906" s="1">
        <v>42471</v>
      </c>
      <c r="B1906">
        <f>24.8863</f>
        <v>24.886299999999999</v>
      </c>
      <c r="C1906">
        <f>16.26</f>
        <v>16.260000000000002</v>
      </c>
      <c r="D1906">
        <f>198.37</f>
        <v>198.37</v>
      </c>
    </row>
    <row r="1907" spans="1:4" x14ac:dyDescent="0.2">
      <c r="A1907" s="1">
        <v>42468</v>
      </c>
      <c r="B1907">
        <f>24.8054</f>
        <v>24.805399999999999</v>
      </c>
      <c r="C1907">
        <f>15.36</f>
        <v>15.36</v>
      </c>
      <c r="D1907">
        <f>223.81</f>
        <v>223.81</v>
      </c>
    </row>
    <row r="1908" spans="1:4" x14ac:dyDescent="0.2">
      <c r="A1908" s="1">
        <v>42467</v>
      </c>
      <c r="B1908">
        <f>26.1571</f>
        <v>26.1571</v>
      </c>
      <c r="C1908">
        <f>16.16</f>
        <v>16.16</v>
      </c>
      <c r="D1908">
        <f>268.71</f>
        <v>268.70999999999998</v>
      </c>
    </row>
    <row r="1909" spans="1:4" x14ac:dyDescent="0.2">
      <c r="A1909" s="1">
        <v>42466</v>
      </c>
      <c r="B1909">
        <f>25.1686</f>
        <v>25.168600000000001</v>
      </c>
      <c r="C1909">
        <f>14.09</f>
        <v>14.09</v>
      </c>
      <c r="D1909">
        <f>263.03</f>
        <v>263.02999999999997</v>
      </c>
    </row>
    <row r="1910" spans="1:4" x14ac:dyDescent="0.2">
      <c r="A1910" s="1">
        <v>42465</v>
      </c>
      <c r="B1910">
        <f>26.623</f>
        <v>26.623000000000001</v>
      </c>
      <c r="C1910">
        <f>15.42</f>
        <v>15.42</v>
      </c>
      <c r="D1910">
        <f>199.19</f>
        <v>199.19</v>
      </c>
    </row>
    <row r="1911" spans="1:4" x14ac:dyDescent="0.2">
      <c r="A1911" s="1">
        <v>42464</v>
      </c>
      <c r="B1911">
        <f>24.509</f>
        <v>24.509</v>
      </c>
      <c r="C1911">
        <f>14.12</f>
        <v>14.12</v>
      </c>
      <c r="D1911">
        <f>181.76</f>
        <v>181.76</v>
      </c>
    </row>
    <row r="1912" spans="1:4" x14ac:dyDescent="0.2">
      <c r="A1912" s="1">
        <v>42461</v>
      </c>
      <c r="B1912">
        <f>25.1088</f>
        <v>25.108799999999999</v>
      </c>
      <c r="C1912">
        <f>13.1</f>
        <v>13.1</v>
      </c>
      <c r="D1912">
        <f>228.84</f>
        <v>228.84</v>
      </c>
    </row>
    <row r="1913" spans="1:4" x14ac:dyDescent="0.2">
      <c r="A1913" s="1">
        <v>42460</v>
      </c>
      <c r="B1913">
        <f>23.4487</f>
        <v>23.448699999999999</v>
      </c>
      <c r="C1913">
        <f>13.95</f>
        <v>13.95</v>
      </c>
      <c r="D1913">
        <f>285.41</f>
        <v>285.41000000000003</v>
      </c>
    </row>
    <row r="1914" spans="1:4" x14ac:dyDescent="0.2">
      <c r="A1914" s="1">
        <v>42459</v>
      </c>
      <c r="B1914">
        <f>22.6443</f>
        <v>22.644300000000001</v>
      </c>
      <c r="C1914">
        <f>13.56</f>
        <v>13.56</v>
      </c>
      <c r="D1914">
        <f>259.84</f>
        <v>259.83999999999997</v>
      </c>
    </row>
    <row r="1915" spans="1:4" x14ac:dyDescent="0.2">
      <c r="A1915" s="1">
        <v>42458</v>
      </c>
      <c r="B1915">
        <f>24.9043</f>
        <v>24.904299999999999</v>
      </c>
      <c r="C1915">
        <f>13.82</f>
        <v>13.82</v>
      </c>
      <c r="D1915">
        <f>208.82</f>
        <v>208.82</v>
      </c>
    </row>
    <row r="1916" spans="1:4" x14ac:dyDescent="0.2">
      <c r="A1916" s="1">
        <v>42457</v>
      </c>
      <c r="B1916" t="e">
        <f>NA()</f>
        <v>#N/A</v>
      </c>
      <c r="C1916">
        <f>15.24</f>
        <v>15.24</v>
      </c>
      <c r="D1916" t="e">
        <f>NA()</f>
        <v>#N/A</v>
      </c>
    </row>
    <row r="1917" spans="1:4" x14ac:dyDescent="0.2">
      <c r="A1917" s="1">
        <v>42453</v>
      </c>
      <c r="B1917">
        <f>24.6287</f>
        <v>24.628699999999998</v>
      </c>
      <c r="C1917">
        <f>14.74</f>
        <v>14.74</v>
      </c>
      <c r="D1917">
        <f>213.98</f>
        <v>213.98</v>
      </c>
    </row>
    <row r="1918" spans="1:4" x14ac:dyDescent="0.2">
      <c r="A1918" s="1">
        <v>42452</v>
      </c>
      <c r="B1918">
        <f>22.0971</f>
        <v>22.097100000000001</v>
      </c>
      <c r="C1918">
        <f>14.94</f>
        <v>14.94</v>
      </c>
      <c r="D1918">
        <f>239.23</f>
        <v>239.23</v>
      </c>
    </row>
    <row r="1919" spans="1:4" x14ac:dyDescent="0.2">
      <c r="A1919" s="1">
        <v>42451</v>
      </c>
      <c r="B1919">
        <f>22.0365</f>
        <v>22.0365</v>
      </c>
      <c r="C1919">
        <f>14.17</f>
        <v>14.17</v>
      </c>
      <c r="D1919">
        <f>257.04</f>
        <v>257.04000000000002</v>
      </c>
    </row>
    <row r="1920" spans="1:4" x14ac:dyDescent="0.2">
      <c r="A1920" s="1">
        <v>42450</v>
      </c>
      <c r="B1920">
        <f>21.8265</f>
        <v>21.826499999999999</v>
      </c>
      <c r="C1920">
        <f>13.79</f>
        <v>13.79</v>
      </c>
      <c r="D1920" t="e">
        <f>NA()</f>
        <v>#N/A</v>
      </c>
    </row>
    <row r="1921" spans="1:4" x14ac:dyDescent="0.2">
      <c r="A1921" s="1">
        <v>42447</v>
      </c>
      <c r="B1921">
        <f>20.6567</f>
        <v>20.656700000000001</v>
      </c>
      <c r="C1921">
        <f>14.02</f>
        <v>14.02</v>
      </c>
      <c r="D1921">
        <f>405.32</f>
        <v>405.32</v>
      </c>
    </row>
    <row r="1922" spans="1:4" x14ac:dyDescent="0.2">
      <c r="A1922" s="1">
        <v>42446</v>
      </c>
      <c r="B1922">
        <f>22.7536</f>
        <v>22.753599999999999</v>
      </c>
      <c r="C1922">
        <f>14.44</f>
        <v>14.44</v>
      </c>
      <c r="D1922">
        <f>573.57</f>
        <v>573.57000000000005</v>
      </c>
    </row>
    <row r="1923" spans="1:4" x14ac:dyDescent="0.2">
      <c r="A1923" s="1">
        <v>42445</v>
      </c>
      <c r="B1923">
        <f>23.0994</f>
        <v>23.099399999999999</v>
      </c>
      <c r="C1923">
        <f>14.99</f>
        <v>14.99</v>
      </c>
      <c r="D1923">
        <f>212.54</f>
        <v>212.54</v>
      </c>
    </row>
    <row r="1924" spans="1:4" x14ac:dyDescent="0.2">
      <c r="A1924" s="1">
        <v>42444</v>
      </c>
      <c r="B1924">
        <f>23.2425</f>
        <v>23.2425</v>
      </c>
      <c r="C1924">
        <f>16.84</f>
        <v>16.84</v>
      </c>
      <c r="D1924">
        <f>237.89</f>
        <v>237.89</v>
      </c>
    </row>
    <row r="1925" spans="1:4" x14ac:dyDescent="0.2">
      <c r="A1925" s="1">
        <v>42443</v>
      </c>
      <c r="B1925">
        <f>22.9607</f>
        <v>22.960699999999999</v>
      </c>
      <c r="C1925">
        <f>16.92</f>
        <v>16.920000000000002</v>
      </c>
      <c r="D1925">
        <f>245.93</f>
        <v>245.93</v>
      </c>
    </row>
    <row r="1926" spans="1:4" x14ac:dyDescent="0.2">
      <c r="A1926" s="1">
        <v>42440</v>
      </c>
      <c r="B1926">
        <f>24.1107</f>
        <v>24.110700000000001</v>
      </c>
      <c r="C1926">
        <f>16.5</f>
        <v>16.5</v>
      </c>
      <c r="D1926">
        <f>266.32</f>
        <v>266.32</v>
      </c>
    </row>
    <row r="1927" spans="1:4" x14ac:dyDescent="0.2">
      <c r="A1927" s="1">
        <v>42439</v>
      </c>
      <c r="B1927">
        <f>28.1781</f>
        <v>28.178100000000001</v>
      </c>
      <c r="C1927">
        <f>18.05</f>
        <v>18.05</v>
      </c>
      <c r="D1927">
        <f>282.63</f>
        <v>282.63</v>
      </c>
    </row>
    <row r="1928" spans="1:4" x14ac:dyDescent="0.2">
      <c r="A1928" s="1">
        <v>42438</v>
      </c>
      <c r="B1928">
        <f>28.0607</f>
        <v>28.060700000000001</v>
      </c>
      <c r="C1928">
        <f>18.34</f>
        <v>18.34</v>
      </c>
      <c r="D1928">
        <f>272.12</f>
        <v>272.12</v>
      </c>
    </row>
    <row r="1929" spans="1:4" x14ac:dyDescent="0.2">
      <c r="A1929" s="1">
        <v>42437</v>
      </c>
      <c r="B1929">
        <f>27.8475</f>
        <v>27.8475</v>
      </c>
      <c r="C1929">
        <f>18.67</f>
        <v>18.670000000000002</v>
      </c>
      <c r="D1929">
        <f>297.01</f>
        <v>297.01</v>
      </c>
    </row>
    <row r="1930" spans="1:4" x14ac:dyDescent="0.2">
      <c r="A1930" s="1">
        <v>42436</v>
      </c>
      <c r="B1930">
        <f>26.2052</f>
        <v>26.205200000000001</v>
      </c>
      <c r="C1930">
        <f>17.35</f>
        <v>17.350000000000001</v>
      </c>
      <c r="D1930">
        <f>287.39</f>
        <v>287.39</v>
      </c>
    </row>
    <row r="1931" spans="1:4" x14ac:dyDescent="0.2">
      <c r="A1931" s="1">
        <v>42433</v>
      </c>
      <c r="B1931">
        <f>24.5116</f>
        <v>24.511600000000001</v>
      </c>
      <c r="C1931">
        <f>16.86</f>
        <v>16.86</v>
      </c>
      <c r="D1931">
        <f>260.95</f>
        <v>260.95</v>
      </c>
    </row>
    <row r="1932" spans="1:4" x14ac:dyDescent="0.2">
      <c r="A1932" s="1">
        <v>42432</v>
      </c>
      <c r="B1932">
        <f>26.5186</f>
        <v>26.518599999999999</v>
      </c>
      <c r="C1932">
        <f>16.7</f>
        <v>16.7</v>
      </c>
      <c r="D1932">
        <f>314.69</f>
        <v>314.69</v>
      </c>
    </row>
    <row r="1933" spans="1:4" x14ac:dyDescent="0.2">
      <c r="A1933" s="1">
        <v>42431</v>
      </c>
      <c r="B1933">
        <f>27.1243</f>
        <v>27.124300000000002</v>
      </c>
      <c r="C1933">
        <f>17.09</f>
        <v>17.09</v>
      </c>
      <c r="D1933">
        <f>387.21</f>
        <v>387.21</v>
      </c>
    </row>
    <row r="1934" spans="1:4" x14ac:dyDescent="0.2">
      <c r="A1934" s="1">
        <v>42430</v>
      </c>
      <c r="B1934">
        <f>28.5424</f>
        <v>28.542400000000001</v>
      </c>
      <c r="C1934">
        <f>17.7</f>
        <v>17.7</v>
      </c>
      <c r="D1934">
        <f>274.17</f>
        <v>274.17</v>
      </c>
    </row>
    <row r="1935" spans="1:4" x14ac:dyDescent="0.2">
      <c r="A1935" s="1">
        <v>42429</v>
      </c>
      <c r="B1935">
        <f>29.7298</f>
        <v>29.729800000000001</v>
      </c>
      <c r="C1935">
        <f>20.55</f>
        <v>20.55</v>
      </c>
      <c r="D1935">
        <f>386.07</f>
        <v>386.07</v>
      </c>
    </row>
    <row r="1936" spans="1:4" x14ac:dyDescent="0.2">
      <c r="A1936" s="1">
        <v>42426</v>
      </c>
      <c r="B1936">
        <f>29.2756</f>
        <v>29.275600000000001</v>
      </c>
      <c r="C1936">
        <f>19.81</f>
        <v>19.809999999999999</v>
      </c>
      <c r="D1936">
        <f>223.63</f>
        <v>223.63</v>
      </c>
    </row>
    <row r="1937" spans="1:4" x14ac:dyDescent="0.2">
      <c r="A1937" s="1">
        <v>42425</v>
      </c>
      <c r="B1937">
        <f>31.0305</f>
        <v>31.0305</v>
      </c>
      <c r="C1937">
        <f>19.11</f>
        <v>19.11</v>
      </c>
      <c r="D1937">
        <f>251.76</f>
        <v>251.76</v>
      </c>
    </row>
    <row r="1938" spans="1:4" x14ac:dyDescent="0.2">
      <c r="A1938" s="1">
        <v>42424</v>
      </c>
      <c r="B1938">
        <f>33.1178</f>
        <v>33.117800000000003</v>
      </c>
      <c r="C1938">
        <f>20.72</f>
        <v>20.72</v>
      </c>
      <c r="D1938">
        <f>354.83</f>
        <v>354.83</v>
      </c>
    </row>
    <row r="1939" spans="1:4" x14ac:dyDescent="0.2">
      <c r="A1939" s="1">
        <v>42423</v>
      </c>
      <c r="B1939">
        <f>30.5366</f>
        <v>30.5366</v>
      </c>
      <c r="C1939">
        <f>20.98</f>
        <v>20.98</v>
      </c>
      <c r="D1939">
        <f>276.01</f>
        <v>276.01</v>
      </c>
    </row>
    <row r="1940" spans="1:4" x14ac:dyDescent="0.2">
      <c r="A1940" s="1">
        <v>42422</v>
      </c>
      <c r="B1940">
        <f>29.9498</f>
        <v>29.9498</v>
      </c>
      <c r="C1940">
        <f>19.38</f>
        <v>19.38</v>
      </c>
      <c r="D1940">
        <f>218.3</f>
        <v>218.3</v>
      </c>
    </row>
    <row r="1941" spans="1:4" x14ac:dyDescent="0.2">
      <c r="A1941" s="1">
        <v>42419</v>
      </c>
      <c r="B1941">
        <f>31.2656</f>
        <v>31.265599999999999</v>
      </c>
      <c r="C1941">
        <f>20.53</f>
        <v>20.53</v>
      </c>
      <c r="D1941">
        <f>277.84</f>
        <v>277.83999999999997</v>
      </c>
    </row>
    <row r="1942" spans="1:4" x14ac:dyDescent="0.2">
      <c r="A1942" s="1">
        <v>42418</v>
      </c>
      <c r="B1942">
        <f>30.9172</f>
        <v>30.917200000000001</v>
      </c>
      <c r="C1942">
        <f>21.64</f>
        <v>21.64</v>
      </c>
      <c r="D1942">
        <f>337.73</f>
        <v>337.73</v>
      </c>
    </row>
    <row r="1943" spans="1:4" x14ac:dyDescent="0.2">
      <c r="A1943" s="1">
        <v>42417</v>
      </c>
      <c r="B1943">
        <f>30.4983</f>
        <v>30.4983</v>
      </c>
      <c r="C1943">
        <f>22.31</f>
        <v>22.31</v>
      </c>
      <c r="D1943">
        <f>287.34</f>
        <v>287.33999999999997</v>
      </c>
    </row>
    <row r="1944" spans="1:4" x14ac:dyDescent="0.2">
      <c r="A1944" s="1">
        <v>42416</v>
      </c>
      <c r="B1944">
        <f>33.5213</f>
        <v>33.521299999999997</v>
      </c>
      <c r="C1944">
        <f>24.11</f>
        <v>24.11</v>
      </c>
      <c r="D1944">
        <f>216.31</f>
        <v>216.31</v>
      </c>
    </row>
    <row r="1945" spans="1:4" x14ac:dyDescent="0.2">
      <c r="A1945" s="1">
        <v>42415</v>
      </c>
      <c r="B1945">
        <f>33.9154</f>
        <v>33.915399999999998</v>
      </c>
      <c r="C1945" t="e">
        <f>NA()</f>
        <v>#N/A</v>
      </c>
      <c r="D1945">
        <f>250.06</f>
        <v>250.06</v>
      </c>
    </row>
    <row r="1946" spans="1:4" x14ac:dyDescent="0.2">
      <c r="A1946" s="1">
        <v>42412</v>
      </c>
      <c r="B1946">
        <f>35.6846</f>
        <v>35.684600000000003</v>
      </c>
      <c r="C1946">
        <f>25.4</f>
        <v>25.4</v>
      </c>
      <c r="D1946">
        <f>244.47</f>
        <v>244.47</v>
      </c>
    </row>
    <row r="1947" spans="1:4" x14ac:dyDescent="0.2">
      <c r="A1947" s="1">
        <v>42411</v>
      </c>
      <c r="B1947">
        <f>38.3051</f>
        <v>38.305100000000003</v>
      </c>
      <c r="C1947">
        <f>28.14</f>
        <v>28.14</v>
      </c>
      <c r="D1947">
        <f>287.57</f>
        <v>287.57</v>
      </c>
    </row>
    <row r="1948" spans="1:4" x14ac:dyDescent="0.2">
      <c r="A1948" s="1">
        <v>42410</v>
      </c>
      <c r="B1948">
        <f>33.4528</f>
        <v>33.452800000000003</v>
      </c>
      <c r="C1948">
        <f>26.29</f>
        <v>26.29</v>
      </c>
      <c r="D1948">
        <f>257.21</f>
        <v>257.20999999999998</v>
      </c>
    </row>
    <row r="1949" spans="1:4" x14ac:dyDescent="0.2">
      <c r="A1949" s="1">
        <v>42409</v>
      </c>
      <c r="B1949">
        <f>33.9664</f>
        <v>33.9664</v>
      </c>
      <c r="C1949">
        <f>26.54</f>
        <v>26.54</v>
      </c>
      <c r="D1949">
        <f>283.46</f>
        <v>283.45999999999998</v>
      </c>
    </row>
    <row r="1950" spans="1:4" x14ac:dyDescent="0.2">
      <c r="A1950" s="1">
        <v>42408</v>
      </c>
      <c r="B1950">
        <f>33.3917</f>
        <v>33.3917</v>
      </c>
      <c r="C1950">
        <f>26</f>
        <v>26</v>
      </c>
      <c r="D1950">
        <f>227.53</f>
        <v>227.53</v>
      </c>
    </row>
    <row r="1951" spans="1:4" x14ac:dyDescent="0.2">
      <c r="A1951" s="1">
        <v>42405</v>
      </c>
      <c r="B1951">
        <f>30.0529</f>
        <v>30.052900000000001</v>
      </c>
      <c r="C1951">
        <f>23.38</f>
        <v>23.38</v>
      </c>
      <c r="D1951">
        <f>237.33</f>
        <v>237.33</v>
      </c>
    </row>
    <row r="1952" spans="1:4" x14ac:dyDescent="0.2">
      <c r="A1952" s="1">
        <v>42404</v>
      </c>
      <c r="B1952">
        <f>29.6423</f>
        <v>29.642299999999999</v>
      </c>
      <c r="C1952">
        <f>21.84</f>
        <v>21.84</v>
      </c>
      <c r="D1952">
        <f>338.21</f>
        <v>338.21</v>
      </c>
    </row>
    <row r="1953" spans="1:4" x14ac:dyDescent="0.2">
      <c r="A1953" s="1">
        <v>42403</v>
      </c>
      <c r="B1953">
        <f>30.7369</f>
        <v>30.736899999999999</v>
      </c>
      <c r="C1953">
        <f>21.65</f>
        <v>21.65</v>
      </c>
      <c r="D1953">
        <f>254.24</f>
        <v>254.24</v>
      </c>
    </row>
    <row r="1954" spans="1:4" x14ac:dyDescent="0.2">
      <c r="A1954" s="1">
        <v>42402</v>
      </c>
      <c r="B1954">
        <f>29.1542</f>
        <v>29.154199999999999</v>
      </c>
      <c r="C1954">
        <f>21.98</f>
        <v>21.98</v>
      </c>
      <c r="D1954">
        <f>253.8</f>
        <v>253.8</v>
      </c>
    </row>
    <row r="1955" spans="1:4" x14ac:dyDescent="0.2">
      <c r="A1955" s="1">
        <v>42401</v>
      </c>
      <c r="B1955">
        <f>27.3303</f>
        <v>27.330300000000001</v>
      </c>
      <c r="C1955">
        <f>19.98</f>
        <v>19.98</v>
      </c>
      <c r="D1955">
        <f>288.52</f>
        <v>288.52</v>
      </c>
    </row>
    <row r="1956" spans="1:4" x14ac:dyDescent="0.2">
      <c r="A1956" s="1">
        <v>42398</v>
      </c>
      <c r="B1956">
        <f>27.389</f>
        <v>27.388999999999999</v>
      </c>
      <c r="C1956">
        <f>20.2</f>
        <v>20.2</v>
      </c>
      <c r="D1956">
        <f>408.11</f>
        <v>408.11</v>
      </c>
    </row>
    <row r="1957" spans="1:4" x14ac:dyDescent="0.2">
      <c r="A1957" s="1">
        <v>42397</v>
      </c>
      <c r="B1957">
        <f>29.8315</f>
        <v>29.831499999999998</v>
      </c>
      <c r="C1957">
        <f>22.42</f>
        <v>22.42</v>
      </c>
      <c r="D1957">
        <f>303.23</f>
        <v>303.23</v>
      </c>
    </row>
    <row r="1958" spans="1:4" x14ac:dyDescent="0.2">
      <c r="A1958" s="1">
        <v>42396</v>
      </c>
      <c r="B1958">
        <f>27.7832</f>
        <v>27.783200000000001</v>
      </c>
      <c r="C1958">
        <f>23.11</f>
        <v>23.11</v>
      </c>
      <c r="D1958">
        <f>269.18</f>
        <v>269.18</v>
      </c>
    </row>
    <row r="1959" spans="1:4" x14ac:dyDescent="0.2">
      <c r="A1959" s="1">
        <v>42395</v>
      </c>
      <c r="B1959">
        <f>28.1187</f>
        <v>28.1187</v>
      </c>
      <c r="C1959">
        <f>22.5</f>
        <v>22.5</v>
      </c>
      <c r="D1959">
        <f>292.63</f>
        <v>292.63</v>
      </c>
    </row>
    <row r="1960" spans="1:4" x14ac:dyDescent="0.2">
      <c r="A1960" s="1">
        <v>42394</v>
      </c>
      <c r="B1960">
        <f>28.4443</f>
        <v>28.444299999999998</v>
      </c>
      <c r="C1960">
        <f>24.15</f>
        <v>24.15</v>
      </c>
      <c r="D1960">
        <f>251.25</f>
        <v>251.25</v>
      </c>
    </row>
    <row r="1961" spans="1:4" x14ac:dyDescent="0.2">
      <c r="A1961" s="1">
        <v>42391</v>
      </c>
      <c r="B1961">
        <f>28.3356</f>
        <v>28.335599999999999</v>
      </c>
      <c r="C1961">
        <f>22.34</f>
        <v>22.34</v>
      </c>
      <c r="D1961">
        <f>293.3</f>
        <v>293.3</v>
      </c>
    </row>
    <row r="1962" spans="1:4" x14ac:dyDescent="0.2">
      <c r="A1962" s="1">
        <v>42390</v>
      </c>
      <c r="B1962">
        <f>31.7894</f>
        <v>31.789400000000001</v>
      </c>
      <c r="C1962">
        <f>26.69</f>
        <v>26.69</v>
      </c>
      <c r="D1962">
        <f>217.65</f>
        <v>217.65</v>
      </c>
    </row>
    <row r="1963" spans="1:4" x14ac:dyDescent="0.2">
      <c r="A1963" s="1">
        <v>42389</v>
      </c>
      <c r="B1963">
        <f>35.1133</f>
        <v>35.113300000000002</v>
      </c>
      <c r="C1963">
        <f>27.59</f>
        <v>27.59</v>
      </c>
      <c r="D1963">
        <f>284.63</f>
        <v>284.63</v>
      </c>
    </row>
    <row r="1964" spans="1:4" x14ac:dyDescent="0.2">
      <c r="A1964" s="1">
        <v>42388</v>
      </c>
      <c r="B1964">
        <f>30.7571</f>
        <v>30.757100000000001</v>
      </c>
      <c r="C1964">
        <f>26.05</f>
        <v>26.05</v>
      </c>
      <c r="D1964">
        <f>248.8</f>
        <v>248.8</v>
      </c>
    </row>
    <row r="1965" spans="1:4" x14ac:dyDescent="0.2">
      <c r="A1965" s="1">
        <v>42387</v>
      </c>
      <c r="B1965">
        <f>34.325</f>
        <v>34.325000000000003</v>
      </c>
      <c r="C1965" t="e">
        <f>NA()</f>
        <v>#N/A</v>
      </c>
      <c r="D1965">
        <f>225.43</f>
        <v>225.43</v>
      </c>
    </row>
    <row r="1966" spans="1:4" x14ac:dyDescent="0.2">
      <c r="A1966" s="1">
        <v>42384</v>
      </c>
      <c r="B1966">
        <f>34.5856</f>
        <v>34.585599999999999</v>
      </c>
      <c r="C1966">
        <f>27.02</f>
        <v>27.02</v>
      </c>
      <c r="D1966">
        <f>305.11</f>
        <v>305.11</v>
      </c>
    </row>
    <row r="1967" spans="1:4" x14ac:dyDescent="0.2">
      <c r="A1967" s="1">
        <v>42383</v>
      </c>
      <c r="B1967">
        <f>29.939</f>
        <v>29.939</v>
      </c>
      <c r="C1967">
        <f>23.95</f>
        <v>23.95</v>
      </c>
      <c r="D1967">
        <f>264.55</f>
        <v>264.55</v>
      </c>
    </row>
    <row r="1968" spans="1:4" x14ac:dyDescent="0.2">
      <c r="A1968" s="1">
        <v>42382</v>
      </c>
      <c r="B1968">
        <f>28.1348</f>
        <v>28.134799999999998</v>
      </c>
      <c r="C1968">
        <f>25.22</f>
        <v>25.22</v>
      </c>
      <c r="D1968">
        <f>263.43</f>
        <v>263.43</v>
      </c>
    </row>
    <row r="1969" spans="1:4" x14ac:dyDescent="0.2">
      <c r="A1969" s="1">
        <v>42381</v>
      </c>
      <c r="B1969">
        <f>28.5388</f>
        <v>28.538799999999998</v>
      </c>
      <c r="C1969">
        <f>22.47</f>
        <v>22.47</v>
      </c>
      <c r="D1969">
        <f>305.58</f>
        <v>305.58</v>
      </c>
    </row>
    <row r="1970" spans="1:4" x14ac:dyDescent="0.2">
      <c r="A1970" s="1">
        <v>42380</v>
      </c>
      <c r="B1970">
        <f>30.2182</f>
        <v>30.2182</v>
      </c>
      <c r="C1970">
        <f>24.3</f>
        <v>24.3</v>
      </c>
      <c r="D1970">
        <f>273.82</f>
        <v>273.82</v>
      </c>
    </row>
    <row r="1971" spans="1:4" x14ac:dyDescent="0.2">
      <c r="A1971" s="1">
        <v>42377</v>
      </c>
      <c r="B1971">
        <f>30.4005</f>
        <v>30.400500000000001</v>
      </c>
      <c r="C1971">
        <f>27.01</f>
        <v>27.01</v>
      </c>
      <c r="D1971">
        <f>205.34</f>
        <v>205.34</v>
      </c>
    </row>
    <row r="1972" spans="1:4" x14ac:dyDescent="0.2">
      <c r="A1972" s="1">
        <v>42376</v>
      </c>
      <c r="B1972">
        <f>29.7899</f>
        <v>29.789899999999999</v>
      </c>
      <c r="C1972">
        <f>24.99</f>
        <v>24.99</v>
      </c>
      <c r="D1972">
        <f>320.13</f>
        <v>320.13</v>
      </c>
    </row>
    <row r="1973" spans="1:4" x14ac:dyDescent="0.2">
      <c r="A1973" s="1">
        <v>42375</v>
      </c>
      <c r="B1973">
        <f>26.309</f>
        <v>26.309000000000001</v>
      </c>
      <c r="C1973">
        <f>20.59</f>
        <v>20.59</v>
      </c>
      <c r="D1973">
        <f>191.34</f>
        <v>191.34</v>
      </c>
    </row>
    <row r="1974" spans="1:4" x14ac:dyDescent="0.2">
      <c r="A1974" s="1">
        <v>42374</v>
      </c>
      <c r="B1974">
        <f>26.2087</f>
        <v>26.2087</v>
      </c>
      <c r="C1974">
        <f>19.34</f>
        <v>19.34</v>
      </c>
      <c r="D1974">
        <f>144.35</f>
        <v>144.35</v>
      </c>
    </row>
    <row r="1975" spans="1:4" x14ac:dyDescent="0.2">
      <c r="A1975" s="1">
        <v>42373</v>
      </c>
      <c r="B1975">
        <f>26.998</f>
        <v>26.998000000000001</v>
      </c>
      <c r="C1975">
        <f>20.7</f>
        <v>20.7</v>
      </c>
      <c r="D1975">
        <f>148.39</f>
        <v>148.38999999999999</v>
      </c>
    </row>
    <row r="1976" spans="1:4" x14ac:dyDescent="0.2">
      <c r="A1976" s="1">
        <v>42369</v>
      </c>
      <c r="B1976" t="e">
        <f>NA()</f>
        <v>#N/A</v>
      </c>
      <c r="C1976">
        <f>18.21</f>
        <v>18.21</v>
      </c>
      <c r="D1976">
        <f>54.36</f>
        <v>54.36</v>
      </c>
    </row>
    <row r="1977" spans="1:4" x14ac:dyDescent="0.2">
      <c r="A1977" s="1">
        <v>42368</v>
      </c>
      <c r="B1977">
        <f>22.7102</f>
        <v>22.7102</v>
      </c>
      <c r="C1977">
        <f>17.29</f>
        <v>17.29</v>
      </c>
      <c r="D1977">
        <f>89.15</f>
        <v>89.15</v>
      </c>
    </row>
    <row r="1978" spans="1:4" x14ac:dyDescent="0.2">
      <c r="A1978" s="1">
        <v>42367</v>
      </c>
      <c r="B1978">
        <f>21.6067</f>
        <v>21.6067</v>
      </c>
      <c r="C1978">
        <f>16.08</f>
        <v>16.079999999999998</v>
      </c>
      <c r="D1978">
        <f>102.62</f>
        <v>102.62</v>
      </c>
    </row>
    <row r="1979" spans="1:4" x14ac:dyDescent="0.2">
      <c r="A1979" s="1">
        <v>42366</v>
      </c>
      <c r="B1979">
        <f>22.4544</f>
        <v>22.4544</v>
      </c>
      <c r="C1979">
        <f>16.91</f>
        <v>16.91</v>
      </c>
      <c r="D1979">
        <f>72.06</f>
        <v>72.06</v>
      </c>
    </row>
    <row r="1980" spans="1:4" x14ac:dyDescent="0.2">
      <c r="A1980" s="1">
        <v>42362</v>
      </c>
      <c r="B1980" t="e">
        <f>NA()</f>
        <v>#N/A</v>
      </c>
      <c r="C1980">
        <f>15.74</f>
        <v>15.74</v>
      </c>
      <c r="D1980">
        <f>54.48</f>
        <v>54.48</v>
      </c>
    </row>
    <row r="1981" spans="1:4" x14ac:dyDescent="0.2">
      <c r="A1981" s="1">
        <v>42361</v>
      </c>
      <c r="B1981">
        <f>20.2504</f>
        <v>20.250399999999999</v>
      </c>
      <c r="C1981">
        <f>15.57</f>
        <v>15.57</v>
      </c>
      <c r="D1981">
        <f>147</f>
        <v>147</v>
      </c>
    </row>
    <row r="1982" spans="1:4" x14ac:dyDescent="0.2">
      <c r="A1982" s="1">
        <v>42360</v>
      </c>
      <c r="B1982">
        <f>22.5361</f>
        <v>22.536100000000001</v>
      </c>
      <c r="C1982">
        <f>16.6</f>
        <v>16.600000000000001</v>
      </c>
      <c r="D1982">
        <f>153.82</f>
        <v>153.82</v>
      </c>
    </row>
    <row r="1983" spans="1:4" x14ac:dyDescent="0.2">
      <c r="A1983" s="1">
        <v>42359</v>
      </c>
      <c r="B1983">
        <f>23.8836</f>
        <v>23.883600000000001</v>
      </c>
      <c r="C1983">
        <f>18.7</f>
        <v>18.7</v>
      </c>
      <c r="D1983">
        <f>164.34</f>
        <v>164.34</v>
      </c>
    </row>
    <row r="1984" spans="1:4" x14ac:dyDescent="0.2">
      <c r="A1984" s="1">
        <v>42356</v>
      </c>
      <c r="B1984">
        <f>23.8989</f>
        <v>23.898900000000001</v>
      </c>
      <c r="C1984">
        <f>20.7</f>
        <v>20.7</v>
      </c>
      <c r="D1984">
        <f>375.34</f>
        <v>375.34</v>
      </c>
    </row>
    <row r="1985" spans="1:4" x14ac:dyDescent="0.2">
      <c r="A1985" s="1">
        <v>42355</v>
      </c>
      <c r="B1985">
        <f>22.5761</f>
        <v>22.5761</v>
      </c>
      <c r="C1985">
        <f>18.94</f>
        <v>18.940000000000001</v>
      </c>
      <c r="D1985">
        <f>661.24</f>
        <v>661.24</v>
      </c>
    </row>
    <row r="1986" spans="1:4" x14ac:dyDescent="0.2">
      <c r="A1986" s="1">
        <v>42354</v>
      </c>
      <c r="B1986">
        <f>25.4362</f>
        <v>25.436199999999999</v>
      </c>
      <c r="C1986">
        <f>17.86</f>
        <v>17.86</v>
      </c>
      <c r="D1986" t="e">
        <f>NA()</f>
        <v>#N/A</v>
      </c>
    </row>
    <row r="1987" spans="1:4" x14ac:dyDescent="0.2">
      <c r="A1987" s="1">
        <v>42353</v>
      </c>
      <c r="B1987">
        <f>27.4591</f>
        <v>27.459099999999999</v>
      </c>
      <c r="C1987">
        <f>20.95</f>
        <v>20.95</v>
      </c>
      <c r="D1987">
        <f>327.56</f>
        <v>327.56</v>
      </c>
    </row>
    <row r="1988" spans="1:4" x14ac:dyDescent="0.2">
      <c r="A1988" s="1">
        <v>42352</v>
      </c>
      <c r="B1988">
        <f>30.411</f>
        <v>30.411000000000001</v>
      </c>
      <c r="C1988">
        <f>22.73</f>
        <v>22.73</v>
      </c>
      <c r="D1988">
        <f>407.09</f>
        <v>407.09</v>
      </c>
    </row>
    <row r="1989" spans="1:4" x14ac:dyDescent="0.2">
      <c r="A1989" s="1">
        <v>42349</v>
      </c>
      <c r="B1989">
        <f>26.5766</f>
        <v>26.576599999999999</v>
      </c>
      <c r="C1989">
        <f>24.39</f>
        <v>24.39</v>
      </c>
      <c r="D1989">
        <f>654.77</f>
        <v>654.77</v>
      </c>
    </row>
    <row r="1990" spans="1:4" x14ac:dyDescent="0.2">
      <c r="A1990" s="1">
        <v>42348</v>
      </c>
      <c r="B1990">
        <f>24.5343</f>
        <v>24.534300000000002</v>
      </c>
      <c r="C1990">
        <f>19.34</f>
        <v>19.34</v>
      </c>
      <c r="D1990">
        <f>658.78</f>
        <v>658.78</v>
      </c>
    </row>
    <row r="1991" spans="1:4" x14ac:dyDescent="0.2">
      <c r="A1991" s="1">
        <v>42347</v>
      </c>
      <c r="B1991">
        <f>24.2947</f>
        <v>24.294699999999999</v>
      </c>
      <c r="C1991">
        <f>19.61</f>
        <v>19.61</v>
      </c>
      <c r="D1991">
        <f>319.31</f>
        <v>319.31</v>
      </c>
    </row>
    <row r="1992" spans="1:4" x14ac:dyDescent="0.2">
      <c r="A1992" s="1">
        <v>42346</v>
      </c>
      <c r="B1992">
        <f>23.5733</f>
        <v>23.5733</v>
      </c>
      <c r="C1992">
        <f>17.6</f>
        <v>17.600000000000001</v>
      </c>
      <c r="D1992">
        <f>291.04</f>
        <v>291.04000000000002</v>
      </c>
    </row>
    <row r="1993" spans="1:4" x14ac:dyDescent="0.2">
      <c r="A1993" s="1">
        <v>42345</v>
      </c>
      <c r="B1993">
        <f>22.0447</f>
        <v>22.044699999999999</v>
      </c>
      <c r="C1993">
        <f>15.84</f>
        <v>15.84</v>
      </c>
      <c r="D1993">
        <f>255.64</f>
        <v>255.64</v>
      </c>
    </row>
    <row r="1994" spans="1:4" x14ac:dyDescent="0.2">
      <c r="A1994" s="1">
        <v>42342</v>
      </c>
      <c r="B1994">
        <f>22.6816</f>
        <v>22.6816</v>
      </c>
      <c r="C1994">
        <f>14.81</f>
        <v>14.81</v>
      </c>
      <c r="D1994">
        <f>413.99</f>
        <v>413.99</v>
      </c>
    </row>
    <row r="1995" spans="1:4" x14ac:dyDescent="0.2">
      <c r="A1995" s="1">
        <v>42341</v>
      </c>
      <c r="B1995">
        <f>22.6526</f>
        <v>22.6526</v>
      </c>
      <c r="C1995">
        <f>18.11</f>
        <v>18.11</v>
      </c>
      <c r="D1995">
        <f>245.26</f>
        <v>245.26</v>
      </c>
    </row>
    <row r="1996" spans="1:4" x14ac:dyDescent="0.2">
      <c r="A1996" s="1">
        <v>42340</v>
      </c>
      <c r="B1996">
        <f>22.8176</f>
        <v>22.817599999999999</v>
      </c>
      <c r="C1996">
        <f>15.91</f>
        <v>15.91</v>
      </c>
      <c r="D1996">
        <f>273.98</f>
        <v>273.98</v>
      </c>
    </row>
    <row r="1997" spans="1:4" x14ac:dyDescent="0.2">
      <c r="A1997" s="1">
        <v>42339</v>
      </c>
      <c r="B1997">
        <f>23.6051</f>
        <v>23.6051</v>
      </c>
      <c r="C1997">
        <f>14.67</f>
        <v>14.67</v>
      </c>
      <c r="D1997">
        <f>254.09</f>
        <v>254.09</v>
      </c>
    </row>
    <row r="1998" spans="1:4" x14ac:dyDescent="0.2">
      <c r="A1998" s="1">
        <v>42338</v>
      </c>
      <c r="B1998">
        <f>23.6503</f>
        <v>23.650300000000001</v>
      </c>
      <c r="C1998">
        <f>16.13</f>
        <v>16.13</v>
      </c>
      <c r="D1998">
        <f>437.28</f>
        <v>437.28</v>
      </c>
    </row>
    <row r="1999" spans="1:4" x14ac:dyDescent="0.2">
      <c r="A1999" s="1">
        <v>42335</v>
      </c>
      <c r="B1999">
        <f>23.0669</f>
        <v>23.0669</v>
      </c>
      <c r="C1999">
        <f>15.12</f>
        <v>15.12</v>
      </c>
      <c r="D1999">
        <f>308.88</f>
        <v>308.88</v>
      </c>
    </row>
    <row r="2000" spans="1:4" x14ac:dyDescent="0.2">
      <c r="A2000" s="1">
        <v>42334</v>
      </c>
      <c r="B2000">
        <f>22.8903</f>
        <v>22.8903</v>
      </c>
      <c r="C2000" t="e">
        <f>NA()</f>
        <v>#N/A</v>
      </c>
      <c r="D2000">
        <f>213.26</f>
        <v>213.26</v>
      </c>
    </row>
    <row r="2001" spans="1:4" x14ac:dyDescent="0.2">
      <c r="A2001" s="1">
        <v>42333</v>
      </c>
      <c r="B2001">
        <f>23.9372</f>
        <v>23.937200000000001</v>
      </c>
      <c r="C2001">
        <f>15.19</f>
        <v>15.19</v>
      </c>
      <c r="D2001">
        <f>235.1</f>
        <v>235.1</v>
      </c>
    </row>
    <row r="2002" spans="1:4" x14ac:dyDescent="0.2">
      <c r="A2002" s="1">
        <v>42332</v>
      </c>
      <c r="B2002">
        <f>24.8133</f>
        <v>24.813300000000002</v>
      </c>
      <c r="C2002">
        <f>15.93</f>
        <v>15.93</v>
      </c>
      <c r="D2002">
        <f>265.6</f>
        <v>265.60000000000002</v>
      </c>
    </row>
    <row r="2003" spans="1:4" x14ac:dyDescent="0.2">
      <c r="A2003" s="1">
        <v>42331</v>
      </c>
      <c r="B2003">
        <f>22.9841</f>
        <v>22.984100000000002</v>
      </c>
      <c r="C2003">
        <f>15.62</f>
        <v>15.62</v>
      </c>
      <c r="D2003">
        <f>225.9</f>
        <v>225.9</v>
      </c>
    </row>
    <row r="2004" spans="1:4" x14ac:dyDescent="0.2">
      <c r="A2004" s="1">
        <v>42328</v>
      </c>
      <c r="B2004">
        <f>22.6528</f>
        <v>22.652799999999999</v>
      </c>
      <c r="C2004">
        <f>15.47</f>
        <v>15.47</v>
      </c>
      <c r="D2004">
        <f>346.77</f>
        <v>346.77</v>
      </c>
    </row>
    <row r="2005" spans="1:4" x14ac:dyDescent="0.2">
      <c r="A2005" s="1">
        <v>42327</v>
      </c>
      <c r="B2005">
        <f>23.4423</f>
        <v>23.442299999999999</v>
      </c>
      <c r="C2005">
        <f>16.99</f>
        <v>16.989999999999998</v>
      </c>
      <c r="D2005">
        <f>240.17</f>
        <v>240.17</v>
      </c>
    </row>
    <row r="2006" spans="1:4" x14ac:dyDescent="0.2">
      <c r="A2006" s="1">
        <v>42326</v>
      </c>
      <c r="B2006">
        <f>24.748</f>
        <v>24.748000000000001</v>
      </c>
      <c r="C2006">
        <f>16.85</f>
        <v>16.850000000000001</v>
      </c>
      <c r="D2006">
        <f>270.27</f>
        <v>270.27</v>
      </c>
    </row>
    <row r="2007" spans="1:4" x14ac:dyDescent="0.2">
      <c r="A2007" s="1">
        <v>42325</v>
      </c>
      <c r="B2007">
        <f>23.6199</f>
        <v>23.619900000000001</v>
      </c>
      <c r="C2007">
        <f>18.84</f>
        <v>18.84</v>
      </c>
      <c r="D2007">
        <f>291.96</f>
        <v>291.95999999999998</v>
      </c>
    </row>
    <row r="2008" spans="1:4" x14ac:dyDescent="0.2">
      <c r="A2008" s="1">
        <v>42324</v>
      </c>
      <c r="B2008">
        <f>25.8488</f>
        <v>25.848800000000001</v>
      </c>
      <c r="C2008">
        <f>18.16</f>
        <v>18.16</v>
      </c>
      <c r="D2008">
        <f>228.03</f>
        <v>228.03</v>
      </c>
    </row>
    <row r="2009" spans="1:4" x14ac:dyDescent="0.2">
      <c r="A2009" s="1">
        <v>42321</v>
      </c>
      <c r="B2009">
        <f>24.9526</f>
        <v>24.9526</v>
      </c>
      <c r="C2009">
        <f>20.08</f>
        <v>20.079999999999998</v>
      </c>
      <c r="D2009">
        <f>298.34</f>
        <v>298.33999999999997</v>
      </c>
    </row>
    <row r="2010" spans="1:4" x14ac:dyDescent="0.2">
      <c r="A2010" s="1">
        <v>42320</v>
      </c>
      <c r="B2010">
        <f>23.4483</f>
        <v>23.4483</v>
      </c>
      <c r="C2010">
        <f>18.37</f>
        <v>18.37</v>
      </c>
      <c r="D2010">
        <f>240.6</f>
        <v>240.6</v>
      </c>
    </row>
    <row r="2011" spans="1:4" x14ac:dyDescent="0.2">
      <c r="A2011" s="1">
        <v>42319</v>
      </c>
      <c r="B2011">
        <f>21.839</f>
        <v>21.838999999999999</v>
      </c>
      <c r="C2011">
        <f>16.06</f>
        <v>16.059999999999999</v>
      </c>
      <c r="D2011">
        <f>239.06</f>
        <v>239.06</v>
      </c>
    </row>
    <row r="2012" spans="1:4" x14ac:dyDescent="0.2">
      <c r="A2012" s="1">
        <v>42318</v>
      </c>
      <c r="B2012">
        <f>22.3923</f>
        <v>22.392299999999999</v>
      </c>
      <c r="C2012">
        <f>15.29</f>
        <v>15.29</v>
      </c>
      <c r="D2012">
        <f>249.24</f>
        <v>249.24</v>
      </c>
    </row>
    <row r="2013" spans="1:4" x14ac:dyDescent="0.2">
      <c r="A2013" s="1">
        <v>42317</v>
      </c>
      <c r="B2013">
        <f>21.984</f>
        <v>21.984000000000002</v>
      </c>
      <c r="C2013">
        <f>16.52</f>
        <v>16.52</v>
      </c>
      <c r="D2013">
        <f>191.01</f>
        <v>191.01</v>
      </c>
    </row>
    <row r="2014" spans="1:4" x14ac:dyDescent="0.2">
      <c r="A2014" s="1">
        <v>42314</v>
      </c>
      <c r="B2014">
        <f>20.4363</f>
        <v>20.436299999999999</v>
      </c>
      <c r="C2014">
        <f>14.33</f>
        <v>14.33</v>
      </c>
      <c r="D2014">
        <f>204.51</f>
        <v>204.51</v>
      </c>
    </row>
    <row r="2015" spans="1:4" x14ac:dyDescent="0.2">
      <c r="A2015" s="1">
        <v>42313</v>
      </c>
      <c r="B2015">
        <f>20.9361</f>
        <v>20.9361</v>
      </c>
      <c r="C2015">
        <f>15.05</f>
        <v>15.05</v>
      </c>
      <c r="D2015">
        <f>271.83</f>
        <v>271.83</v>
      </c>
    </row>
    <row r="2016" spans="1:4" x14ac:dyDescent="0.2">
      <c r="A2016" s="1">
        <v>42312</v>
      </c>
      <c r="B2016">
        <f>20.7464</f>
        <v>20.746400000000001</v>
      </c>
      <c r="C2016">
        <f>15.51</f>
        <v>15.51</v>
      </c>
      <c r="D2016">
        <f>320.1</f>
        <v>320.10000000000002</v>
      </c>
    </row>
    <row r="2017" spans="1:4" x14ac:dyDescent="0.2">
      <c r="A2017" s="1">
        <v>42311</v>
      </c>
      <c r="B2017">
        <f>20.0632</f>
        <v>20.063199999999998</v>
      </c>
      <c r="C2017">
        <f>14.54</f>
        <v>14.54</v>
      </c>
      <c r="D2017">
        <f>196.96</f>
        <v>196.96</v>
      </c>
    </row>
    <row r="2018" spans="1:4" x14ac:dyDescent="0.2">
      <c r="A2018" s="1">
        <v>42310</v>
      </c>
      <c r="B2018">
        <f>20.7672</f>
        <v>20.767199999999999</v>
      </c>
      <c r="C2018">
        <f>14.15</f>
        <v>14.15</v>
      </c>
      <c r="D2018">
        <f>183.49</f>
        <v>183.49</v>
      </c>
    </row>
    <row r="2019" spans="1:4" x14ac:dyDescent="0.2">
      <c r="A2019" s="1">
        <v>42307</v>
      </c>
      <c r="B2019">
        <f>20.3569</f>
        <v>20.3569</v>
      </c>
      <c r="C2019">
        <f>15.07</f>
        <v>15.07</v>
      </c>
      <c r="D2019">
        <f>194.65</f>
        <v>194.65</v>
      </c>
    </row>
    <row r="2020" spans="1:4" x14ac:dyDescent="0.2">
      <c r="A2020" s="1">
        <v>42306</v>
      </c>
      <c r="B2020">
        <f>21.0418</f>
        <v>21.041799999999999</v>
      </c>
      <c r="C2020">
        <f>14.61</f>
        <v>14.61</v>
      </c>
      <c r="D2020">
        <f>196.55</f>
        <v>196.55</v>
      </c>
    </row>
    <row r="2021" spans="1:4" x14ac:dyDescent="0.2">
      <c r="A2021" s="1">
        <v>42305</v>
      </c>
      <c r="B2021">
        <f>20.7149</f>
        <v>20.7149</v>
      </c>
      <c r="C2021">
        <f>14.33</f>
        <v>14.33</v>
      </c>
      <c r="D2021">
        <f>186.6</f>
        <v>186.6</v>
      </c>
    </row>
    <row r="2022" spans="1:4" x14ac:dyDescent="0.2">
      <c r="A2022" s="1">
        <v>42304</v>
      </c>
      <c r="B2022">
        <f>20.6863</f>
        <v>20.686299999999999</v>
      </c>
      <c r="C2022">
        <f>15.43</f>
        <v>15.43</v>
      </c>
      <c r="D2022">
        <f>199.64</f>
        <v>199.64</v>
      </c>
    </row>
    <row r="2023" spans="1:4" x14ac:dyDescent="0.2">
      <c r="A2023" s="1">
        <v>42303</v>
      </c>
      <c r="B2023">
        <f>20.6403</f>
        <v>20.6403</v>
      </c>
      <c r="C2023">
        <f>15.29</f>
        <v>15.29</v>
      </c>
      <c r="D2023">
        <f>194.08</f>
        <v>194.08</v>
      </c>
    </row>
    <row r="2024" spans="1:4" x14ac:dyDescent="0.2">
      <c r="A2024" s="1">
        <v>42300</v>
      </c>
      <c r="B2024">
        <f>19.8009</f>
        <v>19.800899999999999</v>
      </c>
      <c r="C2024">
        <f>14.46</f>
        <v>14.46</v>
      </c>
      <c r="D2024">
        <f>202.82</f>
        <v>202.82</v>
      </c>
    </row>
    <row r="2025" spans="1:4" x14ac:dyDescent="0.2">
      <c r="A2025" s="1">
        <v>42299</v>
      </c>
      <c r="B2025">
        <f>19.9722</f>
        <v>19.972200000000001</v>
      </c>
      <c r="C2025">
        <f>14.45</f>
        <v>14.45</v>
      </c>
      <c r="D2025">
        <f>226.96</f>
        <v>226.96</v>
      </c>
    </row>
    <row r="2026" spans="1:4" x14ac:dyDescent="0.2">
      <c r="A2026" s="1">
        <v>42298</v>
      </c>
      <c r="B2026">
        <f>21.8297</f>
        <v>21.829699999999999</v>
      </c>
      <c r="C2026">
        <f>16.7</f>
        <v>16.7</v>
      </c>
      <c r="D2026">
        <f>206.79</f>
        <v>206.79</v>
      </c>
    </row>
    <row r="2027" spans="1:4" x14ac:dyDescent="0.2">
      <c r="A2027" s="1">
        <v>42297</v>
      </c>
      <c r="B2027">
        <f>21.7156</f>
        <v>21.715599999999998</v>
      </c>
      <c r="C2027">
        <f>15.75</f>
        <v>15.75</v>
      </c>
      <c r="D2027">
        <f>219.6</f>
        <v>219.6</v>
      </c>
    </row>
    <row r="2028" spans="1:4" x14ac:dyDescent="0.2">
      <c r="A2028" s="1">
        <v>42296</v>
      </c>
      <c r="B2028">
        <f>22.4522</f>
        <v>22.452200000000001</v>
      </c>
      <c r="C2028">
        <f>14.98</f>
        <v>14.98</v>
      </c>
      <c r="D2028">
        <f>211.23</f>
        <v>211.23</v>
      </c>
    </row>
    <row r="2029" spans="1:4" x14ac:dyDescent="0.2">
      <c r="A2029" s="1">
        <v>42293</v>
      </c>
      <c r="B2029">
        <f>22.7408</f>
        <v>22.7408</v>
      </c>
      <c r="C2029">
        <f>15.05</f>
        <v>15.05</v>
      </c>
      <c r="D2029">
        <f>258.25</f>
        <v>258.25</v>
      </c>
    </row>
    <row r="2030" spans="1:4" x14ac:dyDescent="0.2">
      <c r="A2030" s="1">
        <v>42292</v>
      </c>
      <c r="B2030">
        <f>24.1188</f>
        <v>24.1188</v>
      </c>
      <c r="C2030">
        <f>16.05</f>
        <v>16.05</v>
      </c>
      <c r="D2030">
        <f>191.19</f>
        <v>191.19</v>
      </c>
    </row>
    <row r="2031" spans="1:4" x14ac:dyDescent="0.2">
      <c r="A2031" s="1">
        <v>42291</v>
      </c>
      <c r="B2031">
        <f>25.158</f>
        <v>25.158000000000001</v>
      </c>
      <c r="C2031">
        <f>18.03</f>
        <v>18.03</v>
      </c>
      <c r="D2031">
        <f>174.77</f>
        <v>174.77</v>
      </c>
    </row>
    <row r="2032" spans="1:4" x14ac:dyDescent="0.2">
      <c r="A2032" s="1">
        <v>42290</v>
      </c>
      <c r="B2032">
        <f>24.0398</f>
        <v>24.0398</v>
      </c>
      <c r="C2032">
        <f>17.67</f>
        <v>17.670000000000002</v>
      </c>
      <c r="D2032">
        <f>203.93</f>
        <v>203.93</v>
      </c>
    </row>
    <row r="2033" spans="1:4" x14ac:dyDescent="0.2">
      <c r="A2033" s="1">
        <v>42289</v>
      </c>
      <c r="B2033">
        <f>23.1872</f>
        <v>23.187200000000001</v>
      </c>
      <c r="C2033">
        <f>16.17</f>
        <v>16.170000000000002</v>
      </c>
      <c r="D2033">
        <f>231.71</f>
        <v>231.71</v>
      </c>
    </row>
    <row r="2034" spans="1:4" x14ac:dyDescent="0.2">
      <c r="A2034" s="1">
        <v>42286</v>
      </c>
      <c r="B2034">
        <f>23.4173</f>
        <v>23.417300000000001</v>
      </c>
      <c r="C2034">
        <f>17.08</f>
        <v>17.079999999999998</v>
      </c>
      <c r="D2034">
        <f>242.49</f>
        <v>242.49</v>
      </c>
    </row>
    <row r="2035" spans="1:4" x14ac:dyDescent="0.2">
      <c r="A2035" s="1">
        <v>42285</v>
      </c>
      <c r="B2035">
        <f>24.5243</f>
        <v>24.5243</v>
      </c>
      <c r="C2035">
        <f>17.42</f>
        <v>17.420000000000002</v>
      </c>
      <c r="D2035">
        <f>198.34</f>
        <v>198.34</v>
      </c>
    </row>
    <row r="2036" spans="1:4" x14ac:dyDescent="0.2">
      <c r="A2036" s="1">
        <v>42284</v>
      </c>
      <c r="B2036">
        <f>26.3912</f>
        <v>26.391200000000001</v>
      </c>
      <c r="C2036">
        <f>18.4</f>
        <v>18.399999999999999</v>
      </c>
      <c r="D2036">
        <f>280.34</f>
        <v>280.33999999999997</v>
      </c>
    </row>
    <row r="2037" spans="1:4" x14ac:dyDescent="0.2">
      <c r="A2037" s="1">
        <v>42283</v>
      </c>
      <c r="B2037">
        <f>26.257</f>
        <v>26.257000000000001</v>
      </c>
      <c r="C2037">
        <f>19.4</f>
        <v>19.399999999999999</v>
      </c>
      <c r="D2037">
        <f>264.8</f>
        <v>264.8</v>
      </c>
    </row>
    <row r="2038" spans="1:4" x14ac:dyDescent="0.2">
      <c r="A2038" s="1">
        <v>42282</v>
      </c>
      <c r="B2038">
        <f>28.6187</f>
        <v>28.6187</v>
      </c>
      <c r="C2038">
        <f>19.54</f>
        <v>19.54</v>
      </c>
      <c r="D2038">
        <f>195.78</f>
        <v>195.78</v>
      </c>
    </row>
    <row r="2039" spans="1:4" x14ac:dyDescent="0.2">
      <c r="A2039" s="1">
        <v>42279</v>
      </c>
      <c r="B2039">
        <f>30.9395</f>
        <v>30.939499999999999</v>
      </c>
      <c r="C2039">
        <f>20.94</f>
        <v>20.94</v>
      </c>
      <c r="D2039">
        <f>182.85</f>
        <v>182.85</v>
      </c>
    </row>
    <row r="2040" spans="1:4" x14ac:dyDescent="0.2">
      <c r="A2040" s="1">
        <v>42278</v>
      </c>
      <c r="B2040">
        <f>31.7174</f>
        <v>31.717400000000001</v>
      </c>
      <c r="C2040">
        <f>22.55</f>
        <v>22.55</v>
      </c>
      <c r="D2040">
        <f>250.69</f>
        <v>250.69</v>
      </c>
    </row>
    <row r="2041" spans="1:4" x14ac:dyDescent="0.2">
      <c r="A2041" s="1">
        <v>42277</v>
      </c>
      <c r="B2041">
        <f>32.0459</f>
        <v>32.045900000000003</v>
      </c>
      <c r="C2041">
        <f>24.5</f>
        <v>24.5</v>
      </c>
      <c r="D2041">
        <f>307.44</f>
        <v>307.44</v>
      </c>
    </row>
    <row r="2042" spans="1:4" x14ac:dyDescent="0.2">
      <c r="A2042" s="1">
        <v>42276</v>
      </c>
      <c r="B2042">
        <f>33.7366</f>
        <v>33.736600000000003</v>
      </c>
      <c r="C2042">
        <f>26.83</f>
        <v>26.83</v>
      </c>
      <c r="D2042">
        <f>209.89</f>
        <v>209.89</v>
      </c>
    </row>
    <row r="2043" spans="1:4" x14ac:dyDescent="0.2">
      <c r="A2043" s="1">
        <v>42275</v>
      </c>
      <c r="B2043">
        <f>33.0825</f>
        <v>33.082500000000003</v>
      </c>
      <c r="C2043">
        <f>27.63</f>
        <v>27.63</v>
      </c>
      <c r="D2043">
        <f>171.47</f>
        <v>171.47</v>
      </c>
    </row>
    <row r="2044" spans="1:4" x14ac:dyDescent="0.2">
      <c r="A2044" s="1">
        <v>42272</v>
      </c>
      <c r="B2044">
        <f>30.5182</f>
        <v>30.5182</v>
      </c>
      <c r="C2044">
        <f>23.62</f>
        <v>23.62</v>
      </c>
      <c r="D2044">
        <f>182.55</f>
        <v>182.55</v>
      </c>
    </row>
    <row r="2045" spans="1:4" x14ac:dyDescent="0.2">
      <c r="A2045" s="1">
        <v>42271</v>
      </c>
      <c r="B2045">
        <f>33.4567</f>
        <v>33.456699999999998</v>
      </c>
      <c r="C2045">
        <f>23.47</f>
        <v>23.47</v>
      </c>
      <c r="D2045" t="e">
        <f>NA()</f>
        <v>#N/A</v>
      </c>
    </row>
    <row r="2046" spans="1:4" x14ac:dyDescent="0.2">
      <c r="A2046" s="1">
        <v>42270</v>
      </c>
      <c r="B2046">
        <f>31.0561</f>
        <v>31.056100000000001</v>
      </c>
      <c r="C2046">
        <f>22.13</f>
        <v>22.13</v>
      </c>
      <c r="D2046">
        <f>204.26</f>
        <v>204.26</v>
      </c>
    </row>
    <row r="2047" spans="1:4" x14ac:dyDescent="0.2">
      <c r="A2047" s="1">
        <v>42269</v>
      </c>
      <c r="B2047">
        <f>32.1618</f>
        <v>32.161799999999999</v>
      </c>
      <c r="C2047">
        <f>22.44</f>
        <v>22.44</v>
      </c>
      <c r="D2047">
        <f>220.33</f>
        <v>220.33</v>
      </c>
    </row>
    <row r="2048" spans="1:4" x14ac:dyDescent="0.2">
      <c r="A2048" s="1">
        <v>42268</v>
      </c>
      <c r="B2048">
        <f>27.0169</f>
        <v>27.0169</v>
      </c>
      <c r="C2048">
        <f>20.14</f>
        <v>20.14</v>
      </c>
      <c r="D2048">
        <f>181.04</f>
        <v>181.04</v>
      </c>
    </row>
    <row r="2049" spans="1:4" x14ac:dyDescent="0.2">
      <c r="A2049" s="1">
        <v>42265</v>
      </c>
      <c r="B2049">
        <f>28.4011</f>
        <v>28.4011</v>
      </c>
      <c r="C2049">
        <f>22.28</f>
        <v>22.28</v>
      </c>
      <c r="D2049">
        <f>417.22</f>
        <v>417.22</v>
      </c>
    </row>
    <row r="2050" spans="1:4" x14ac:dyDescent="0.2">
      <c r="A2050" s="1">
        <v>42264</v>
      </c>
      <c r="B2050">
        <f>27.0649</f>
        <v>27.064900000000002</v>
      </c>
      <c r="C2050">
        <f>21.14</f>
        <v>21.14</v>
      </c>
      <c r="D2050">
        <f>378.26</f>
        <v>378.26</v>
      </c>
    </row>
    <row r="2051" spans="1:4" x14ac:dyDescent="0.2">
      <c r="A2051" s="1">
        <v>42263</v>
      </c>
      <c r="B2051">
        <f>27.9163</f>
        <v>27.9163</v>
      </c>
      <c r="C2051">
        <f>21.35</f>
        <v>21.35</v>
      </c>
      <c r="D2051">
        <f>258.25</f>
        <v>258.25</v>
      </c>
    </row>
    <row r="2052" spans="1:4" x14ac:dyDescent="0.2">
      <c r="A2052" s="1">
        <v>42262</v>
      </c>
      <c r="B2052">
        <f>29.9496</f>
        <v>29.9496</v>
      </c>
      <c r="C2052">
        <f>22.54</f>
        <v>22.54</v>
      </c>
      <c r="D2052">
        <f>217.5</f>
        <v>217.5</v>
      </c>
    </row>
    <row r="2053" spans="1:4" x14ac:dyDescent="0.2">
      <c r="A2053" s="1">
        <v>42261</v>
      </c>
      <c r="B2053">
        <f>31.355</f>
        <v>31.355</v>
      </c>
      <c r="C2053">
        <f>24.25</f>
        <v>24.25</v>
      </c>
      <c r="D2053">
        <f>222.83</f>
        <v>222.83</v>
      </c>
    </row>
    <row r="2054" spans="1:4" x14ac:dyDescent="0.2">
      <c r="A2054" s="1">
        <v>42258</v>
      </c>
      <c r="B2054">
        <f>31.6478</f>
        <v>31.6478</v>
      </c>
      <c r="C2054">
        <f>23.2</f>
        <v>23.2</v>
      </c>
      <c r="D2054">
        <f>248.63</f>
        <v>248.63</v>
      </c>
    </row>
    <row r="2055" spans="1:4" x14ac:dyDescent="0.2">
      <c r="A2055" s="1">
        <v>42257</v>
      </c>
      <c r="B2055">
        <f>32.0034</f>
        <v>32.003399999999999</v>
      </c>
      <c r="C2055">
        <f>24.37</f>
        <v>24.37</v>
      </c>
      <c r="D2055">
        <f>239.84</f>
        <v>239.84</v>
      </c>
    </row>
    <row r="2056" spans="1:4" x14ac:dyDescent="0.2">
      <c r="A2056" s="1">
        <v>42256</v>
      </c>
      <c r="B2056">
        <f>30.4496</f>
        <v>30.4496</v>
      </c>
      <c r="C2056">
        <f>26.23</f>
        <v>26.23</v>
      </c>
      <c r="D2056">
        <f>283.17</f>
        <v>283.17</v>
      </c>
    </row>
    <row r="2057" spans="1:4" x14ac:dyDescent="0.2">
      <c r="A2057" s="1">
        <v>42255</v>
      </c>
      <c r="B2057">
        <f>32.2298</f>
        <v>32.229799999999997</v>
      </c>
      <c r="C2057">
        <f>24.9</f>
        <v>24.9</v>
      </c>
      <c r="D2057">
        <f>221.27</f>
        <v>221.27</v>
      </c>
    </row>
    <row r="2058" spans="1:4" x14ac:dyDescent="0.2">
      <c r="A2058" s="1">
        <v>42254</v>
      </c>
      <c r="B2058">
        <f>35.1536</f>
        <v>35.153599999999997</v>
      </c>
      <c r="C2058" t="e">
        <f>NA()</f>
        <v>#N/A</v>
      </c>
      <c r="D2058">
        <f>206.41</f>
        <v>206.41</v>
      </c>
    </row>
    <row r="2059" spans="1:4" x14ac:dyDescent="0.2">
      <c r="A2059" s="1">
        <v>42251</v>
      </c>
      <c r="B2059">
        <f>34.8152</f>
        <v>34.815199999999997</v>
      </c>
      <c r="C2059">
        <f>27.8</f>
        <v>27.8</v>
      </c>
      <c r="D2059">
        <f>202.88</f>
        <v>202.88</v>
      </c>
    </row>
    <row r="2060" spans="1:4" x14ac:dyDescent="0.2">
      <c r="A2060" s="1">
        <v>42250</v>
      </c>
      <c r="B2060">
        <f>29.8773</f>
        <v>29.877300000000002</v>
      </c>
      <c r="C2060">
        <f>25.61</f>
        <v>25.61</v>
      </c>
      <c r="D2060">
        <f>203.65</f>
        <v>203.65</v>
      </c>
    </row>
    <row r="2061" spans="1:4" x14ac:dyDescent="0.2">
      <c r="A2061" s="1">
        <v>42249</v>
      </c>
      <c r="B2061">
        <f>33.7021</f>
        <v>33.702100000000002</v>
      </c>
      <c r="C2061">
        <f>26.09</f>
        <v>26.09</v>
      </c>
      <c r="D2061">
        <f>221.08</f>
        <v>221.08</v>
      </c>
    </row>
    <row r="2062" spans="1:4" x14ac:dyDescent="0.2">
      <c r="A2062" s="1">
        <v>42248</v>
      </c>
      <c r="B2062">
        <f>34.264</f>
        <v>34.264000000000003</v>
      </c>
      <c r="C2062">
        <f>31.4</f>
        <v>31.4</v>
      </c>
      <c r="D2062">
        <f>212.58</f>
        <v>212.58</v>
      </c>
    </row>
    <row r="2063" spans="1:4" x14ac:dyDescent="0.2">
      <c r="A2063" s="1">
        <v>42247</v>
      </c>
      <c r="B2063">
        <f>31.0718</f>
        <v>31.0718</v>
      </c>
      <c r="C2063">
        <f>28.43</f>
        <v>28.43</v>
      </c>
      <c r="D2063">
        <f>194.15</f>
        <v>194.15</v>
      </c>
    </row>
    <row r="2064" spans="1:4" x14ac:dyDescent="0.2">
      <c r="A2064" s="1">
        <v>42244</v>
      </c>
      <c r="B2064">
        <f>31.0337</f>
        <v>31.0337</v>
      </c>
      <c r="C2064">
        <f>26.05</f>
        <v>26.05</v>
      </c>
      <c r="D2064">
        <f>204.97</f>
        <v>204.97</v>
      </c>
    </row>
    <row r="2065" spans="1:4" x14ac:dyDescent="0.2">
      <c r="A2065" s="1">
        <v>42243</v>
      </c>
      <c r="B2065">
        <f>30.5602</f>
        <v>30.560199999999998</v>
      </c>
      <c r="C2065">
        <f>26.1</f>
        <v>26.1</v>
      </c>
      <c r="D2065">
        <f>248.79</f>
        <v>248.79</v>
      </c>
    </row>
    <row r="2066" spans="1:4" x14ac:dyDescent="0.2">
      <c r="A2066" s="1">
        <v>42242</v>
      </c>
      <c r="B2066">
        <f>35.2896</f>
        <v>35.2896</v>
      </c>
      <c r="C2066">
        <f>30.32</f>
        <v>30.32</v>
      </c>
      <c r="D2066">
        <f>248.53</f>
        <v>248.53</v>
      </c>
    </row>
    <row r="2067" spans="1:4" x14ac:dyDescent="0.2">
      <c r="A2067" s="1">
        <v>42241</v>
      </c>
      <c r="B2067">
        <f>33.6485</f>
        <v>33.648499999999999</v>
      </c>
      <c r="C2067">
        <f>36.02</f>
        <v>36.020000000000003</v>
      </c>
      <c r="D2067">
        <f>290.05</f>
        <v>290.05</v>
      </c>
    </row>
    <row r="2068" spans="1:4" x14ac:dyDescent="0.2">
      <c r="A2068" s="1">
        <v>42240</v>
      </c>
      <c r="B2068">
        <f>40.803</f>
        <v>40.802999999999997</v>
      </c>
      <c r="C2068">
        <f>40.74</f>
        <v>40.74</v>
      </c>
      <c r="D2068">
        <f>342.55</f>
        <v>342.55</v>
      </c>
    </row>
    <row r="2069" spans="1:4" x14ac:dyDescent="0.2">
      <c r="A2069" s="1">
        <v>42237</v>
      </c>
      <c r="B2069">
        <f>30.2101</f>
        <v>30.210100000000001</v>
      </c>
      <c r="C2069">
        <f>28.03</f>
        <v>28.03</v>
      </c>
      <c r="D2069">
        <f>265.25</f>
        <v>265.25</v>
      </c>
    </row>
    <row r="2070" spans="1:4" x14ac:dyDescent="0.2">
      <c r="A2070" s="1">
        <v>42236</v>
      </c>
      <c r="B2070">
        <f>25.4949</f>
        <v>25.494900000000001</v>
      </c>
      <c r="C2070">
        <f>19.14</f>
        <v>19.14</v>
      </c>
      <c r="D2070">
        <f>279.44</f>
        <v>279.44</v>
      </c>
    </row>
    <row r="2071" spans="1:4" x14ac:dyDescent="0.2">
      <c r="A2071" s="1">
        <v>42235</v>
      </c>
      <c r="B2071">
        <f>23.7117</f>
        <v>23.7117</v>
      </c>
      <c r="C2071">
        <f>15.25</f>
        <v>15.25</v>
      </c>
      <c r="D2071">
        <f>227.61</f>
        <v>227.61</v>
      </c>
    </row>
    <row r="2072" spans="1:4" x14ac:dyDescent="0.2">
      <c r="A2072" s="1">
        <v>42234</v>
      </c>
      <c r="B2072">
        <f>22.5001</f>
        <v>22.5001</v>
      </c>
      <c r="C2072">
        <f>13.79</f>
        <v>13.79</v>
      </c>
      <c r="D2072">
        <f>222.82</f>
        <v>222.82</v>
      </c>
    </row>
    <row r="2073" spans="1:4" x14ac:dyDescent="0.2">
      <c r="A2073" s="1">
        <v>42233</v>
      </c>
      <c r="B2073">
        <f>22.3811</f>
        <v>22.3811</v>
      </c>
      <c r="C2073">
        <f>13.02</f>
        <v>13.02</v>
      </c>
      <c r="D2073">
        <f>179.99</f>
        <v>179.99</v>
      </c>
    </row>
    <row r="2074" spans="1:4" x14ac:dyDescent="0.2">
      <c r="A2074" s="1">
        <v>42230</v>
      </c>
      <c r="B2074">
        <f>22.8364</f>
        <v>22.836400000000001</v>
      </c>
      <c r="C2074">
        <f>12.83</f>
        <v>12.83</v>
      </c>
      <c r="D2074">
        <f>148.17</f>
        <v>148.16999999999999</v>
      </c>
    </row>
    <row r="2075" spans="1:4" x14ac:dyDescent="0.2">
      <c r="A2075" s="1">
        <v>42229</v>
      </c>
      <c r="B2075">
        <f>23.2434</f>
        <v>23.243400000000001</v>
      </c>
      <c r="C2075">
        <f>13.49</f>
        <v>13.49</v>
      </c>
      <c r="D2075">
        <f>172.8</f>
        <v>172.8</v>
      </c>
    </row>
    <row r="2076" spans="1:4" x14ac:dyDescent="0.2">
      <c r="A2076" s="1">
        <v>42228</v>
      </c>
      <c r="B2076">
        <f>24.4678</f>
        <v>24.4678</v>
      </c>
      <c r="C2076">
        <f>13.61</f>
        <v>13.61</v>
      </c>
      <c r="D2076">
        <f>223.46</f>
        <v>223.46</v>
      </c>
    </row>
    <row r="2077" spans="1:4" x14ac:dyDescent="0.2">
      <c r="A2077" s="1">
        <v>42227</v>
      </c>
      <c r="B2077">
        <f>20.4012</f>
        <v>20.401199999999999</v>
      </c>
      <c r="C2077">
        <f>13.71</f>
        <v>13.71</v>
      </c>
      <c r="D2077">
        <f>208.03</f>
        <v>208.03</v>
      </c>
    </row>
    <row r="2078" spans="1:4" x14ac:dyDescent="0.2">
      <c r="A2078" s="1">
        <v>42226</v>
      </c>
      <c r="B2078">
        <f>18.3067</f>
        <v>18.306699999999999</v>
      </c>
      <c r="C2078">
        <f>12.23</f>
        <v>12.23</v>
      </c>
      <c r="D2078" t="e">
        <f>NA()</f>
        <v>#N/A</v>
      </c>
    </row>
    <row r="2079" spans="1:4" x14ac:dyDescent="0.2">
      <c r="A2079" s="1">
        <v>42223</v>
      </c>
      <c r="B2079">
        <f>18.7066</f>
        <v>18.706600000000002</v>
      </c>
      <c r="C2079">
        <f>13.39</f>
        <v>13.39</v>
      </c>
      <c r="D2079">
        <f>163.15</f>
        <v>163.15</v>
      </c>
    </row>
    <row r="2080" spans="1:4" x14ac:dyDescent="0.2">
      <c r="A2080" s="1">
        <v>42222</v>
      </c>
      <c r="B2080">
        <f>18.2603</f>
        <v>18.260300000000001</v>
      </c>
      <c r="C2080">
        <f>13.77</f>
        <v>13.77</v>
      </c>
      <c r="D2080">
        <f>212.87</f>
        <v>212.87</v>
      </c>
    </row>
    <row r="2081" spans="1:4" x14ac:dyDescent="0.2">
      <c r="A2081" s="1">
        <v>42221</v>
      </c>
      <c r="B2081">
        <f>17.5482</f>
        <v>17.548200000000001</v>
      </c>
      <c r="C2081">
        <f>12.51</f>
        <v>12.51</v>
      </c>
      <c r="D2081">
        <f>194.69</f>
        <v>194.69</v>
      </c>
    </row>
    <row r="2082" spans="1:4" x14ac:dyDescent="0.2">
      <c r="A2082" s="1">
        <v>42220</v>
      </c>
      <c r="B2082">
        <f>18.2536</f>
        <v>18.253599999999999</v>
      </c>
      <c r="C2082">
        <f>13</f>
        <v>13</v>
      </c>
      <c r="D2082">
        <f>203.46</f>
        <v>203.46</v>
      </c>
    </row>
    <row r="2083" spans="1:4" x14ac:dyDescent="0.2">
      <c r="A2083" s="1">
        <v>42219</v>
      </c>
      <c r="B2083">
        <f>18.5935</f>
        <v>18.593499999999999</v>
      </c>
      <c r="C2083">
        <f>12.56</f>
        <v>12.56</v>
      </c>
      <c r="D2083">
        <f>175.07</f>
        <v>175.07</v>
      </c>
    </row>
    <row r="2084" spans="1:4" x14ac:dyDescent="0.2">
      <c r="A2084" s="1">
        <v>42216</v>
      </c>
      <c r="B2084">
        <f>19.2878</f>
        <v>19.287800000000001</v>
      </c>
      <c r="C2084">
        <f>12.12</f>
        <v>12.12</v>
      </c>
      <c r="D2084">
        <f>307.15</f>
        <v>307.14999999999998</v>
      </c>
    </row>
    <row r="2085" spans="1:4" x14ac:dyDescent="0.2">
      <c r="A2085" s="1">
        <v>42215</v>
      </c>
      <c r="B2085">
        <f>20.2348</f>
        <v>20.2348</v>
      </c>
      <c r="C2085">
        <f>12.13</f>
        <v>12.13</v>
      </c>
      <c r="D2085">
        <f>276.92</f>
        <v>276.92</v>
      </c>
    </row>
    <row r="2086" spans="1:4" x14ac:dyDescent="0.2">
      <c r="A2086" s="1">
        <v>42214</v>
      </c>
      <c r="B2086">
        <f>20.0336</f>
        <v>20.0336</v>
      </c>
      <c r="C2086">
        <f>12.5</f>
        <v>12.5</v>
      </c>
      <c r="D2086">
        <f>231.4</f>
        <v>231.4</v>
      </c>
    </row>
    <row r="2087" spans="1:4" x14ac:dyDescent="0.2">
      <c r="A2087" s="1">
        <v>42213</v>
      </c>
      <c r="B2087">
        <f>20.8092</f>
        <v>20.809200000000001</v>
      </c>
      <c r="C2087">
        <f>13.44</f>
        <v>13.44</v>
      </c>
      <c r="D2087">
        <f>226.01</f>
        <v>226.01</v>
      </c>
    </row>
    <row r="2088" spans="1:4" x14ac:dyDescent="0.2">
      <c r="A2088" s="1">
        <v>42212</v>
      </c>
      <c r="B2088">
        <f>21.9151</f>
        <v>21.915099999999999</v>
      </c>
      <c r="C2088">
        <f>15.6</f>
        <v>15.6</v>
      </c>
      <c r="D2088">
        <f>195.1</f>
        <v>195.1</v>
      </c>
    </row>
    <row r="2089" spans="1:4" x14ac:dyDescent="0.2">
      <c r="A2089" s="1">
        <v>42209</v>
      </c>
      <c r="B2089">
        <f>19.0408</f>
        <v>19.040800000000001</v>
      </c>
      <c r="C2089">
        <f>13.74</f>
        <v>13.74</v>
      </c>
      <c r="D2089">
        <f>275.24</f>
        <v>275.24</v>
      </c>
    </row>
    <row r="2090" spans="1:4" x14ac:dyDescent="0.2">
      <c r="A2090" s="1">
        <v>42208</v>
      </c>
      <c r="B2090">
        <f>17.4317</f>
        <v>17.431699999999999</v>
      </c>
      <c r="C2090">
        <f>12.64</f>
        <v>12.64</v>
      </c>
      <c r="D2090">
        <f>192.22</f>
        <v>192.22</v>
      </c>
    </row>
    <row r="2091" spans="1:4" x14ac:dyDescent="0.2">
      <c r="A2091" s="1">
        <v>42207</v>
      </c>
      <c r="B2091">
        <f>18.16</f>
        <v>18.16</v>
      </c>
      <c r="C2091">
        <f>12.12</f>
        <v>12.12</v>
      </c>
      <c r="D2091">
        <f>239.27</f>
        <v>239.27</v>
      </c>
    </row>
    <row r="2092" spans="1:4" x14ac:dyDescent="0.2">
      <c r="A2092" s="1">
        <v>42206</v>
      </c>
      <c r="B2092">
        <f>17.9144</f>
        <v>17.914400000000001</v>
      </c>
      <c r="C2092">
        <f>12.22</f>
        <v>12.22</v>
      </c>
      <c r="D2092">
        <f>186.84</f>
        <v>186.84</v>
      </c>
    </row>
    <row r="2093" spans="1:4" x14ac:dyDescent="0.2">
      <c r="A2093" s="1">
        <v>42205</v>
      </c>
      <c r="B2093">
        <f>18.1165</f>
        <v>18.116499999999998</v>
      </c>
      <c r="C2093">
        <f>12.25</f>
        <v>12.25</v>
      </c>
      <c r="D2093">
        <f>171.72</f>
        <v>171.72</v>
      </c>
    </row>
    <row r="2094" spans="1:4" x14ac:dyDescent="0.2">
      <c r="A2094" s="1">
        <v>42202</v>
      </c>
      <c r="B2094">
        <f>18.9656</f>
        <v>18.965599999999998</v>
      </c>
      <c r="C2094">
        <f>11.95</f>
        <v>11.95</v>
      </c>
      <c r="D2094">
        <f>172.13</f>
        <v>172.13</v>
      </c>
    </row>
    <row r="2095" spans="1:4" x14ac:dyDescent="0.2">
      <c r="A2095" s="1">
        <v>42201</v>
      </c>
      <c r="B2095">
        <f>19.018</f>
        <v>19.018000000000001</v>
      </c>
      <c r="C2095">
        <f>12.11</f>
        <v>12.11</v>
      </c>
      <c r="D2095">
        <f>241.53</f>
        <v>241.53</v>
      </c>
    </row>
    <row r="2096" spans="1:4" x14ac:dyDescent="0.2">
      <c r="A2096" s="1">
        <v>42200</v>
      </c>
      <c r="B2096">
        <f>21.0969</f>
        <v>21.096900000000002</v>
      </c>
      <c r="C2096">
        <f>13.23</f>
        <v>13.23</v>
      </c>
      <c r="D2096">
        <f>233.15</f>
        <v>233.15</v>
      </c>
    </row>
    <row r="2097" spans="1:4" x14ac:dyDescent="0.2">
      <c r="A2097" s="1">
        <v>42199</v>
      </c>
      <c r="B2097">
        <f>21.5485</f>
        <v>21.548500000000001</v>
      </c>
      <c r="C2097">
        <f>13.37</f>
        <v>13.37</v>
      </c>
      <c r="D2097">
        <f>161.29</f>
        <v>161.29</v>
      </c>
    </row>
    <row r="2098" spans="1:4" x14ac:dyDescent="0.2">
      <c r="A2098" s="1">
        <v>42198</v>
      </c>
      <c r="B2098">
        <f>23.2482</f>
        <v>23.248200000000001</v>
      </c>
      <c r="C2098">
        <f>13.9</f>
        <v>13.9</v>
      </c>
      <c r="D2098">
        <f>210.22</f>
        <v>210.22</v>
      </c>
    </row>
    <row r="2099" spans="1:4" x14ac:dyDescent="0.2">
      <c r="A2099" s="1">
        <v>42195</v>
      </c>
      <c r="B2099">
        <f>27.8763</f>
        <v>27.876300000000001</v>
      </c>
      <c r="C2099">
        <f>16.83</f>
        <v>16.829999999999998</v>
      </c>
      <c r="D2099">
        <f>264.79</f>
        <v>264.79000000000002</v>
      </c>
    </row>
    <row r="2100" spans="1:4" x14ac:dyDescent="0.2">
      <c r="A2100" s="1">
        <v>42194</v>
      </c>
      <c r="B2100">
        <f>30.7656</f>
        <v>30.765599999999999</v>
      </c>
      <c r="C2100">
        <f>19.97</f>
        <v>19.97</v>
      </c>
      <c r="D2100">
        <f>227.11</f>
        <v>227.11</v>
      </c>
    </row>
    <row r="2101" spans="1:4" x14ac:dyDescent="0.2">
      <c r="A2101" s="1">
        <v>42193</v>
      </c>
      <c r="B2101">
        <f>31.6348</f>
        <v>31.634799999999998</v>
      </c>
      <c r="C2101">
        <f>19.66</f>
        <v>19.66</v>
      </c>
      <c r="D2101">
        <f>226.57</f>
        <v>226.57</v>
      </c>
    </row>
    <row r="2102" spans="1:4" x14ac:dyDescent="0.2">
      <c r="A2102" s="1">
        <v>42192</v>
      </c>
      <c r="B2102">
        <f>30.9878</f>
        <v>30.9878</v>
      </c>
      <c r="C2102">
        <f>16.09</f>
        <v>16.09</v>
      </c>
      <c r="D2102">
        <f>232.31</f>
        <v>232.31</v>
      </c>
    </row>
    <row r="2103" spans="1:4" x14ac:dyDescent="0.2">
      <c r="A2103" s="1">
        <v>42191</v>
      </c>
      <c r="B2103">
        <f>29.9819</f>
        <v>29.9819</v>
      </c>
      <c r="C2103">
        <f>17.01</f>
        <v>17.010000000000002</v>
      </c>
      <c r="D2103">
        <f>139.76</f>
        <v>139.76</v>
      </c>
    </row>
    <row r="2104" spans="1:4" x14ac:dyDescent="0.2">
      <c r="A2104" s="1">
        <v>42188</v>
      </c>
      <c r="B2104">
        <f>32.285</f>
        <v>32.284999999999997</v>
      </c>
      <c r="C2104" t="e">
        <f>NA()</f>
        <v>#N/A</v>
      </c>
      <c r="D2104">
        <f>100.41</f>
        <v>100.41</v>
      </c>
    </row>
    <row r="2105" spans="1:4" x14ac:dyDescent="0.2">
      <c r="A2105" s="1">
        <v>42187</v>
      </c>
      <c r="B2105">
        <f>31.6721</f>
        <v>31.6721</v>
      </c>
      <c r="C2105">
        <f>16.79</f>
        <v>16.79</v>
      </c>
      <c r="D2105">
        <f>188.74</f>
        <v>188.74</v>
      </c>
    </row>
    <row r="2106" spans="1:4" x14ac:dyDescent="0.2">
      <c r="A2106" s="1">
        <v>42186</v>
      </c>
      <c r="B2106">
        <f>30.285</f>
        <v>30.285</v>
      </c>
      <c r="C2106">
        <f>16.09</f>
        <v>16.09</v>
      </c>
      <c r="D2106">
        <f>177.88</f>
        <v>177.88</v>
      </c>
    </row>
    <row r="2107" spans="1:4" x14ac:dyDescent="0.2">
      <c r="A2107" s="1">
        <v>42185</v>
      </c>
      <c r="B2107">
        <f>32.3071</f>
        <v>32.307099999999998</v>
      </c>
      <c r="C2107">
        <f>18.23</f>
        <v>18.23</v>
      </c>
      <c r="D2107">
        <f>216.33</f>
        <v>216.33</v>
      </c>
    </row>
    <row r="2108" spans="1:4" x14ac:dyDescent="0.2">
      <c r="A2108" s="1">
        <v>42184</v>
      </c>
      <c r="B2108">
        <f>30.6468</f>
        <v>30.646799999999999</v>
      </c>
      <c r="C2108">
        <f>18.85</f>
        <v>18.850000000000001</v>
      </c>
      <c r="D2108">
        <f>154.72</f>
        <v>154.72</v>
      </c>
    </row>
    <row r="2109" spans="1:4" x14ac:dyDescent="0.2">
      <c r="A2109" s="1">
        <v>42181</v>
      </c>
      <c r="B2109">
        <f>26.7172</f>
        <v>26.717199999999998</v>
      </c>
      <c r="C2109">
        <f>14.02</f>
        <v>14.02</v>
      </c>
      <c r="D2109">
        <f>151.9</f>
        <v>151.9</v>
      </c>
    </row>
    <row r="2110" spans="1:4" x14ac:dyDescent="0.2">
      <c r="A2110" s="1">
        <v>42180</v>
      </c>
      <c r="B2110">
        <f>25.6433</f>
        <v>25.6433</v>
      </c>
      <c r="C2110">
        <f>14.01</f>
        <v>14.01</v>
      </c>
      <c r="D2110">
        <f>261.96</f>
        <v>261.95999999999998</v>
      </c>
    </row>
    <row r="2111" spans="1:4" x14ac:dyDescent="0.2">
      <c r="A2111" s="1">
        <v>42179</v>
      </c>
      <c r="B2111">
        <f>24.9348</f>
        <v>24.934799999999999</v>
      </c>
      <c r="C2111">
        <f>13.26</f>
        <v>13.26</v>
      </c>
      <c r="D2111">
        <f>200.39</f>
        <v>200.39</v>
      </c>
    </row>
    <row r="2112" spans="1:4" x14ac:dyDescent="0.2">
      <c r="A2112" s="1">
        <v>42178</v>
      </c>
      <c r="B2112">
        <f>23.5179</f>
        <v>23.517900000000001</v>
      </c>
      <c r="C2112">
        <f>12.11</f>
        <v>12.11</v>
      </c>
      <c r="D2112">
        <f>227.47</f>
        <v>227.47</v>
      </c>
    </row>
    <row r="2113" spans="1:4" x14ac:dyDescent="0.2">
      <c r="A2113" s="1">
        <v>42177</v>
      </c>
      <c r="B2113">
        <f>23.5436</f>
        <v>23.543600000000001</v>
      </c>
      <c r="C2113">
        <f>12.74</f>
        <v>12.74</v>
      </c>
      <c r="D2113">
        <f>191.08</f>
        <v>191.08</v>
      </c>
    </row>
    <row r="2114" spans="1:4" x14ac:dyDescent="0.2">
      <c r="A2114" s="1">
        <v>42174</v>
      </c>
      <c r="B2114">
        <f>28.6184</f>
        <v>28.618400000000001</v>
      </c>
      <c r="C2114">
        <f>13.96</f>
        <v>13.96</v>
      </c>
      <c r="D2114">
        <f>322.64</f>
        <v>322.64</v>
      </c>
    </row>
    <row r="2115" spans="1:4" x14ac:dyDescent="0.2">
      <c r="A2115" s="1">
        <v>42173</v>
      </c>
      <c r="B2115">
        <f>28.4283</f>
        <v>28.4283</v>
      </c>
      <c r="C2115">
        <f>13.19</f>
        <v>13.19</v>
      </c>
      <c r="D2115">
        <f>509.46</f>
        <v>509.46</v>
      </c>
    </row>
    <row r="2116" spans="1:4" x14ac:dyDescent="0.2">
      <c r="A2116" s="1">
        <v>42172</v>
      </c>
      <c r="B2116">
        <f>28.2724</f>
        <v>28.272400000000001</v>
      </c>
      <c r="C2116">
        <f>14.5</f>
        <v>14.5</v>
      </c>
      <c r="D2116">
        <f>264.38</f>
        <v>264.38</v>
      </c>
    </row>
    <row r="2117" spans="1:4" x14ac:dyDescent="0.2">
      <c r="A2117" s="1">
        <v>42171</v>
      </c>
      <c r="B2117">
        <f>28.7447</f>
        <v>28.744700000000002</v>
      </c>
      <c r="C2117">
        <f>14.81</f>
        <v>14.81</v>
      </c>
      <c r="D2117" t="e">
        <f>NA()</f>
        <v>#N/A</v>
      </c>
    </row>
    <row r="2118" spans="1:4" x14ac:dyDescent="0.2">
      <c r="A2118" s="1">
        <v>42170</v>
      </c>
      <c r="B2118">
        <f>27.8467</f>
        <v>27.846699999999998</v>
      </c>
      <c r="C2118">
        <f>15.39</f>
        <v>15.39</v>
      </c>
      <c r="D2118">
        <f>149.07</f>
        <v>149.07</v>
      </c>
    </row>
    <row r="2119" spans="1:4" x14ac:dyDescent="0.2">
      <c r="A2119" s="1">
        <v>42167</v>
      </c>
      <c r="B2119">
        <f>25.2594</f>
        <v>25.259399999999999</v>
      </c>
      <c r="C2119">
        <f>13.78</f>
        <v>13.78</v>
      </c>
      <c r="D2119">
        <f>169.89</f>
        <v>169.89</v>
      </c>
    </row>
    <row r="2120" spans="1:4" x14ac:dyDescent="0.2">
      <c r="A2120" s="1">
        <v>42166</v>
      </c>
      <c r="B2120">
        <f>23.6341</f>
        <v>23.6341</v>
      </c>
      <c r="C2120">
        <f>12.85</f>
        <v>12.85</v>
      </c>
      <c r="D2120">
        <f>228.69</f>
        <v>228.69</v>
      </c>
    </row>
    <row r="2121" spans="1:4" x14ac:dyDescent="0.2">
      <c r="A2121" s="1">
        <v>42165</v>
      </c>
      <c r="B2121">
        <f>23.8291</f>
        <v>23.8291</v>
      </c>
      <c r="C2121">
        <f>13.22</f>
        <v>13.22</v>
      </c>
      <c r="D2121">
        <f>193.94</f>
        <v>193.94</v>
      </c>
    </row>
    <row r="2122" spans="1:4" x14ac:dyDescent="0.2">
      <c r="A2122" s="1">
        <v>42164</v>
      </c>
      <c r="B2122">
        <f>24.9865</f>
        <v>24.986499999999999</v>
      </c>
      <c r="C2122">
        <f>14.47</f>
        <v>14.47</v>
      </c>
      <c r="D2122">
        <f>196.46</f>
        <v>196.46</v>
      </c>
    </row>
    <row r="2123" spans="1:4" x14ac:dyDescent="0.2">
      <c r="A2123" s="1">
        <v>42163</v>
      </c>
      <c r="B2123">
        <f>25.604</f>
        <v>25.603999999999999</v>
      </c>
      <c r="C2123">
        <f>15.29</f>
        <v>15.29</v>
      </c>
      <c r="D2123">
        <f>170.63</f>
        <v>170.63</v>
      </c>
    </row>
    <row r="2124" spans="1:4" x14ac:dyDescent="0.2">
      <c r="A2124" s="1">
        <v>42160</v>
      </c>
      <c r="B2124">
        <f>25.2745</f>
        <v>25.2745</v>
      </c>
      <c r="C2124">
        <f>14.21</f>
        <v>14.21</v>
      </c>
      <c r="D2124">
        <f>177.82</f>
        <v>177.82</v>
      </c>
    </row>
    <row r="2125" spans="1:4" x14ac:dyDescent="0.2">
      <c r="A2125" s="1">
        <v>42159</v>
      </c>
      <c r="B2125">
        <f>24.4495</f>
        <v>24.4495</v>
      </c>
      <c r="C2125">
        <f>14.71</f>
        <v>14.71</v>
      </c>
      <c r="D2125">
        <f>202.54</f>
        <v>202.54</v>
      </c>
    </row>
    <row r="2126" spans="1:4" x14ac:dyDescent="0.2">
      <c r="A2126" s="1">
        <v>42158</v>
      </c>
      <c r="B2126">
        <f>24.0513</f>
        <v>24.051300000000001</v>
      </c>
      <c r="C2126">
        <f>13.66</f>
        <v>13.66</v>
      </c>
      <c r="D2126">
        <f>224.56</f>
        <v>224.56</v>
      </c>
    </row>
    <row r="2127" spans="1:4" x14ac:dyDescent="0.2">
      <c r="A2127" s="1">
        <v>42157</v>
      </c>
      <c r="B2127">
        <f>24.5107</f>
        <v>24.5107</v>
      </c>
      <c r="C2127">
        <f>14.24</f>
        <v>14.24</v>
      </c>
      <c r="D2127">
        <f>231.99</f>
        <v>231.99</v>
      </c>
    </row>
    <row r="2128" spans="1:4" x14ac:dyDescent="0.2">
      <c r="A2128" s="1">
        <v>42156</v>
      </c>
      <c r="B2128">
        <f>24.5648</f>
        <v>24.564800000000002</v>
      </c>
      <c r="C2128">
        <f>13.97</f>
        <v>13.97</v>
      </c>
      <c r="D2128">
        <f>198.95</f>
        <v>198.95</v>
      </c>
    </row>
    <row r="2129" spans="1:4" x14ac:dyDescent="0.2">
      <c r="A2129" s="1">
        <v>42153</v>
      </c>
      <c r="B2129">
        <f>23.5386</f>
        <v>23.538599999999999</v>
      </c>
      <c r="C2129">
        <f>13.84</f>
        <v>13.84</v>
      </c>
      <c r="D2129">
        <f>403.32</f>
        <v>403.32</v>
      </c>
    </row>
    <row r="2130" spans="1:4" x14ac:dyDescent="0.2">
      <c r="A2130" s="1">
        <v>42152</v>
      </c>
      <c r="B2130">
        <f>22.0181</f>
        <v>22.0181</v>
      </c>
      <c r="C2130">
        <f>13.31</f>
        <v>13.31</v>
      </c>
      <c r="D2130">
        <f>262.92</f>
        <v>262.92</v>
      </c>
    </row>
    <row r="2131" spans="1:4" x14ac:dyDescent="0.2">
      <c r="A2131" s="1">
        <v>42151</v>
      </c>
      <c r="B2131">
        <f>20.8183</f>
        <v>20.818300000000001</v>
      </c>
      <c r="C2131">
        <f>13.27</f>
        <v>13.27</v>
      </c>
      <c r="D2131">
        <f>252.83</f>
        <v>252.83</v>
      </c>
    </row>
    <row r="2132" spans="1:4" x14ac:dyDescent="0.2">
      <c r="A2132" s="1">
        <v>42150</v>
      </c>
      <c r="B2132">
        <f>22.5012</f>
        <v>22.501200000000001</v>
      </c>
      <c r="C2132">
        <f>14.06</f>
        <v>14.06</v>
      </c>
      <c r="D2132">
        <f>211.81</f>
        <v>211.81</v>
      </c>
    </row>
    <row r="2133" spans="1:4" x14ac:dyDescent="0.2">
      <c r="A2133" s="1">
        <v>42149</v>
      </c>
      <c r="B2133" t="e">
        <f>NA()</f>
        <v>#N/A</v>
      </c>
      <c r="C2133" t="e">
        <f>NA()</f>
        <v>#N/A</v>
      </c>
      <c r="D2133">
        <f>88.26</f>
        <v>88.26</v>
      </c>
    </row>
    <row r="2134" spans="1:4" x14ac:dyDescent="0.2">
      <c r="A2134" s="1">
        <v>42146</v>
      </c>
      <c r="B2134">
        <f>19.6309</f>
        <v>19.6309</v>
      </c>
      <c r="C2134">
        <f>12.13</f>
        <v>12.13</v>
      </c>
      <c r="D2134">
        <f>172.07</f>
        <v>172.07</v>
      </c>
    </row>
    <row r="2135" spans="1:4" x14ac:dyDescent="0.2">
      <c r="A2135" s="1">
        <v>42145</v>
      </c>
      <c r="B2135">
        <f>19.5296</f>
        <v>19.529599999999999</v>
      </c>
      <c r="C2135">
        <f>12.11</f>
        <v>12.11</v>
      </c>
      <c r="D2135">
        <f>199.84</f>
        <v>199.84</v>
      </c>
    </row>
    <row r="2136" spans="1:4" x14ac:dyDescent="0.2">
      <c r="A2136" s="1">
        <v>42144</v>
      </c>
      <c r="B2136">
        <f>19.5695</f>
        <v>19.569500000000001</v>
      </c>
      <c r="C2136">
        <f>12.88</f>
        <v>12.88</v>
      </c>
      <c r="D2136">
        <f>205.27</f>
        <v>205.27</v>
      </c>
    </row>
    <row r="2137" spans="1:4" x14ac:dyDescent="0.2">
      <c r="A2137" s="1">
        <v>42143</v>
      </c>
      <c r="B2137">
        <f>20.0541</f>
        <v>20.054099999999998</v>
      </c>
      <c r="C2137">
        <f>12.85</f>
        <v>12.85</v>
      </c>
      <c r="D2137">
        <f>175.49</f>
        <v>175.49</v>
      </c>
    </row>
    <row r="2138" spans="1:4" x14ac:dyDescent="0.2">
      <c r="A2138" s="1">
        <v>42142</v>
      </c>
      <c r="B2138">
        <f>21.0066</f>
        <v>21.006599999999999</v>
      </c>
      <c r="C2138">
        <f>12.73</f>
        <v>12.73</v>
      </c>
      <c r="D2138">
        <f>171.82</f>
        <v>171.82</v>
      </c>
    </row>
    <row r="2139" spans="1:4" x14ac:dyDescent="0.2">
      <c r="A2139" s="1">
        <v>42139</v>
      </c>
      <c r="B2139">
        <f>21.5088</f>
        <v>21.508800000000001</v>
      </c>
      <c r="C2139">
        <f>12.38</f>
        <v>12.38</v>
      </c>
      <c r="D2139">
        <f>188.81</f>
        <v>188.81</v>
      </c>
    </row>
    <row r="2140" spans="1:4" x14ac:dyDescent="0.2">
      <c r="A2140" s="1">
        <v>42138</v>
      </c>
      <c r="B2140">
        <f>21.7425</f>
        <v>21.7425</v>
      </c>
      <c r="C2140">
        <f>12.74</f>
        <v>12.74</v>
      </c>
      <c r="D2140">
        <f>198.02</f>
        <v>198.02</v>
      </c>
    </row>
    <row r="2141" spans="1:4" x14ac:dyDescent="0.2">
      <c r="A2141" s="1">
        <v>42137</v>
      </c>
      <c r="B2141">
        <f>23.0546</f>
        <v>23.054600000000001</v>
      </c>
      <c r="C2141">
        <f>13.76</f>
        <v>13.76</v>
      </c>
      <c r="D2141">
        <f>248.8</f>
        <v>248.8</v>
      </c>
    </row>
    <row r="2142" spans="1:4" x14ac:dyDescent="0.2">
      <c r="A2142" s="1">
        <v>42136</v>
      </c>
      <c r="B2142">
        <f>23.2326</f>
        <v>23.232600000000001</v>
      </c>
      <c r="C2142">
        <f>13.86</f>
        <v>13.86</v>
      </c>
      <c r="D2142">
        <f>186.59</f>
        <v>186.59</v>
      </c>
    </row>
    <row r="2143" spans="1:4" x14ac:dyDescent="0.2">
      <c r="A2143" s="1">
        <v>42135</v>
      </c>
      <c r="B2143">
        <f>21.8358</f>
        <v>21.835799999999999</v>
      </c>
      <c r="C2143">
        <f>13.85</f>
        <v>13.85</v>
      </c>
      <c r="D2143">
        <f>161.51</f>
        <v>161.51</v>
      </c>
    </row>
    <row r="2144" spans="1:4" x14ac:dyDescent="0.2">
      <c r="A2144" s="1">
        <v>42132</v>
      </c>
      <c r="B2144">
        <f>21.1296</f>
        <v>21.1296</v>
      </c>
      <c r="C2144">
        <f>12.86</f>
        <v>12.86</v>
      </c>
      <c r="D2144">
        <f>174.39</f>
        <v>174.39</v>
      </c>
    </row>
    <row r="2145" spans="1:4" x14ac:dyDescent="0.2">
      <c r="A2145" s="1">
        <v>42131</v>
      </c>
      <c r="B2145">
        <f>23.7527</f>
        <v>23.752700000000001</v>
      </c>
      <c r="C2145">
        <f>15.13</f>
        <v>15.13</v>
      </c>
      <c r="D2145">
        <f>248.77</f>
        <v>248.77</v>
      </c>
    </row>
    <row r="2146" spans="1:4" x14ac:dyDescent="0.2">
      <c r="A2146" s="1">
        <v>42130</v>
      </c>
      <c r="B2146">
        <f>24.7232</f>
        <v>24.723199999999999</v>
      </c>
      <c r="C2146">
        <f>15.15</f>
        <v>15.15</v>
      </c>
      <c r="D2146">
        <f>241.98</f>
        <v>241.98</v>
      </c>
    </row>
    <row r="2147" spans="1:4" x14ac:dyDescent="0.2">
      <c r="A2147" s="1">
        <v>42129</v>
      </c>
      <c r="B2147">
        <f>25.2236</f>
        <v>25.223600000000001</v>
      </c>
      <c r="C2147">
        <f>14.31</f>
        <v>14.31</v>
      </c>
      <c r="D2147">
        <f>183.85</f>
        <v>183.85</v>
      </c>
    </row>
    <row r="2148" spans="1:4" x14ac:dyDescent="0.2">
      <c r="A2148" s="1">
        <v>42128</v>
      </c>
      <c r="B2148">
        <f>23.4264</f>
        <v>23.426400000000001</v>
      </c>
      <c r="C2148">
        <f>12.85</f>
        <v>12.85</v>
      </c>
      <c r="D2148">
        <f>169.37</f>
        <v>169.37</v>
      </c>
    </row>
    <row r="2149" spans="1:4" x14ac:dyDescent="0.2">
      <c r="A2149" s="1">
        <v>42125</v>
      </c>
      <c r="B2149" t="e">
        <f>NA()</f>
        <v>#N/A</v>
      </c>
      <c r="C2149">
        <f>12.7</f>
        <v>12.7</v>
      </c>
      <c r="D2149" t="e">
        <f>NA()</f>
        <v>#N/A</v>
      </c>
    </row>
    <row r="2150" spans="1:4" x14ac:dyDescent="0.2">
      <c r="A2150" s="1">
        <v>42124</v>
      </c>
      <c r="B2150">
        <f>24.2128</f>
        <v>24.212800000000001</v>
      </c>
      <c r="C2150">
        <f>14.55</f>
        <v>14.55</v>
      </c>
      <c r="D2150">
        <f>211.39</f>
        <v>211.39</v>
      </c>
    </row>
    <row r="2151" spans="1:4" x14ac:dyDescent="0.2">
      <c r="A2151" s="1">
        <v>42123</v>
      </c>
      <c r="B2151">
        <f>24.0466</f>
        <v>24.046600000000002</v>
      </c>
      <c r="C2151">
        <f>13.39</f>
        <v>13.39</v>
      </c>
      <c r="D2151">
        <f>247.39</f>
        <v>247.39</v>
      </c>
    </row>
    <row r="2152" spans="1:4" x14ac:dyDescent="0.2">
      <c r="A2152" s="1">
        <v>42122</v>
      </c>
      <c r="B2152">
        <f>22.1195</f>
        <v>22.119499999999999</v>
      </c>
      <c r="C2152">
        <f>12.41</f>
        <v>12.41</v>
      </c>
      <c r="D2152">
        <f>965.48</f>
        <v>965.48</v>
      </c>
    </row>
    <row r="2153" spans="1:4" x14ac:dyDescent="0.2">
      <c r="A2153" s="1">
        <v>42121</v>
      </c>
      <c r="B2153">
        <f>20.8863</f>
        <v>20.886299999999999</v>
      </c>
      <c r="C2153">
        <f>13.12</f>
        <v>13.12</v>
      </c>
      <c r="D2153" t="e">
        <f>NA()</f>
        <v>#N/A</v>
      </c>
    </row>
    <row r="2154" spans="1:4" x14ac:dyDescent="0.2">
      <c r="A2154" s="1">
        <v>42118</v>
      </c>
      <c r="B2154">
        <f>21.92</f>
        <v>21.92</v>
      </c>
      <c r="C2154">
        <f>12.29</f>
        <v>12.29</v>
      </c>
      <c r="D2154">
        <f>207.55</f>
        <v>207.55</v>
      </c>
    </row>
    <row r="2155" spans="1:4" x14ac:dyDescent="0.2">
      <c r="A2155" s="1">
        <v>42117</v>
      </c>
      <c r="B2155">
        <f>22.5723</f>
        <v>22.572299999999998</v>
      </c>
      <c r="C2155">
        <f>12.48</f>
        <v>12.48</v>
      </c>
      <c r="D2155">
        <f>174.6</f>
        <v>174.6</v>
      </c>
    </row>
    <row r="2156" spans="1:4" x14ac:dyDescent="0.2">
      <c r="A2156" s="1">
        <v>42116</v>
      </c>
      <c r="B2156">
        <f>22.3273</f>
        <v>22.327300000000001</v>
      </c>
      <c r="C2156">
        <f>12.71</f>
        <v>12.71</v>
      </c>
      <c r="D2156">
        <f>170.13</f>
        <v>170.13</v>
      </c>
    </row>
    <row r="2157" spans="1:4" x14ac:dyDescent="0.2">
      <c r="A2157" s="1">
        <v>42115</v>
      </c>
      <c r="B2157">
        <f>22.3991</f>
        <v>22.399100000000001</v>
      </c>
      <c r="C2157">
        <f>13.25</f>
        <v>13.25</v>
      </c>
      <c r="D2157">
        <f>172.75</f>
        <v>172.75</v>
      </c>
    </row>
    <row r="2158" spans="1:4" x14ac:dyDescent="0.2">
      <c r="A2158" s="1">
        <v>42114</v>
      </c>
      <c r="B2158">
        <f>22.3</f>
        <v>22.3</v>
      </c>
      <c r="C2158">
        <f>13.3</f>
        <v>13.3</v>
      </c>
      <c r="D2158">
        <f>142.37</f>
        <v>142.37</v>
      </c>
    </row>
    <row r="2159" spans="1:4" x14ac:dyDescent="0.2">
      <c r="A2159" s="1">
        <v>42111</v>
      </c>
      <c r="B2159">
        <f>25.0553</f>
        <v>25.055299999999999</v>
      </c>
      <c r="C2159">
        <f>13.89</f>
        <v>13.89</v>
      </c>
      <c r="D2159">
        <f>268</f>
        <v>268</v>
      </c>
    </row>
    <row r="2160" spans="1:4" x14ac:dyDescent="0.2">
      <c r="A2160" s="1">
        <v>42110</v>
      </c>
      <c r="B2160">
        <f>20.1086</f>
        <v>20.108599999999999</v>
      </c>
      <c r="C2160">
        <f>12.6</f>
        <v>12.6</v>
      </c>
      <c r="D2160">
        <f>192.69</f>
        <v>192.69</v>
      </c>
    </row>
    <row r="2161" spans="1:4" x14ac:dyDescent="0.2">
      <c r="A2161" s="1">
        <v>42109</v>
      </c>
      <c r="B2161">
        <f>18.2074</f>
        <v>18.2074</v>
      </c>
      <c r="C2161">
        <f>12.84</f>
        <v>12.84</v>
      </c>
      <c r="D2161">
        <f>191.23</f>
        <v>191.23</v>
      </c>
    </row>
    <row r="2162" spans="1:4" x14ac:dyDescent="0.2">
      <c r="A2162" s="1">
        <v>42108</v>
      </c>
      <c r="B2162">
        <f>18.8576</f>
        <v>18.857600000000001</v>
      </c>
      <c r="C2162">
        <f>13.67</f>
        <v>13.67</v>
      </c>
      <c r="D2162">
        <f>183.87</f>
        <v>183.87</v>
      </c>
    </row>
    <row r="2163" spans="1:4" x14ac:dyDescent="0.2">
      <c r="A2163" s="1">
        <v>42107</v>
      </c>
      <c r="B2163">
        <f>17.8638</f>
        <v>17.863800000000001</v>
      </c>
      <c r="C2163">
        <f>13.94</f>
        <v>13.94</v>
      </c>
      <c r="D2163">
        <f>181.62</f>
        <v>181.62</v>
      </c>
    </row>
    <row r="2164" spans="1:4" x14ac:dyDescent="0.2">
      <c r="A2164" s="1">
        <v>42104</v>
      </c>
      <c r="B2164">
        <f>17.5116</f>
        <v>17.511600000000001</v>
      </c>
      <c r="C2164">
        <f>12.58</f>
        <v>12.58</v>
      </c>
      <c r="D2164">
        <f>156.39</f>
        <v>156.38999999999999</v>
      </c>
    </row>
    <row r="2165" spans="1:4" x14ac:dyDescent="0.2">
      <c r="A2165" s="1">
        <v>42103</v>
      </c>
      <c r="B2165">
        <f>18.3136</f>
        <v>18.313600000000001</v>
      </c>
      <c r="C2165">
        <f>13.09</f>
        <v>13.09</v>
      </c>
      <c r="D2165">
        <f>175.15</f>
        <v>175.15</v>
      </c>
    </row>
    <row r="2166" spans="1:4" x14ac:dyDescent="0.2">
      <c r="A2166" s="1">
        <v>42102</v>
      </c>
      <c r="B2166">
        <f>19.4281</f>
        <v>19.428100000000001</v>
      </c>
      <c r="C2166">
        <f>13.98</f>
        <v>13.98</v>
      </c>
      <c r="D2166">
        <f>181.16</f>
        <v>181.16</v>
      </c>
    </row>
    <row r="2167" spans="1:4" x14ac:dyDescent="0.2">
      <c r="A2167" s="1">
        <v>42101</v>
      </c>
      <c r="B2167">
        <f>20.0561</f>
        <v>20.056100000000001</v>
      </c>
      <c r="C2167">
        <f>14.78</f>
        <v>14.78</v>
      </c>
      <c r="D2167">
        <f>172.22</f>
        <v>172.22</v>
      </c>
    </row>
    <row r="2168" spans="1:4" x14ac:dyDescent="0.2">
      <c r="A2168" s="1">
        <v>42100</v>
      </c>
      <c r="B2168" t="e">
        <f>NA()</f>
        <v>#N/A</v>
      </c>
      <c r="C2168">
        <f>14.74</f>
        <v>14.74</v>
      </c>
      <c r="D2168" t="e">
        <f>NA()</f>
        <v>#N/A</v>
      </c>
    </row>
    <row r="2169" spans="1:4" x14ac:dyDescent="0.2">
      <c r="A2169" s="1">
        <v>42096</v>
      </c>
      <c r="B2169">
        <f>20.7203</f>
        <v>20.720300000000002</v>
      </c>
      <c r="C2169">
        <f>14.67</f>
        <v>14.67</v>
      </c>
      <c r="D2169">
        <f>199.91</f>
        <v>199.91</v>
      </c>
    </row>
    <row r="2170" spans="1:4" x14ac:dyDescent="0.2">
      <c r="A2170" s="1">
        <v>42095</v>
      </c>
      <c r="B2170">
        <f>20.9691</f>
        <v>20.969100000000001</v>
      </c>
      <c r="C2170">
        <f>15.11</f>
        <v>15.11</v>
      </c>
      <c r="D2170">
        <f>218.56</f>
        <v>218.56</v>
      </c>
    </row>
    <row r="2171" spans="1:4" x14ac:dyDescent="0.2">
      <c r="A2171" s="1">
        <v>42094</v>
      </c>
      <c r="B2171">
        <f>21.1004</f>
        <v>21.1004</v>
      </c>
      <c r="C2171">
        <f>15.29</f>
        <v>15.29</v>
      </c>
      <c r="D2171">
        <f>246.35</f>
        <v>246.35</v>
      </c>
    </row>
    <row r="2172" spans="1:4" x14ac:dyDescent="0.2">
      <c r="A2172" s="1">
        <v>42093</v>
      </c>
      <c r="B2172">
        <f>19.7608</f>
        <v>19.7608</v>
      </c>
      <c r="C2172">
        <f>14.51</f>
        <v>14.51</v>
      </c>
      <c r="D2172">
        <f>240.7</f>
        <v>240.7</v>
      </c>
    </row>
    <row r="2173" spans="1:4" x14ac:dyDescent="0.2">
      <c r="A2173" s="1">
        <v>42090</v>
      </c>
      <c r="B2173">
        <f>20.4715</f>
        <v>20.471499999999999</v>
      </c>
      <c r="C2173">
        <f>15.07</f>
        <v>15.07</v>
      </c>
      <c r="D2173">
        <f>186.49</f>
        <v>186.49</v>
      </c>
    </row>
    <row r="2174" spans="1:4" x14ac:dyDescent="0.2">
      <c r="A2174" s="1">
        <v>42089</v>
      </c>
      <c r="B2174">
        <f>19.6535</f>
        <v>19.653500000000001</v>
      </c>
      <c r="C2174">
        <f>15.8</f>
        <v>15.8</v>
      </c>
      <c r="D2174">
        <f>201.08</f>
        <v>201.08</v>
      </c>
    </row>
    <row r="2175" spans="1:4" x14ac:dyDescent="0.2">
      <c r="A2175" s="1">
        <v>42088</v>
      </c>
      <c r="B2175">
        <f>19.158</f>
        <v>19.158000000000001</v>
      </c>
      <c r="C2175">
        <f>15.44</f>
        <v>15.44</v>
      </c>
      <c r="D2175">
        <f>229.19</f>
        <v>229.19</v>
      </c>
    </row>
    <row r="2176" spans="1:4" x14ac:dyDescent="0.2">
      <c r="A2176" s="1">
        <v>42087</v>
      </c>
      <c r="B2176">
        <f>17.6675</f>
        <v>17.6675</v>
      </c>
      <c r="C2176">
        <f>13.62</f>
        <v>13.62</v>
      </c>
      <c r="D2176">
        <f>189.39</f>
        <v>189.39</v>
      </c>
    </row>
    <row r="2177" spans="1:4" x14ac:dyDescent="0.2">
      <c r="A2177" s="1">
        <v>42086</v>
      </c>
      <c r="B2177">
        <f>19.8323</f>
        <v>19.8323</v>
      </c>
      <c r="C2177">
        <f>13.41</f>
        <v>13.41</v>
      </c>
      <c r="D2177">
        <f>184.81</f>
        <v>184.81</v>
      </c>
    </row>
    <row r="2178" spans="1:4" x14ac:dyDescent="0.2">
      <c r="A2178" s="1">
        <v>42083</v>
      </c>
      <c r="B2178">
        <f>17.4772</f>
        <v>17.4772</v>
      </c>
      <c r="C2178">
        <f>13.02</f>
        <v>13.02</v>
      </c>
      <c r="D2178">
        <f>471.12</f>
        <v>471.12</v>
      </c>
    </row>
    <row r="2179" spans="1:4" x14ac:dyDescent="0.2">
      <c r="A2179" s="1">
        <v>42082</v>
      </c>
      <c r="B2179">
        <f>18.9138</f>
        <v>18.913799999999998</v>
      </c>
      <c r="C2179">
        <f>14.07</f>
        <v>14.07</v>
      </c>
      <c r="D2179">
        <f>354.93</f>
        <v>354.93</v>
      </c>
    </row>
    <row r="2180" spans="1:4" x14ac:dyDescent="0.2">
      <c r="A2180" s="1">
        <v>42081</v>
      </c>
      <c r="B2180">
        <f>19.6938</f>
        <v>19.6938</v>
      </c>
      <c r="C2180">
        <f>13.97</f>
        <v>13.97</v>
      </c>
      <c r="D2180">
        <f>191.11</f>
        <v>191.11</v>
      </c>
    </row>
    <row r="2181" spans="1:4" x14ac:dyDescent="0.2">
      <c r="A2181" s="1">
        <v>42080</v>
      </c>
      <c r="B2181">
        <f>20.2476</f>
        <v>20.247599999999998</v>
      </c>
      <c r="C2181">
        <f>15.66</f>
        <v>15.66</v>
      </c>
      <c r="D2181">
        <f>214.27</f>
        <v>214.27</v>
      </c>
    </row>
    <row r="2182" spans="1:4" x14ac:dyDescent="0.2">
      <c r="A2182" s="1">
        <v>42079</v>
      </c>
      <c r="B2182">
        <f>19.3889</f>
        <v>19.3889</v>
      </c>
      <c r="C2182">
        <f>15.61</f>
        <v>15.61</v>
      </c>
      <c r="D2182">
        <f>180.05</f>
        <v>180.05</v>
      </c>
    </row>
    <row r="2183" spans="1:4" x14ac:dyDescent="0.2">
      <c r="A2183" s="1">
        <v>42076</v>
      </c>
      <c r="B2183">
        <f>18.8262</f>
        <v>18.8262</v>
      </c>
      <c r="C2183">
        <f>16</f>
        <v>16</v>
      </c>
      <c r="D2183">
        <f>288.59</f>
        <v>288.58999999999997</v>
      </c>
    </row>
    <row r="2184" spans="1:4" x14ac:dyDescent="0.2">
      <c r="A2184" s="1">
        <v>42075</v>
      </c>
      <c r="B2184">
        <f>18.967</f>
        <v>18.966999999999999</v>
      </c>
      <c r="C2184">
        <f>15.42</f>
        <v>15.42</v>
      </c>
      <c r="D2184">
        <f>244</f>
        <v>244</v>
      </c>
    </row>
    <row r="2185" spans="1:4" x14ac:dyDescent="0.2">
      <c r="A2185" s="1">
        <v>42074</v>
      </c>
      <c r="B2185">
        <f>19.4698</f>
        <v>19.469799999999999</v>
      </c>
      <c r="C2185">
        <f>16.87</f>
        <v>16.87</v>
      </c>
      <c r="D2185">
        <f>318.71</f>
        <v>318.70999999999998</v>
      </c>
    </row>
    <row r="2186" spans="1:4" x14ac:dyDescent="0.2">
      <c r="A2186" s="1">
        <v>42073</v>
      </c>
      <c r="B2186">
        <f>20.4652</f>
        <v>20.465199999999999</v>
      </c>
      <c r="C2186">
        <f>16.69</f>
        <v>16.690000000000001</v>
      </c>
      <c r="D2186">
        <f>352.09</f>
        <v>352.09</v>
      </c>
    </row>
    <row r="2187" spans="1:4" x14ac:dyDescent="0.2">
      <c r="A2187" s="1">
        <v>42072</v>
      </c>
      <c r="B2187">
        <f>18.8112</f>
        <v>18.811199999999999</v>
      </c>
      <c r="C2187">
        <f>15.06</f>
        <v>15.06</v>
      </c>
      <c r="D2187">
        <f>201.49</f>
        <v>201.49</v>
      </c>
    </row>
    <row r="2188" spans="1:4" x14ac:dyDescent="0.2">
      <c r="A2188" s="1">
        <v>42069</v>
      </c>
      <c r="B2188">
        <f>18.4149</f>
        <v>18.414899999999999</v>
      </c>
      <c r="C2188">
        <f>15.2</f>
        <v>15.2</v>
      </c>
      <c r="D2188">
        <f>253.84</f>
        <v>253.84</v>
      </c>
    </row>
    <row r="2189" spans="1:4" x14ac:dyDescent="0.2">
      <c r="A2189" s="1">
        <v>42068</v>
      </c>
      <c r="B2189">
        <f>18.1841</f>
        <v>18.184100000000001</v>
      </c>
      <c r="C2189">
        <f>14.04</f>
        <v>14.04</v>
      </c>
      <c r="D2189">
        <f>306.37</f>
        <v>306.37</v>
      </c>
    </row>
    <row r="2190" spans="1:4" x14ac:dyDescent="0.2">
      <c r="A2190" s="1">
        <v>42067</v>
      </c>
      <c r="B2190">
        <f>18.9188</f>
        <v>18.918800000000001</v>
      </c>
      <c r="C2190">
        <f>14.23</f>
        <v>14.23</v>
      </c>
      <c r="D2190">
        <f>215.18</f>
        <v>215.18</v>
      </c>
    </row>
    <row r="2191" spans="1:4" x14ac:dyDescent="0.2">
      <c r="A2191" s="1">
        <v>42066</v>
      </c>
      <c r="B2191">
        <f>19.5843</f>
        <v>19.584299999999999</v>
      </c>
      <c r="C2191">
        <f>13.86</f>
        <v>13.86</v>
      </c>
      <c r="D2191">
        <f>231.43</f>
        <v>231.43</v>
      </c>
    </row>
    <row r="2192" spans="1:4" x14ac:dyDescent="0.2">
      <c r="A2192" s="1">
        <v>42065</v>
      </c>
      <c r="B2192">
        <f>17.7992</f>
        <v>17.799199999999999</v>
      </c>
      <c r="C2192">
        <f>13.04</f>
        <v>13.04</v>
      </c>
      <c r="D2192">
        <f>206.37</f>
        <v>206.37</v>
      </c>
    </row>
    <row r="2193" spans="1:4" x14ac:dyDescent="0.2">
      <c r="A2193" s="1">
        <v>42062</v>
      </c>
      <c r="B2193">
        <f>17.7528</f>
        <v>17.752800000000001</v>
      </c>
      <c r="C2193">
        <f>13.34</f>
        <v>13.34</v>
      </c>
      <c r="D2193">
        <f>226.82</f>
        <v>226.82</v>
      </c>
    </row>
    <row r="2194" spans="1:4" x14ac:dyDescent="0.2">
      <c r="A2194" s="1">
        <v>42061</v>
      </c>
      <c r="B2194">
        <f>17.3519</f>
        <v>17.351900000000001</v>
      </c>
      <c r="C2194">
        <f>13.91</f>
        <v>13.91</v>
      </c>
      <c r="D2194">
        <f>168.89</f>
        <v>168.89</v>
      </c>
    </row>
    <row r="2195" spans="1:4" x14ac:dyDescent="0.2">
      <c r="A2195" s="1">
        <v>42060</v>
      </c>
      <c r="B2195">
        <f>17.8235</f>
        <v>17.823499999999999</v>
      </c>
      <c r="C2195">
        <f>13.84</f>
        <v>13.84</v>
      </c>
      <c r="D2195">
        <f>201.51</f>
        <v>201.51</v>
      </c>
    </row>
    <row r="2196" spans="1:4" x14ac:dyDescent="0.2">
      <c r="A2196" s="1">
        <v>42059</v>
      </c>
      <c r="B2196">
        <f>18.398</f>
        <v>18.398</v>
      </c>
      <c r="C2196">
        <f>13.69</f>
        <v>13.69</v>
      </c>
      <c r="D2196">
        <f>176.91</f>
        <v>176.91</v>
      </c>
    </row>
    <row r="2197" spans="1:4" x14ac:dyDescent="0.2">
      <c r="A2197" s="1">
        <v>42058</v>
      </c>
      <c r="B2197">
        <f>20.625</f>
        <v>20.625</v>
      </c>
      <c r="C2197">
        <f>14.56</f>
        <v>14.56</v>
      </c>
      <c r="D2197">
        <f>164.7</f>
        <v>164.7</v>
      </c>
    </row>
    <row r="2198" spans="1:4" x14ac:dyDescent="0.2">
      <c r="A2198" s="1">
        <v>42055</v>
      </c>
      <c r="B2198">
        <f>24.2039</f>
        <v>24.203900000000001</v>
      </c>
      <c r="C2198">
        <f>14.3</f>
        <v>14.3</v>
      </c>
      <c r="D2198">
        <f>153.17</f>
        <v>153.16999999999999</v>
      </c>
    </row>
    <row r="2199" spans="1:4" x14ac:dyDescent="0.2">
      <c r="A2199" s="1">
        <v>42054</v>
      </c>
      <c r="B2199">
        <f>23.2086</f>
        <v>23.208600000000001</v>
      </c>
      <c r="C2199">
        <f>15.29</f>
        <v>15.29</v>
      </c>
      <c r="D2199">
        <f>177.79</f>
        <v>177.79</v>
      </c>
    </row>
    <row r="2200" spans="1:4" x14ac:dyDescent="0.2">
      <c r="A2200" s="1">
        <v>42053</v>
      </c>
      <c r="B2200">
        <f>23.3392</f>
        <v>23.339200000000002</v>
      </c>
      <c r="C2200">
        <f>15.45</f>
        <v>15.45</v>
      </c>
      <c r="D2200">
        <f>220.77</f>
        <v>220.77</v>
      </c>
    </row>
    <row r="2201" spans="1:4" x14ac:dyDescent="0.2">
      <c r="A2201" s="1">
        <v>42052</v>
      </c>
      <c r="B2201">
        <f>24.9047</f>
        <v>24.904699999999998</v>
      </c>
      <c r="C2201">
        <f>15.8</f>
        <v>15.8</v>
      </c>
      <c r="D2201">
        <f>228.98</f>
        <v>228.98</v>
      </c>
    </row>
    <row r="2202" spans="1:4" x14ac:dyDescent="0.2">
      <c r="A2202" s="1">
        <v>42051</v>
      </c>
      <c r="B2202">
        <f>25.2507</f>
        <v>25.250699999999998</v>
      </c>
      <c r="C2202" t="e">
        <f>NA()</f>
        <v>#N/A</v>
      </c>
      <c r="D2202">
        <f>134.05</f>
        <v>134.05000000000001</v>
      </c>
    </row>
    <row r="2203" spans="1:4" x14ac:dyDescent="0.2">
      <c r="A2203" s="1">
        <v>42048</v>
      </c>
      <c r="B2203">
        <f>24.1849</f>
        <v>24.184899999999999</v>
      </c>
      <c r="C2203">
        <f>14.69</f>
        <v>14.69</v>
      </c>
      <c r="D2203">
        <f>190.94</f>
        <v>190.94</v>
      </c>
    </row>
    <row r="2204" spans="1:4" x14ac:dyDescent="0.2">
      <c r="A2204" s="1">
        <v>42047</v>
      </c>
      <c r="B2204">
        <f>24.3635</f>
        <v>24.363499999999998</v>
      </c>
      <c r="C2204">
        <f>15.34</f>
        <v>15.34</v>
      </c>
      <c r="D2204">
        <f>205.78</f>
        <v>205.78</v>
      </c>
    </row>
    <row r="2205" spans="1:4" x14ac:dyDescent="0.2">
      <c r="A2205" s="1">
        <v>42046</v>
      </c>
      <c r="B2205">
        <f>25.721</f>
        <v>25.721</v>
      </c>
      <c r="C2205">
        <f>16.96</f>
        <v>16.96</v>
      </c>
      <c r="D2205">
        <f>178.27</f>
        <v>178.27</v>
      </c>
    </row>
    <row r="2206" spans="1:4" x14ac:dyDescent="0.2">
      <c r="A2206" s="1">
        <v>42045</v>
      </c>
      <c r="B2206">
        <f>25.1067</f>
        <v>25.1067</v>
      </c>
      <c r="C2206">
        <f>17.23</f>
        <v>17.23</v>
      </c>
      <c r="D2206">
        <f>218.04</f>
        <v>218.04</v>
      </c>
    </row>
    <row r="2207" spans="1:4" x14ac:dyDescent="0.2">
      <c r="A2207" s="1">
        <v>42044</v>
      </c>
      <c r="B2207">
        <f>25.3712</f>
        <v>25.371200000000002</v>
      </c>
      <c r="C2207">
        <f>18.55</f>
        <v>18.55</v>
      </c>
      <c r="D2207">
        <f>161.01</f>
        <v>161.01</v>
      </c>
    </row>
    <row r="2208" spans="1:4" x14ac:dyDescent="0.2">
      <c r="A2208" s="1">
        <v>42041</v>
      </c>
      <c r="B2208">
        <f>21.8332</f>
        <v>21.833200000000001</v>
      </c>
      <c r="C2208">
        <f>17.29</f>
        <v>17.29</v>
      </c>
      <c r="D2208">
        <f>174.53</f>
        <v>174.53</v>
      </c>
    </row>
    <row r="2209" spans="1:4" x14ac:dyDescent="0.2">
      <c r="A2209" s="1">
        <v>42040</v>
      </c>
      <c r="B2209">
        <f>22.2611</f>
        <v>22.261099999999999</v>
      </c>
      <c r="C2209">
        <f>16.85</f>
        <v>16.850000000000001</v>
      </c>
      <c r="D2209">
        <f>189.42</f>
        <v>189.42</v>
      </c>
    </row>
    <row r="2210" spans="1:4" x14ac:dyDescent="0.2">
      <c r="A2210" s="1">
        <v>42039</v>
      </c>
      <c r="B2210">
        <f>22.2736</f>
        <v>22.273599999999998</v>
      </c>
      <c r="C2210">
        <f>18.33</f>
        <v>18.329999999999998</v>
      </c>
      <c r="D2210">
        <f>251.38</f>
        <v>251.38</v>
      </c>
    </row>
    <row r="2211" spans="1:4" x14ac:dyDescent="0.2">
      <c r="A2211" s="1">
        <v>42038</v>
      </c>
      <c r="B2211">
        <f>22.7637</f>
        <v>22.7637</v>
      </c>
      <c r="C2211">
        <f>17.33</f>
        <v>17.329999999999998</v>
      </c>
      <c r="D2211">
        <f>203.93</f>
        <v>203.93</v>
      </c>
    </row>
    <row r="2212" spans="1:4" x14ac:dyDescent="0.2">
      <c r="A2212" s="1">
        <v>42037</v>
      </c>
      <c r="B2212">
        <f>24.3214</f>
        <v>24.321400000000001</v>
      </c>
      <c r="C2212">
        <f>19.43</f>
        <v>19.43</v>
      </c>
      <c r="D2212">
        <f>156.6</f>
        <v>156.6</v>
      </c>
    </row>
    <row r="2213" spans="1:4" x14ac:dyDescent="0.2">
      <c r="A2213" s="1">
        <v>42034</v>
      </c>
      <c r="B2213">
        <f>24.731</f>
        <v>24.731000000000002</v>
      </c>
      <c r="C2213">
        <f>20.97</f>
        <v>20.97</v>
      </c>
      <c r="D2213">
        <f>243.43</f>
        <v>243.43</v>
      </c>
    </row>
    <row r="2214" spans="1:4" x14ac:dyDescent="0.2">
      <c r="A2214" s="1">
        <v>42033</v>
      </c>
      <c r="B2214">
        <f>23.3237</f>
        <v>23.323699999999999</v>
      </c>
      <c r="C2214">
        <f>18.76</f>
        <v>18.760000000000002</v>
      </c>
      <c r="D2214">
        <f>192.86</f>
        <v>192.86</v>
      </c>
    </row>
    <row r="2215" spans="1:4" x14ac:dyDescent="0.2">
      <c r="A2215" s="1">
        <v>42032</v>
      </c>
      <c r="B2215">
        <f>21.8259</f>
        <v>21.825900000000001</v>
      </c>
      <c r="C2215">
        <f>20.44</f>
        <v>20.440000000000001</v>
      </c>
      <c r="D2215">
        <f>182.53</f>
        <v>182.53</v>
      </c>
    </row>
    <row r="2216" spans="1:4" x14ac:dyDescent="0.2">
      <c r="A2216" s="1">
        <v>42031</v>
      </c>
      <c r="B2216">
        <f>22.4298</f>
        <v>22.4298</v>
      </c>
      <c r="C2216">
        <f>17.22</f>
        <v>17.22</v>
      </c>
      <c r="D2216">
        <f>218.96</f>
        <v>218.96</v>
      </c>
    </row>
    <row r="2217" spans="1:4" x14ac:dyDescent="0.2">
      <c r="A2217" s="1">
        <v>42030</v>
      </c>
      <c r="B2217">
        <f>21.3426</f>
        <v>21.342600000000001</v>
      </c>
      <c r="C2217">
        <f>15.52</f>
        <v>15.52</v>
      </c>
      <c r="D2217">
        <f>170.26</f>
        <v>170.26</v>
      </c>
    </row>
    <row r="2218" spans="1:4" x14ac:dyDescent="0.2">
      <c r="A2218" s="1">
        <v>42027</v>
      </c>
      <c r="B2218">
        <f>23.1125</f>
        <v>23.112500000000001</v>
      </c>
      <c r="C2218">
        <f>16.66</f>
        <v>16.66</v>
      </c>
      <c r="D2218">
        <f>177.92</f>
        <v>177.92</v>
      </c>
    </row>
    <row r="2219" spans="1:4" x14ac:dyDescent="0.2">
      <c r="A2219" s="1">
        <v>42026</v>
      </c>
      <c r="B2219">
        <f>22.9441</f>
        <v>22.944099999999999</v>
      </c>
      <c r="C2219">
        <f>16.4</f>
        <v>16.399999999999999</v>
      </c>
      <c r="D2219">
        <f>225.6</f>
        <v>225.6</v>
      </c>
    </row>
    <row r="2220" spans="1:4" x14ac:dyDescent="0.2">
      <c r="A2220" s="1">
        <v>42025</v>
      </c>
      <c r="B2220">
        <f>26.0176</f>
        <v>26.017600000000002</v>
      </c>
      <c r="C2220">
        <f>18.85</f>
        <v>18.850000000000001</v>
      </c>
      <c r="D2220">
        <f>322.51</f>
        <v>322.51</v>
      </c>
    </row>
    <row r="2221" spans="1:4" x14ac:dyDescent="0.2">
      <c r="A2221" s="1">
        <v>42024</v>
      </c>
      <c r="B2221">
        <f>27.0724</f>
        <v>27.072399999999998</v>
      </c>
      <c r="C2221">
        <f>19.89</f>
        <v>19.89</v>
      </c>
      <c r="D2221">
        <f>179.92</f>
        <v>179.92</v>
      </c>
    </row>
    <row r="2222" spans="1:4" x14ac:dyDescent="0.2">
      <c r="A2222" s="1">
        <v>42023</v>
      </c>
      <c r="B2222">
        <f>28.32</f>
        <v>28.32</v>
      </c>
      <c r="C2222" t="e">
        <f>NA()</f>
        <v>#N/A</v>
      </c>
      <c r="D2222">
        <f>155.29</f>
        <v>155.29</v>
      </c>
    </row>
    <row r="2223" spans="1:4" x14ac:dyDescent="0.2">
      <c r="A2223" s="1">
        <v>42020</v>
      </c>
      <c r="B2223">
        <f>29.3287</f>
        <v>29.328700000000001</v>
      </c>
      <c r="C2223">
        <f>20.95</f>
        <v>20.95</v>
      </c>
      <c r="D2223">
        <f>184.34</f>
        <v>184.34</v>
      </c>
    </row>
    <row r="2224" spans="1:4" x14ac:dyDescent="0.2">
      <c r="A2224" s="1">
        <v>42019</v>
      </c>
      <c r="B2224">
        <f>29.026</f>
        <v>29.026</v>
      </c>
      <c r="C2224">
        <f>22.39</f>
        <v>22.39</v>
      </c>
      <c r="D2224">
        <f>221.09</f>
        <v>221.09</v>
      </c>
    </row>
    <row r="2225" spans="1:4" x14ac:dyDescent="0.2">
      <c r="A2225" s="1">
        <v>42018</v>
      </c>
      <c r="B2225">
        <f>29.4845</f>
        <v>29.484500000000001</v>
      </c>
      <c r="C2225">
        <f>21.48</f>
        <v>21.48</v>
      </c>
      <c r="D2225">
        <f>206.26</f>
        <v>206.26</v>
      </c>
    </row>
    <row r="2226" spans="1:4" x14ac:dyDescent="0.2">
      <c r="A2226" s="1">
        <v>42017</v>
      </c>
      <c r="B2226">
        <f>28.5404</f>
        <v>28.540400000000002</v>
      </c>
      <c r="C2226">
        <f>20.56</f>
        <v>20.56</v>
      </c>
      <c r="D2226">
        <f>179.48</f>
        <v>179.48</v>
      </c>
    </row>
    <row r="2227" spans="1:4" x14ac:dyDescent="0.2">
      <c r="A2227" s="1">
        <v>42016</v>
      </c>
      <c r="B2227">
        <f>29.7249</f>
        <v>29.724900000000002</v>
      </c>
      <c r="C2227">
        <f>19.6</f>
        <v>19.600000000000001</v>
      </c>
      <c r="D2227">
        <f>159.38</f>
        <v>159.38</v>
      </c>
    </row>
    <row r="2228" spans="1:4" x14ac:dyDescent="0.2">
      <c r="A2228" s="1">
        <v>42013</v>
      </c>
      <c r="B2228">
        <f>28.7787</f>
        <v>28.778700000000001</v>
      </c>
      <c r="C2228">
        <f>17.55</f>
        <v>17.55</v>
      </c>
      <c r="D2228">
        <f>153.59</f>
        <v>153.59</v>
      </c>
    </row>
    <row r="2229" spans="1:4" x14ac:dyDescent="0.2">
      <c r="A2229" s="1">
        <v>42012</v>
      </c>
      <c r="B2229">
        <f>25.9087</f>
        <v>25.9087</v>
      </c>
      <c r="C2229">
        <f>17.01</f>
        <v>17.010000000000002</v>
      </c>
      <c r="D2229">
        <f>129.37</f>
        <v>129.37</v>
      </c>
    </row>
    <row r="2230" spans="1:4" x14ac:dyDescent="0.2">
      <c r="A2230" s="1">
        <v>42011</v>
      </c>
      <c r="B2230">
        <f>28.1715</f>
        <v>28.171500000000002</v>
      </c>
      <c r="C2230">
        <f>19.31</f>
        <v>19.309999999999999</v>
      </c>
      <c r="D2230">
        <f>113.33</f>
        <v>113.33</v>
      </c>
    </row>
    <row r="2231" spans="1:4" x14ac:dyDescent="0.2">
      <c r="A2231" s="1">
        <v>42010</v>
      </c>
      <c r="B2231">
        <f>28.8317</f>
        <v>28.831700000000001</v>
      </c>
      <c r="C2231">
        <f>21.12</f>
        <v>21.12</v>
      </c>
      <c r="D2231">
        <f>133.94</f>
        <v>133.94</v>
      </c>
    </row>
    <row r="2232" spans="1:4" x14ac:dyDescent="0.2">
      <c r="A2232" s="1">
        <v>42009</v>
      </c>
      <c r="B2232">
        <f>29.6236</f>
        <v>29.6236</v>
      </c>
      <c r="C2232">
        <f>19.92</f>
        <v>19.920000000000002</v>
      </c>
      <c r="D2232">
        <f>126.98</f>
        <v>126.98</v>
      </c>
    </row>
    <row r="2233" spans="1:4" x14ac:dyDescent="0.2">
      <c r="A2233" s="1">
        <v>42006</v>
      </c>
      <c r="B2233">
        <f>26.2531</f>
        <v>26.2531</v>
      </c>
      <c r="C2233">
        <f>17.79</f>
        <v>17.79</v>
      </c>
      <c r="D2233">
        <f>47.18</f>
        <v>47.18</v>
      </c>
    </row>
    <row r="2234" spans="1:4" x14ac:dyDescent="0.2">
      <c r="A2234" s="1">
        <v>42004</v>
      </c>
      <c r="B2234" t="e">
        <f>NA()</f>
        <v>#N/A</v>
      </c>
      <c r="C2234">
        <f>19.2</f>
        <v>19.2</v>
      </c>
      <c r="D2234">
        <f>37.76</f>
        <v>37.76</v>
      </c>
    </row>
    <row r="2235" spans="1:4" x14ac:dyDescent="0.2">
      <c r="A2235" s="1">
        <v>42003</v>
      </c>
      <c r="B2235">
        <f>26.1876</f>
        <v>26.1876</v>
      </c>
      <c r="C2235">
        <f>15.92</f>
        <v>15.92</v>
      </c>
      <c r="D2235">
        <f>65.24</f>
        <v>65.239999999999995</v>
      </c>
    </row>
    <row r="2236" spans="1:4" x14ac:dyDescent="0.2">
      <c r="A2236" s="1">
        <v>42002</v>
      </c>
      <c r="B2236">
        <f>24.9354</f>
        <v>24.935400000000001</v>
      </c>
      <c r="C2236">
        <f>15.06</f>
        <v>15.06</v>
      </c>
      <c r="D2236">
        <f>62.74</f>
        <v>62.74</v>
      </c>
    </row>
    <row r="2237" spans="1:4" x14ac:dyDescent="0.2">
      <c r="A2237" s="1">
        <v>41999</v>
      </c>
      <c r="B2237" t="e">
        <f>NA()</f>
        <v>#N/A</v>
      </c>
      <c r="C2237">
        <f>14.5</f>
        <v>14.5</v>
      </c>
      <c r="D2237" t="e">
        <f>NA()</f>
        <v>#N/A</v>
      </c>
    </row>
    <row r="2238" spans="1:4" x14ac:dyDescent="0.2">
      <c r="A2238" s="1">
        <v>41997</v>
      </c>
      <c r="B2238" t="e">
        <f>NA()</f>
        <v>#N/A</v>
      </c>
      <c r="C2238">
        <f>14.37</f>
        <v>14.37</v>
      </c>
      <c r="D2238">
        <f>21.7</f>
        <v>21.7</v>
      </c>
    </row>
    <row r="2239" spans="1:4" x14ac:dyDescent="0.2">
      <c r="A2239" s="1">
        <v>41996</v>
      </c>
      <c r="B2239">
        <f>22.0804</f>
        <v>22.080400000000001</v>
      </c>
      <c r="C2239">
        <f>14.8</f>
        <v>14.8</v>
      </c>
      <c r="D2239">
        <f>87.88</f>
        <v>87.88</v>
      </c>
    </row>
    <row r="2240" spans="1:4" x14ac:dyDescent="0.2">
      <c r="A2240" s="1">
        <v>41995</v>
      </c>
      <c r="B2240">
        <f>22.9656</f>
        <v>22.965599999999998</v>
      </c>
      <c r="C2240">
        <f>15.25</f>
        <v>15.25</v>
      </c>
      <c r="D2240">
        <f>113.93</f>
        <v>113.93</v>
      </c>
    </row>
    <row r="2241" spans="1:4" x14ac:dyDescent="0.2">
      <c r="A2241" s="1">
        <v>41992</v>
      </c>
      <c r="B2241">
        <f>23.6176</f>
        <v>23.617599999999999</v>
      </c>
      <c r="C2241">
        <f>16.49</f>
        <v>16.489999999999998</v>
      </c>
      <c r="D2241">
        <f>264.63</f>
        <v>264.63</v>
      </c>
    </row>
    <row r="2242" spans="1:4" x14ac:dyDescent="0.2">
      <c r="A2242" s="1">
        <v>41991</v>
      </c>
      <c r="B2242">
        <f>22.5806</f>
        <v>22.5806</v>
      </c>
      <c r="C2242">
        <f>16.81</f>
        <v>16.809999999999999</v>
      </c>
      <c r="D2242">
        <f>525.1</f>
        <v>525.1</v>
      </c>
    </row>
    <row r="2243" spans="1:4" x14ac:dyDescent="0.2">
      <c r="A2243" s="1">
        <v>41990</v>
      </c>
      <c r="B2243">
        <f>27.228</f>
        <v>27.228000000000002</v>
      </c>
      <c r="C2243">
        <f>19.44</f>
        <v>19.440000000000001</v>
      </c>
      <c r="D2243">
        <f>285.57</f>
        <v>285.57</v>
      </c>
    </row>
    <row r="2244" spans="1:4" x14ac:dyDescent="0.2">
      <c r="A2244" s="1">
        <v>41989</v>
      </c>
      <c r="B2244">
        <f>25.6614</f>
        <v>25.6614</v>
      </c>
      <c r="C2244">
        <f>23.57</f>
        <v>23.57</v>
      </c>
      <c r="D2244" t="e">
        <f>NA()</f>
        <v>#N/A</v>
      </c>
    </row>
    <row r="2245" spans="1:4" x14ac:dyDescent="0.2">
      <c r="A2245" s="1">
        <v>41988</v>
      </c>
      <c r="B2245">
        <f>29.5265</f>
        <v>29.526499999999999</v>
      </c>
      <c r="C2245">
        <f>20.42</f>
        <v>20.420000000000002</v>
      </c>
      <c r="D2245">
        <f>167.91</f>
        <v>167.91</v>
      </c>
    </row>
    <row r="2246" spans="1:4" x14ac:dyDescent="0.2">
      <c r="A2246" s="1">
        <v>41985</v>
      </c>
      <c r="B2246">
        <f>26.4981</f>
        <v>26.498100000000001</v>
      </c>
      <c r="C2246">
        <f>21.08</f>
        <v>21.08</v>
      </c>
      <c r="D2246">
        <f>218.24</f>
        <v>218.24</v>
      </c>
    </row>
    <row r="2247" spans="1:4" x14ac:dyDescent="0.2">
      <c r="A2247" s="1">
        <v>41984</v>
      </c>
      <c r="B2247">
        <f>20.8103</f>
        <v>20.810300000000002</v>
      </c>
      <c r="C2247">
        <f>20.08</f>
        <v>20.079999999999998</v>
      </c>
      <c r="D2247">
        <f>227.35</f>
        <v>227.35</v>
      </c>
    </row>
    <row r="2248" spans="1:4" x14ac:dyDescent="0.2">
      <c r="A2248" s="1">
        <v>41983</v>
      </c>
      <c r="B2248">
        <f>21.7342</f>
        <v>21.734200000000001</v>
      </c>
      <c r="C2248">
        <f>18.53</f>
        <v>18.53</v>
      </c>
      <c r="D2248">
        <f>233.87</f>
        <v>233.87</v>
      </c>
    </row>
    <row r="2249" spans="1:4" x14ac:dyDescent="0.2">
      <c r="A2249" s="1">
        <v>41982</v>
      </c>
      <c r="B2249">
        <f>21.4418</f>
        <v>21.441800000000001</v>
      </c>
      <c r="C2249">
        <f>14.89</f>
        <v>14.89</v>
      </c>
      <c r="D2249">
        <f>227.01</f>
        <v>227.01</v>
      </c>
    </row>
    <row r="2250" spans="1:4" x14ac:dyDescent="0.2">
      <c r="A2250" s="1">
        <v>41981</v>
      </c>
      <c r="B2250">
        <f>16.6347</f>
        <v>16.634699999999999</v>
      </c>
      <c r="C2250">
        <f>14.21</f>
        <v>14.21</v>
      </c>
      <c r="D2250">
        <f>181.11</f>
        <v>181.11</v>
      </c>
    </row>
    <row r="2251" spans="1:4" x14ac:dyDescent="0.2">
      <c r="A2251" s="1">
        <v>41978</v>
      </c>
      <c r="B2251">
        <f>16.3307</f>
        <v>16.3307</v>
      </c>
      <c r="C2251">
        <f>11.82</f>
        <v>11.82</v>
      </c>
      <c r="D2251">
        <f>236.79</f>
        <v>236.79</v>
      </c>
    </row>
    <row r="2252" spans="1:4" x14ac:dyDescent="0.2">
      <c r="A2252" s="1">
        <v>41977</v>
      </c>
      <c r="B2252">
        <f>18.1098</f>
        <v>18.1098</v>
      </c>
      <c r="C2252">
        <f>12.38</f>
        <v>12.38</v>
      </c>
      <c r="D2252">
        <f>207.42</f>
        <v>207.42</v>
      </c>
    </row>
    <row r="2253" spans="1:4" x14ac:dyDescent="0.2">
      <c r="A2253" s="1">
        <v>41976</v>
      </c>
      <c r="B2253">
        <f>18.7911</f>
        <v>18.7911</v>
      </c>
      <c r="C2253">
        <f>12.47</f>
        <v>12.47</v>
      </c>
      <c r="D2253">
        <f>190.51</f>
        <v>190.51</v>
      </c>
    </row>
    <row r="2254" spans="1:4" x14ac:dyDescent="0.2">
      <c r="A2254" s="1">
        <v>41975</v>
      </c>
      <c r="B2254">
        <f>19.1189</f>
        <v>19.1189</v>
      </c>
      <c r="C2254">
        <f>12.85</f>
        <v>12.85</v>
      </c>
      <c r="D2254">
        <f>199.99</f>
        <v>199.99</v>
      </c>
    </row>
    <row r="2255" spans="1:4" x14ac:dyDescent="0.2">
      <c r="A2255" s="1">
        <v>41974</v>
      </c>
      <c r="B2255">
        <f>19.3406</f>
        <v>19.340599999999998</v>
      </c>
      <c r="C2255">
        <f>14.29</f>
        <v>14.29</v>
      </c>
      <c r="D2255">
        <f>255.94</f>
        <v>255.94</v>
      </c>
    </row>
    <row r="2256" spans="1:4" x14ac:dyDescent="0.2">
      <c r="A2256" s="1">
        <v>41971</v>
      </c>
      <c r="B2256">
        <f>18.0253</f>
        <v>18.025300000000001</v>
      </c>
      <c r="C2256">
        <f>13.33</f>
        <v>13.33</v>
      </c>
      <c r="D2256">
        <f>198.07</f>
        <v>198.07</v>
      </c>
    </row>
    <row r="2257" spans="1:4" x14ac:dyDescent="0.2">
      <c r="A2257" s="1">
        <v>41970</v>
      </c>
      <c r="B2257">
        <f>18.156</f>
        <v>18.155999999999999</v>
      </c>
      <c r="C2257" t="e">
        <f>NA()</f>
        <v>#N/A</v>
      </c>
      <c r="D2257">
        <f>165.23</f>
        <v>165.23</v>
      </c>
    </row>
    <row r="2258" spans="1:4" x14ac:dyDescent="0.2">
      <c r="A2258" s="1">
        <v>41969</v>
      </c>
      <c r="B2258">
        <f>18.2837</f>
        <v>18.2837</v>
      </c>
      <c r="C2258">
        <f>12.07</f>
        <v>12.07</v>
      </c>
      <c r="D2258">
        <f>200.24</f>
        <v>200.24</v>
      </c>
    </row>
    <row r="2259" spans="1:4" x14ac:dyDescent="0.2">
      <c r="A2259" s="1">
        <v>41968</v>
      </c>
      <c r="B2259">
        <f>19.1485</f>
        <v>19.148499999999999</v>
      </c>
      <c r="C2259">
        <f>12.25</f>
        <v>12.25</v>
      </c>
      <c r="D2259">
        <f>450.63</f>
        <v>450.63</v>
      </c>
    </row>
    <row r="2260" spans="1:4" x14ac:dyDescent="0.2">
      <c r="A2260" s="1">
        <v>41967</v>
      </c>
      <c r="B2260">
        <f>19.3169</f>
        <v>19.3169</v>
      </c>
      <c r="C2260">
        <f>12.62</f>
        <v>12.62</v>
      </c>
      <c r="D2260">
        <f>185.1</f>
        <v>185.1</v>
      </c>
    </row>
    <row r="2261" spans="1:4" x14ac:dyDescent="0.2">
      <c r="A2261" s="1">
        <v>41964</v>
      </c>
      <c r="B2261">
        <f>18.9133</f>
        <v>18.9133</v>
      </c>
      <c r="C2261">
        <f>12.9</f>
        <v>12.9</v>
      </c>
      <c r="D2261">
        <f>215.76</f>
        <v>215.76</v>
      </c>
    </row>
    <row r="2262" spans="1:4" x14ac:dyDescent="0.2">
      <c r="A2262" s="1">
        <v>41963</v>
      </c>
      <c r="B2262">
        <f>19.9065</f>
        <v>19.906500000000001</v>
      </c>
      <c r="C2262">
        <f>13.58</f>
        <v>13.58</v>
      </c>
      <c r="D2262">
        <f>219.43</f>
        <v>219.43</v>
      </c>
    </row>
    <row r="2263" spans="1:4" x14ac:dyDescent="0.2">
      <c r="A2263" s="1">
        <v>41962</v>
      </c>
      <c r="B2263">
        <f>19.5753</f>
        <v>19.575299999999999</v>
      </c>
      <c r="C2263">
        <f>13.96</f>
        <v>13.96</v>
      </c>
      <c r="D2263">
        <f>180.2</f>
        <v>180.2</v>
      </c>
    </row>
    <row r="2264" spans="1:4" x14ac:dyDescent="0.2">
      <c r="A2264" s="1">
        <v>41961</v>
      </c>
      <c r="B2264">
        <f>18.9696</f>
        <v>18.9696</v>
      </c>
      <c r="C2264">
        <f>13.86</f>
        <v>13.86</v>
      </c>
      <c r="D2264">
        <f>228.1</f>
        <v>228.1</v>
      </c>
    </row>
    <row r="2265" spans="1:4" x14ac:dyDescent="0.2">
      <c r="A2265" s="1">
        <v>41960</v>
      </c>
      <c r="B2265">
        <f>19.416</f>
        <v>19.416</v>
      </c>
      <c r="C2265">
        <f>13.99</f>
        <v>13.99</v>
      </c>
      <c r="D2265">
        <f>156.51</f>
        <v>156.51</v>
      </c>
    </row>
    <row r="2266" spans="1:4" x14ac:dyDescent="0.2">
      <c r="A2266" s="1">
        <v>41957</v>
      </c>
      <c r="B2266">
        <f>19.5586</f>
        <v>19.558599999999998</v>
      </c>
      <c r="C2266">
        <f>13.31</f>
        <v>13.31</v>
      </c>
      <c r="D2266">
        <f>204.19</f>
        <v>204.19</v>
      </c>
    </row>
    <row r="2267" spans="1:4" x14ac:dyDescent="0.2">
      <c r="A2267" s="1">
        <v>41956</v>
      </c>
      <c r="B2267">
        <f>20.0406</f>
        <v>20.040600000000001</v>
      </c>
      <c r="C2267">
        <f>13.79</f>
        <v>13.79</v>
      </c>
      <c r="D2267">
        <f>168.67</f>
        <v>168.67</v>
      </c>
    </row>
    <row r="2268" spans="1:4" x14ac:dyDescent="0.2">
      <c r="A2268" s="1">
        <v>41955</v>
      </c>
      <c r="B2268">
        <f>20.6145</f>
        <v>20.6145</v>
      </c>
      <c r="C2268">
        <f>13.02</f>
        <v>13.02</v>
      </c>
      <c r="D2268">
        <f>211.84</f>
        <v>211.84</v>
      </c>
    </row>
    <row r="2269" spans="1:4" x14ac:dyDescent="0.2">
      <c r="A2269" s="1">
        <v>41954</v>
      </c>
      <c r="B2269">
        <f>18.2589</f>
        <v>18.258900000000001</v>
      </c>
      <c r="C2269">
        <f>12.92</f>
        <v>12.92</v>
      </c>
      <c r="D2269">
        <f>191.96</f>
        <v>191.96</v>
      </c>
    </row>
    <row r="2270" spans="1:4" x14ac:dyDescent="0.2">
      <c r="A2270" s="1">
        <v>41953</v>
      </c>
      <c r="B2270">
        <f>19.1799</f>
        <v>19.1799</v>
      </c>
      <c r="C2270">
        <f>12.67</f>
        <v>12.67</v>
      </c>
      <c r="D2270">
        <f>208.3</f>
        <v>208.3</v>
      </c>
    </row>
    <row r="2271" spans="1:4" x14ac:dyDescent="0.2">
      <c r="A2271" s="1">
        <v>41950</v>
      </c>
      <c r="B2271">
        <f>21.1162</f>
        <v>21.116199999999999</v>
      </c>
      <c r="C2271">
        <f>13.12</f>
        <v>13.12</v>
      </c>
      <c r="D2271">
        <f>207.63</f>
        <v>207.63</v>
      </c>
    </row>
    <row r="2272" spans="1:4" x14ac:dyDescent="0.2">
      <c r="A2272" s="1">
        <v>41949</v>
      </c>
      <c r="B2272">
        <f>20.7181</f>
        <v>20.7181</v>
      </c>
      <c r="C2272">
        <f>13.67</f>
        <v>13.67</v>
      </c>
      <c r="D2272">
        <f>173.07</f>
        <v>173.07</v>
      </c>
    </row>
    <row r="2273" spans="1:4" x14ac:dyDescent="0.2">
      <c r="A2273" s="1">
        <v>41948</v>
      </c>
      <c r="B2273">
        <f>21.9455</f>
        <v>21.945499999999999</v>
      </c>
      <c r="C2273">
        <f>14.17</f>
        <v>14.17</v>
      </c>
      <c r="D2273">
        <f>180.32</f>
        <v>180.32</v>
      </c>
    </row>
    <row r="2274" spans="1:4" x14ac:dyDescent="0.2">
      <c r="A2274" s="1">
        <v>41947</v>
      </c>
      <c r="B2274">
        <f>22.8946</f>
        <v>22.894600000000001</v>
      </c>
      <c r="C2274">
        <f>14.89</f>
        <v>14.89</v>
      </c>
      <c r="D2274">
        <f>179.92</f>
        <v>179.92</v>
      </c>
    </row>
    <row r="2275" spans="1:4" x14ac:dyDescent="0.2">
      <c r="A2275" s="1">
        <v>41946</v>
      </c>
      <c r="B2275">
        <f>21.364</f>
        <v>21.364000000000001</v>
      </c>
      <c r="C2275">
        <f>14.73</f>
        <v>14.73</v>
      </c>
      <c r="D2275">
        <f>166.85</f>
        <v>166.85</v>
      </c>
    </row>
    <row r="2276" spans="1:4" x14ac:dyDescent="0.2">
      <c r="A2276" s="1">
        <v>41943</v>
      </c>
      <c r="B2276">
        <f>20.3172</f>
        <v>20.3172</v>
      </c>
      <c r="C2276">
        <f>14.03</f>
        <v>14.03</v>
      </c>
      <c r="D2276">
        <f>235.07</f>
        <v>235.07</v>
      </c>
    </row>
    <row r="2277" spans="1:4" x14ac:dyDescent="0.2">
      <c r="A2277" s="1">
        <v>41942</v>
      </c>
      <c r="B2277">
        <f>20.8846</f>
        <v>20.884599999999999</v>
      </c>
      <c r="C2277">
        <f>14.52</f>
        <v>14.52</v>
      </c>
      <c r="D2277">
        <f>204.19</f>
        <v>204.19</v>
      </c>
    </row>
    <row r="2278" spans="1:4" x14ac:dyDescent="0.2">
      <c r="A2278" s="1">
        <v>41941</v>
      </c>
      <c r="B2278">
        <f>20.7403</f>
        <v>20.740300000000001</v>
      </c>
      <c r="C2278">
        <f>15.15</f>
        <v>15.15</v>
      </c>
      <c r="D2278">
        <f>198.53</f>
        <v>198.53</v>
      </c>
    </row>
    <row r="2279" spans="1:4" x14ac:dyDescent="0.2">
      <c r="A2279" s="1">
        <v>41940</v>
      </c>
      <c r="B2279">
        <f>20.4123</f>
        <v>20.412299999999998</v>
      </c>
      <c r="C2279">
        <f>14.39</f>
        <v>14.39</v>
      </c>
      <c r="D2279">
        <f>178.15</f>
        <v>178.15</v>
      </c>
    </row>
    <row r="2280" spans="1:4" x14ac:dyDescent="0.2">
      <c r="A2280" s="1">
        <v>41939</v>
      </c>
      <c r="B2280">
        <f>23.0205</f>
        <v>23.020499999999998</v>
      </c>
      <c r="C2280">
        <f>16.04</f>
        <v>16.04</v>
      </c>
      <c r="D2280">
        <f>149.62</f>
        <v>149.62</v>
      </c>
    </row>
    <row r="2281" spans="1:4" x14ac:dyDescent="0.2">
      <c r="A2281" s="1">
        <v>41936</v>
      </c>
      <c r="B2281">
        <f>21.3229</f>
        <v>21.322900000000001</v>
      </c>
      <c r="C2281">
        <f>16.11</f>
        <v>16.11</v>
      </c>
      <c r="D2281">
        <f>156.18</f>
        <v>156.18</v>
      </c>
    </row>
    <row r="2282" spans="1:4" x14ac:dyDescent="0.2">
      <c r="A2282" s="1">
        <v>41935</v>
      </c>
      <c r="B2282">
        <f>20.8792</f>
        <v>20.879200000000001</v>
      </c>
      <c r="C2282">
        <f>16.53</f>
        <v>16.53</v>
      </c>
      <c r="D2282">
        <f>162.07</f>
        <v>162.07</v>
      </c>
    </row>
    <row r="2283" spans="1:4" x14ac:dyDescent="0.2">
      <c r="A2283" s="1">
        <v>41934</v>
      </c>
      <c r="B2283">
        <f>21.6951</f>
        <v>21.6951</v>
      </c>
      <c r="C2283">
        <f>17.87</f>
        <v>17.87</v>
      </c>
      <c r="D2283">
        <f>178.72</f>
        <v>178.72</v>
      </c>
    </row>
    <row r="2284" spans="1:4" x14ac:dyDescent="0.2">
      <c r="A2284" s="1">
        <v>41933</v>
      </c>
      <c r="B2284">
        <f>22.2422</f>
        <v>22.2422</v>
      </c>
      <c r="C2284">
        <f>16.08</f>
        <v>16.079999999999998</v>
      </c>
      <c r="D2284">
        <f>204.34</f>
        <v>204.34</v>
      </c>
    </row>
    <row r="2285" spans="1:4" x14ac:dyDescent="0.2">
      <c r="A2285" s="1">
        <v>41932</v>
      </c>
      <c r="B2285">
        <f>25.1853</f>
        <v>25.185300000000002</v>
      </c>
      <c r="C2285">
        <f>18.57</f>
        <v>18.57</v>
      </c>
      <c r="D2285">
        <f>162.68</f>
        <v>162.68</v>
      </c>
    </row>
    <row r="2286" spans="1:4" x14ac:dyDescent="0.2">
      <c r="A2286" s="1">
        <v>41929</v>
      </c>
      <c r="B2286">
        <f>25.3527</f>
        <v>25.352699999999999</v>
      </c>
      <c r="C2286">
        <f>21.99</f>
        <v>21.99</v>
      </c>
      <c r="D2286">
        <f>281.46</f>
        <v>281.45999999999998</v>
      </c>
    </row>
    <row r="2287" spans="1:4" x14ac:dyDescent="0.2">
      <c r="A2287" s="1">
        <v>41928</v>
      </c>
      <c r="B2287">
        <f>31.5233</f>
        <v>31.523299999999999</v>
      </c>
      <c r="C2287">
        <f>25.2</f>
        <v>25.2</v>
      </c>
      <c r="D2287">
        <f>252.71</f>
        <v>252.71</v>
      </c>
    </row>
    <row r="2288" spans="1:4" x14ac:dyDescent="0.2">
      <c r="A2288" s="1">
        <v>41927</v>
      </c>
      <c r="B2288">
        <f>28.7576</f>
        <v>28.7576</v>
      </c>
      <c r="C2288">
        <f>26.25</f>
        <v>26.25</v>
      </c>
      <c r="D2288">
        <f>299.53</f>
        <v>299.52999999999997</v>
      </c>
    </row>
    <row r="2289" spans="1:4" x14ac:dyDescent="0.2">
      <c r="A2289" s="1">
        <v>41926</v>
      </c>
      <c r="B2289">
        <f>23.3811</f>
        <v>23.3811</v>
      </c>
      <c r="C2289">
        <f>22.79</f>
        <v>22.79</v>
      </c>
      <c r="D2289">
        <f>183.64</f>
        <v>183.64</v>
      </c>
    </row>
    <row r="2290" spans="1:4" x14ac:dyDescent="0.2">
      <c r="A2290" s="1">
        <v>41925</v>
      </c>
      <c r="B2290">
        <f>23.4966</f>
        <v>23.496600000000001</v>
      </c>
      <c r="C2290">
        <f>24.64</f>
        <v>24.64</v>
      </c>
      <c r="D2290">
        <f>182.55</f>
        <v>182.55</v>
      </c>
    </row>
    <row r="2291" spans="1:4" x14ac:dyDescent="0.2">
      <c r="A2291" s="1">
        <v>41922</v>
      </c>
      <c r="B2291">
        <f>23.1168</f>
        <v>23.116800000000001</v>
      </c>
      <c r="C2291">
        <f>21.24</f>
        <v>21.24</v>
      </c>
      <c r="D2291">
        <f>195.8</f>
        <v>195.8</v>
      </c>
    </row>
    <row r="2292" spans="1:4" x14ac:dyDescent="0.2">
      <c r="A2292" s="1">
        <v>41921</v>
      </c>
      <c r="B2292">
        <f>20.5162</f>
        <v>20.516200000000001</v>
      </c>
      <c r="C2292">
        <f>18.76</f>
        <v>18.760000000000002</v>
      </c>
      <c r="D2292">
        <f>201.9</f>
        <v>201.9</v>
      </c>
    </row>
    <row r="2293" spans="1:4" x14ac:dyDescent="0.2">
      <c r="A2293" s="1">
        <v>41920</v>
      </c>
      <c r="B2293">
        <f>20.9036</f>
        <v>20.903600000000001</v>
      </c>
      <c r="C2293">
        <f>15.11</f>
        <v>15.11</v>
      </c>
      <c r="D2293">
        <f>208.52</f>
        <v>208.52</v>
      </c>
    </row>
    <row r="2294" spans="1:4" x14ac:dyDescent="0.2">
      <c r="A2294" s="1">
        <v>41919</v>
      </c>
      <c r="B2294">
        <f>21.0076</f>
        <v>21.0076</v>
      </c>
      <c r="C2294">
        <f>17.2</f>
        <v>17.2</v>
      </c>
      <c r="D2294">
        <f>160.97</f>
        <v>160.97</v>
      </c>
    </row>
    <row r="2295" spans="1:4" x14ac:dyDescent="0.2">
      <c r="A2295" s="1">
        <v>41918</v>
      </c>
      <c r="B2295">
        <f>19.7614</f>
        <v>19.761399999999998</v>
      </c>
      <c r="C2295">
        <f>15.46</f>
        <v>15.46</v>
      </c>
      <c r="D2295">
        <f>164.27</f>
        <v>164.27</v>
      </c>
    </row>
    <row r="2296" spans="1:4" x14ac:dyDescent="0.2">
      <c r="A2296" s="1">
        <v>41915</v>
      </c>
      <c r="B2296">
        <f>19.695</f>
        <v>19.695</v>
      </c>
      <c r="C2296">
        <f>14.55</f>
        <v>14.55</v>
      </c>
      <c r="D2296">
        <f>175.87</f>
        <v>175.87</v>
      </c>
    </row>
    <row r="2297" spans="1:4" x14ac:dyDescent="0.2">
      <c r="A2297" s="1">
        <v>41914</v>
      </c>
      <c r="B2297">
        <f>21.0788</f>
        <v>21.078800000000001</v>
      </c>
      <c r="C2297">
        <f>16.16</f>
        <v>16.16</v>
      </c>
      <c r="D2297">
        <f>171.22</f>
        <v>171.22</v>
      </c>
    </row>
    <row r="2298" spans="1:4" x14ac:dyDescent="0.2">
      <c r="A2298" s="1">
        <v>41913</v>
      </c>
      <c r="B2298">
        <f>19.014</f>
        <v>19.013999999999999</v>
      </c>
      <c r="C2298">
        <f>16.71</f>
        <v>16.71</v>
      </c>
      <c r="D2298">
        <f>200.7</f>
        <v>200.7</v>
      </c>
    </row>
    <row r="2299" spans="1:4" x14ac:dyDescent="0.2">
      <c r="A2299" s="1">
        <v>41912</v>
      </c>
      <c r="B2299">
        <f>17.8514</f>
        <v>17.851400000000002</v>
      </c>
      <c r="C2299">
        <f>16.31</f>
        <v>16.309999999999999</v>
      </c>
      <c r="D2299">
        <f>216.16</f>
        <v>216.16</v>
      </c>
    </row>
    <row r="2300" spans="1:4" x14ac:dyDescent="0.2">
      <c r="A2300" s="1">
        <v>41911</v>
      </c>
      <c r="B2300">
        <f>18.7975</f>
        <v>18.797499999999999</v>
      </c>
      <c r="C2300">
        <f>15.98</f>
        <v>15.98</v>
      </c>
      <c r="D2300">
        <f>149.28</f>
        <v>149.28</v>
      </c>
    </row>
    <row r="2301" spans="1:4" x14ac:dyDescent="0.2">
      <c r="A2301" s="1">
        <v>41908</v>
      </c>
      <c r="B2301">
        <f>17.6012</f>
        <v>17.601199999999999</v>
      </c>
      <c r="C2301">
        <f>14.85</f>
        <v>14.85</v>
      </c>
      <c r="D2301">
        <f>176.65</f>
        <v>176.65</v>
      </c>
    </row>
    <row r="2302" spans="1:4" x14ac:dyDescent="0.2">
      <c r="A2302" s="1">
        <v>41907</v>
      </c>
      <c r="B2302">
        <f>17.5658</f>
        <v>17.565799999999999</v>
      </c>
      <c r="C2302">
        <f>15.64</f>
        <v>15.64</v>
      </c>
      <c r="D2302">
        <f>181.82</f>
        <v>181.82</v>
      </c>
    </row>
    <row r="2303" spans="1:4" x14ac:dyDescent="0.2">
      <c r="A2303" s="1">
        <v>41906</v>
      </c>
      <c r="B2303">
        <f>15.9504</f>
        <v>15.9504</v>
      </c>
      <c r="C2303">
        <f>13.27</f>
        <v>13.27</v>
      </c>
      <c r="D2303" t="e">
        <f>NA()</f>
        <v>#N/A</v>
      </c>
    </row>
    <row r="2304" spans="1:4" x14ac:dyDescent="0.2">
      <c r="A2304" s="1">
        <v>41905</v>
      </c>
      <c r="B2304">
        <f>17.7684</f>
        <v>17.7684</v>
      </c>
      <c r="C2304">
        <f>14.93</f>
        <v>14.93</v>
      </c>
      <c r="D2304">
        <f>198.53</f>
        <v>198.53</v>
      </c>
    </row>
    <row r="2305" spans="1:4" x14ac:dyDescent="0.2">
      <c r="A2305" s="1">
        <v>41904</v>
      </c>
      <c r="B2305">
        <f>15.8303</f>
        <v>15.830299999999999</v>
      </c>
      <c r="C2305">
        <f>13.69</f>
        <v>13.69</v>
      </c>
      <c r="D2305">
        <f>169.68</f>
        <v>169.68</v>
      </c>
    </row>
    <row r="2306" spans="1:4" x14ac:dyDescent="0.2">
      <c r="A2306" s="1">
        <v>41901</v>
      </c>
      <c r="B2306">
        <f>15.0596</f>
        <v>15.0596</v>
      </c>
      <c r="C2306">
        <f>12.11</f>
        <v>12.11</v>
      </c>
      <c r="D2306">
        <f>262.87</f>
        <v>262.87</v>
      </c>
    </row>
    <row r="2307" spans="1:4" x14ac:dyDescent="0.2">
      <c r="A2307" s="1">
        <v>41900</v>
      </c>
      <c r="B2307">
        <f>16.6266</f>
        <v>16.6266</v>
      </c>
      <c r="C2307">
        <f>12.03</f>
        <v>12.03</v>
      </c>
      <c r="D2307">
        <f>285.41</f>
        <v>285.41000000000003</v>
      </c>
    </row>
    <row r="2308" spans="1:4" x14ac:dyDescent="0.2">
      <c r="A2308" s="1">
        <v>41899</v>
      </c>
      <c r="B2308">
        <f>16.432</f>
        <v>16.431999999999999</v>
      </c>
      <c r="C2308">
        <f>12.65</f>
        <v>12.65</v>
      </c>
      <c r="D2308">
        <f>198.29</f>
        <v>198.29</v>
      </c>
    </row>
    <row r="2309" spans="1:4" x14ac:dyDescent="0.2">
      <c r="A2309" s="1">
        <v>41898</v>
      </c>
      <c r="B2309">
        <f>17.096</f>
        <v>17.096</v>
      </c>
      <c r="C2309">
        <f>12.73</f>
        <v>12.73</v>
      </c>
      <c r="D2309">
        <f>188.61</f>
        <v>188.61</v>
      </c>
    </row>
    <row r="2310" spans="1:4" x14ac:dyDescent="0.2">
      <c r="A2310" s="1">
        <v>41897</v>
      </c>
      <c r="B2310">
        <f>16.7209</f>
        <v>16.7209</v>
      </c>
      <c r="C2310">
        <f>14.12</f>
        <v>14.12</v>
      </c>
      <c r="D2310">
        <f>195.04</f>
        <v>195.04</v>
      </c>
    </row>
    <row r="2311" spans="1:4" x14ac:dyDescent="0.2">
      <c r="A2311" s="1">
        <v>41894</v>
      </c>
      <c r="B2311">
        <f>15.9108</f>
        <v>15.9108</v>
      </c>
      <c r="C2311">
        <f>13.31</f>
        <v>13.31</v>
      </c>
      <c r="D2311">
        <f>189.06</f>
        <v>189.06</v>
      </c>
    </row>
    <row r="2312" spans="1:4" x14ac:dyDescent="0.2">
      <c r="A2312" s="1">
        <v>41893</v>
      </c>
      <c r="B2312">
        <f>16.6097</f>
        <v>16.6097</v>
      </c>
      <c r="C2312">
        <f>12.8</f>
        <v>12.8</v>
      </c>
      <c r="D2312">
        <f>147.99</f>
        <v>147.99</v>
      </c>
    </row>
    <row r="2313" spans="1:4" x14ac:dyDescent="0.2">
      <c r="A2313" s="1">
        <v>41892</v>
      </c>
      <c r="B2313">
        <f>16.4187</f>
        <v>16.418700000000001</v>
      </c>
      <c r="C2313">
        <f>12.88</f>
        <v>12.88</v>
      </c>
      <c r="D2313">
        <f>185.94</f>
        <v>185.94</v>
      </c>
    </row>
    <row r="2314" spans="1:4" x14ac:dyDescent="0.2">
      <c r="A2314" s="1">
        <v>41891</v>
      </c>
      <c r="B2314">
        <f>15.878</f>
        <v>15.878</v>
      </c>
      <c r="C2314">
        <f>13.5</f>
        <v>13.5</v>
      </c>
      <c r="D2314">
        <f>146.4</f>
        <v>146.4</v>
      </c>
    </row>
    <row r="2315" spans="1:4" x14ac:dyDescent="0.2">
      <c r="A2315" s="1">
        <v>41890</v>
      </c>
      <c r="B2315">
        <f>15.8479</f>
        <v>15.847899999999999</v>
      </c>
      <c r="C2315">
        <f>12.66</f>
        <v>12.66</v>
      </c>
      <c r="D2315">
        <f>159.23</f>
        <v>159.22999999999999</v>
      </c>
    </row>
    <row r="2316" spans="1:4" x14ac:dyDescent="0.2">
      <c r="A2316" s="1">
        <v>41887</v>
      </c>
      <c r="B2316">
        <f>15.4702</f>
        <v>15.4702</v>
      </c>
      <c r="C2316">
        <f>12.09</f>
        <v>12.09</v>
      </c>
      <c r="D2316">
        <f>144.31</f>
        <v>144.31</v>
      </c>
    </row>
    <row r="2317" spans="1:4" x14ac:dyDescent="0.2">
      <c r="A2317" s="1">
        <v>41886</v>
      </c>
      <c r="B2317">
        <f>16.161</f>
        <v>16.161000000000001</v>
      </c>
      <c r="C2317">
        <f>12.64</f>
        <v>12.64</v>
      </c>
      <c r="D2317">
        <f>195.23</f>
        <v>195.23</v>
      </c>
    </row>
    <row r="2318" spans="1:4" x14ac:dyDescent="0.2">
      <c r="A2318" s="1">
        <v>41885</v>
      </c>
      <c r="B2318">
        <f>16.8103</f>
        <v>16.810300000000002</v>
      </c>
      <c r="C2318">
        <f>12.36</f>
        <v>12.36</v>
      </c>
      <c r="D2318">
        <f>187.99</f>
        <v>187.99</v>
      </c>
    </row>
    <row r="2319" spans="1:4" x14ac:dyDescent="0.2">
      <c r="A2319" s="1">
        <v>41884</v>
      </c>
      <c r="B2319">
        <f>17.835</f>
        <v>17.835000000000001</v>
      </c>
      <c r="C2319">
        <f>12.25</f>
        <v>12.25</v>
      </c>
      <c r="D2319">
        <f>166.51</f>
        <v>166.51</v>
      </c>
    </row>
    <row r="2320" spans="1:4" x14ac:dyDescent="0.2">
      <c r="A2320" s="1">
        <v>41883</v>
      </c>
      <c r="B2320">
        <f>17.7323</f>
        <v>17.732299999999999</v>
      </c>
      <c r="C2320" t="e">
        <f>NA()</f>
        <v>#N/A</v>
      </c>
      <c r="D2320">
        <f>108.77</f>
        <v>108.77</v>
      </c>
    </row>
    <row r="2321" spans="1:4" x14ac:dyDescent="0.2">
      <c r="A2321" s="1">
        <v>41880</v>
      </c>
      <c r="B2321">
        <f>17.1888</f>
        <v>17.188800000000001</v>
      </c>
      <c r="C2321">
        <f>11.98</f>
        <v>11.98</v>
      </c>
      <c r="D2321">
        <f>200.39</f>
        <v>200.39</v>
      </c>
    </row>
    <row r="2322" spans="1:4" x14ac:dyDescent="0.2">
      <c r="A2322" s="1">
        <v>41879</v>
      </c>
      <c r="B2322">
        <f>17.2795</f>
        <v>17.279499999999999</v>
      </c>
      <c r="C2322">
        <f>12.05</f>
        <v>12.05</v>
      </c>
      <c r="D2322">
        <f>155.09</f>
        <v>155.09</v>
      </c>
    </row>
    <row r="2323" spans="1:4" x14ac:dyDescent="0.2">
      <c r="A2323" s="1">
        <v>41878</v>
      </c>
      <c r="B2323">
        <f>16.1061</f>
        <v>16.106100000000001</v>
      </c>
      <c r="C2323">
        <f>11.78</f>
        <v>11.78</v>
      </c>
      <c r="D2323">
        <f>188.7</f>
        <v>188.7</v>
      </c>
    </row>
    <row r="2324" spans="1:4" x14ac:dyDescent="0.2">
      <c r="A2324" s="1">
        <v>41877</v>
      </c>
      <c r="B2324">
        <f>15.8972</f>
        <v>15.8972</v>
      </c>
      <c r="C2324">
        <f>11.63</f>
        <v>11.63</v>
      </c>
      <c r="D2324">
        <f>148.56</f>
        <v>148.56</v>
      </c>
    </row>
    <row r="2325" spans="1:4" x14ac:dyDescent="0.2">
      <c r="A2325" s="1">
        <v>41876</v>
      </c>
      <c r="B2325">
        <f>16.4519</f>
        <v>16.451899999999998</v>
      </c>
      <c r="C2325">
        <f>11.7</f>
        <v>11.7</v>
      </c>
      <c r="D2325">
        <f>86.18</f>
        <v>86.18</v>
      </c>
    </row>
    <row r="2326" spans="1:4" x14ac:dyDescent="0.2">
      <c r="A2326" s="1">
        <v>41873</v>
      </c>
      <c r="B2326">
        <f>17.2349</f>
        <v>17.2349</v>
      </c>
      <c r="C2326">
        <f>11.47</f>
        <v>11.47</v>
      </c>
      <c r="D2326">
        <f>154.42</f>
        <v>154.41999999999999</v>
      </c>
    </row>
    <row r="2327" spans="1:4" x14ac:dyDescent="0.2">
      <c r="A2327" s="1">
        <v>41872</v>
      </c>
      <c r="B2327">
        <f>16.0345</f>
        <v>16.034500000000001</v>
      </c>
      <c r="C2327">
        <f>11.76</f>
        <v>11.76</v>
      </c>
      <c r="D2327">
        <f>315.65</f>
        <v>315.64999999999998</v>
      </c>
    </row>
    <row r="2328" spans="1:4" x14ac:dyDescent="0.2">
      <c r="A2328" s="1">
        <v>41871</v>
      </c>
      <c r="B2328">
        <f>16.7278</f>
        <v>16.727799999999998</v>
      </c>
      <c r="C2328">
        <f>11.78</f>
        <v>11.78</v>
      </c>
      <c r="D2328">
        <f>173.51</f>
        <v>173.51</v>
      </c>
    </row>
    <row r="2329" spans="1:4" x14ac:dyDescent="0.2">
      <c r="A2329" s="1">
        <v>41870</v>
      </c>
      <c r="B2329">
        <f>16.3083</f>
        <v>16.308299999999999</v>
      </c>
      <c r="C2329">
        <f>12.21</f>
        <v>12.21</v>
      </c>
      <c r="D2329">
        <f>157.88</f>
        <v>157.88</v>
      </c>
    </row>
    <row r="2330" spans="1:4" x14ac:dyDescent="0.2">
      <c r="A2330" s="1">
        <v>41869</v>
      </c>
      <c r="B2330">
        <f>17.0294</f>
        <v>17.029399999999999</v>
      </c>
      <c r="C2330">
        <f>12.32</f>
        <v>12.32</v>
      </c>
      <c r="D2330">
        <f>135.62</f>
        <v>135.62</v>
      </c>
    </row>
    <row r="2331" spans="1:4" x14ac:dyDescent="0.2">
      <c r="A2331" s="1">
        <v>41866</v>
      </c>
      <c r="B2331">
        <f>20.3569</f>
        <v>20.3569</v>
      </c>
      <c r="C2331">
        <f>13.15</f>
        <v>13.15</v>
      </c>
      <c r="D2331">
        <f>150.17</f>
        <v>150.16999999999999</v>
      </c>
    </row>
    <row r="2332" spans="1:4" x14ac:dyDescent="0.2">
      <c r="A2332" s="1">
        <v>41865</v>
      </c>
      <c r="B2332">
        <f>17.2978</f>
        <v>17.297799999999999</v>
      </c>
      <c r="C2332">
        <f>12.42</f>
        <v>12.42</v>
      </c>
      <c r="D2332">
        <f>194.35</f>
        <v>194.35</v>
      </c>
    </row>
    <row r="2333" spans="1:4" x14ac:dyDescent="0.2">
      <c r="A2333" s="1">
        <v>41864</v>
      </c>
      <c r="B2333">
        <f>18.2314</f>
        <v>18.231400000000001</v>
      </c>
      <c r="C2333">
        <f>12.9</f>
        <v>12.9</v>
      </c>
      <c r="D2333">
        <f>243.13</f>
        <v>243.13</v>
      </c>
    </row>
    <row r="2334" spans="1:4" x14ac:dyDescent="0.2">
      <c r="A2334" s="1">
        <v>41863</v>
      </c>
      <c r="B2334">
        <f>19.562</f>
        <v>19.562000000000001</v>
      </c>
      <c r="C2334">
        <f>14.13</f>
        <v>14.13</v>
      </c>
      <c r="D2334">
        <f>127.15</f>
        <v>127.15</v>
      </c>
    </row>
    <row r="2335" spans="1:4" x14ac:dyDescent="0.2">
      <c r="A2335" s="1">
        <v>41862</v>
      </c>
      <c r="B2335">
        <f>19.4288</f>
        <v>19.428799999999999</v>
      </c>
      <c r="C2335">
        <f>14.23</f>
        <v>14.23</v>
      </c>
      <c r="D2335">
        <f>132.6</f>
        <v>132.6</v>
      </c>
    </row>
    <row r="2336" spans="1:4" x14ac:dyDescent="0.2">
      <c r="A2336" s="1">
        <v>41859</v>
      </c>
      <c r="B2336">
        <f>21.2386</f>
        <v>21.238600000000002</v>
      </c>
      <c r="C2336">
        <f>15.77</f>
        <v>15.77</v>
      </c>
      <c r="D2336">
        <f>343.1</f>
        <v>343.1</v>
      </c>
    </row>
    <row r="2337" spans="1:4" x14ac:dyDescent="0.2">
      <c r="A2337" s="1">
        <v>41858</v>
      </c>
      <c r="B2337">
        <f>20.7973</f>
        <v>20.7973</v>
      </c>
      <c r="C2337">
        <f>16.66</f>
        <v>16.66</v>
      </c>
      <c r="D2337">
        <f>439.6</f>
        <v>439.6</v>
      </c>
    </row>
    <row r="2338" spans="1:4" x14ac:dyDescent="0.2">
      <c r="A2338" s="1">
        <v>41857</v>
      </c>
      <c r="B2338">
        <f>19.1494</f>
        <v>19.1494</v>
      </c>
      <c r="C2338">
        <f>16.37</f>
        <v>16.37</v>
      </c>
      <c r="D2338">
        <f>301.59</f>
        <v>301.58999999999997</v>
      </c>
    </row>
    <row r="2339" spans="1:4" x14ac:dyDescent="0.2">
      <c r="A2339" s="1">
        <v>41856</v>
      </c>
      <c r="B2339">
        <f>18.4436</f>
        <v>18.4436</v>
      </c>
      <c r="C2339">
        <f>16.87</f>
        <v>16.87</v>
      </c>
      <c r="D2339">
        <f>152.94</f>
        <v>152.94</v>
      </c>
    </row>
    <row r="2340" spans="1:4" x14ac:dyDescent="0.2">
      <c r="A2340" s="1">
        <v>41855</v>
      </c>
      <c r="B2340">
        <f>19.094</f>
        <v>19.094000000000001</v>
      </c>
      <c r="C2340">
        <f>15.12</f>
        <v>15.12</v>
      </c>
      <c r="D2340">
        <f>152.15</f>
        <v>152.15</v>
      </c>
    </row>
    <row r="2341" spans="1:4" x14ac:dyDescent="0.2">
      <c r="A2341" s="1">
        <v>41852</v>
      </c>
      <c r="B2341">
        <f>19.8142</f>
        <v>19.8142</v>
      </c>
      <c r="C2341">
        <f>17.03</f>
        <v>17.03</v>
      </c>
      <c r="D2341">
        <f>167.83</f>
        <v>167.83</v>
      </c>
    </row>
    <row r="2342" spans="1:4" x14ac:dyDescent="0.2">
      <c r="A2342" s="1">
        <v>41851</v>
      </c>
      <c r="B2342">
        <f>19.1221</f>
        <v>19.1221</v>
      </c>
      <c r="C2342">
        <f>16.95</f>
        <v>16.95</v>
      </c>
      <c r="D2342">
        <f>167.33</f>
        <v>167.33</v>
      </c>
    </row>
    <row r="2343" spans="1:4" x14ac:dyDescent="0.2">
      <c r="A2343" s="1">
        <v>41850</v>
      </c>
      <c r="B2343">
        <f>17.4831</f>
        <v>17.4831</v>
      </c>
      <c r="C2343">
        <f>13.33</f>
        <v>13.33</v>
      </c>
      <c r="D2343">
        <f>168.66</f>
        <v>168.66</v>
      </c>
    </row>
    <row r="2344" spans="1:4" x14ac:dyDescent="0.2">
      <c r="A2344" s="1">
        <v>41849</v>
      </c>
      <c r="B2344">
        <f>16.7601</f>
        <v>16.760100000000001</v>
      </c>
      <c r="C2344">
        <f>13.28</f>
        <v>13.28</v>
      </c>
      <c r="D2344">
        <f>152.59</f>
        <v>152.59</v>
      </c>
    </row>
    <row r="2345" spans="1:4" x14ac:dyDescent="0.2">
      <c r="A2345" s="1">
        <v>41848</v>
      </c>
      <c r="B2345">
        <f>17.0697</f>
        <v>17.069700000000001</v>
      </c>
      <c r="C2345">
        <f>12.56</f>
        <v>12.56</v>
      </c>
      <c r="D2345">
        <f>135.44</f>
        <v>135.44</v>
      </c>
    </row>
    <row r="2346" spans="1:4" x14ac:dyDescent="0.2">
      <c r="A2346" s="1">
        <v>41845</v>
      </c>
      <c r="B2346">
        <f>16.7309</f>
        <v>16.730899999999998</v>
      </c>
      <c r="C2346">
        <f>12.69</f>
        <v>12.69</v>
      </c>
      <c r="D2346">
        <f>158.7</f>
        <v>158.69999999999999</v>
      </c>
    </row>
    <row r="2347" spans="1:4" x14ac:dyDescent="0.2">
      <c r="A2347" s="1">
        <v>41844</v>
      </c>
      <c r="B2347">
        <f>14.8523</f>
        <v>14.8523</v>
      </c>
      <c r="C2347">
        <f>11.84</f>
        <v>11.84</v>
      </c>
      <c r="D2347">
        <f>155.48</f>
        <v>155.47999999999999</v>
      </c>
    </row>
    <row r="2348" spans="1:4" x14ac:dyDescent="0.2">
      <c r="A2348" s="1">
        <v>41843</v>
      </c>
      <c r="B2348">
        <f>15.5898</f>
        <v>15.5898</v>
      </c>
      <c r="C2348">
        <f>11.52</f>
        <v>11.52</v>
      </c>
      <c r="D2348">
        <f>170.71</f>
        <v>170.71</v>
      </c>
    </row>
    <row r="2349" spans="1:4" x14ac:dyDescent="0.2">
      <c r="A2349" s="1">
        <v>41842</v>
      </c>
      <c r="B2349">
        <f>15.6723</f>
        <v>15.6723</v>
      </c>
      <c r="C2349">
        <f>12.24</f>
        <v>12.24</v>
      </c>
      <c r="D2349">
        <f>185.65</f>
        <v>185.65</v>
      </c>
    </row>
    <row r="2350" spans="1:4" x14ac:dyDescent="0.2">
      <c r="A2350" s="1">
        <v>41841</v>
      </c>
      <c r="B2350">
        <f>17.7222</f>
        <v>17.722200000000001</v>
      </c>
      <c r="C2350">
        <f>12.81</f>
        <v>12.81</v>
      </c>
      <c r="D2350">
        <f>576.26</f>
        <v>576.26</v>
      </c>
    </row>
    <row r="2351" spans="1:4" x14ac:dyDescent="0.2">
      <c r="A2351" s="1">
        <v>41838</v>
      </c>
      <c r="B2351">
        <f>16.5305</f>
        <v>16.5305</v>
      </c>
      <c r="C2351">
        <f>12.06</f>
        <v>12.06</v>
      </c>
      <c r="D2351">
        <f>144.91</f>
        <v>144.91</v>
      </c>
    </row>
    <row r="2352" spans="1:4" x14ac:dyDescent="0.2">
      <c r="A2352" s="1">
        <v>41837</v>
      </c>
      <c r="B2352">
        <f>17.6468</f>
        <v>17.646799999999999</v>
      </c>
      <c r="C2352">
        <f>14.54</f>
        <v>14.54</v>
      </c>
      <c r="D2352">
        <f>114.77</f>
        <v>114.77</v>
      </c>
    </row>
    <row r="2353" spans="1:4" x14ac:dyDescent="0.2">
      <c r="A2353" s="1">
        <v>41836</v>
      </c>
      <c r="B2353">
        <f>14.8111</f>
        <v>14.8111</v>
      </c>
      <c r="C2353">
        <f>11</f>
        <v>11</v>
      </c>
      <c r="D2353">
        <f>179.44</f>
        <v>179.44</v>
      </c>
    </row>
    <row r="2354" spans="1:4" x14ac:dyDescent="0.2">
      <c r="A2354" s="1">
        <v>41835</v>
      </c>
      <c r="B2354">
        <f>15.8707</f>
        <v>15.870699999999999</v>
      </c>
      <c r="C2354">
        <f>11.96</f>
        <v>11.96</v>
      </c>
      <c r="D2354">
        <f>148.58</f>
        <v>148.58000000000001</v>
      </c>
    </row>
    <row r="2355" spans="1:4" x14ac:dyDescent="0.2">
      <c r="A2355" s="1">
        <v>41834</v>
      </c>
      <c r="B2355">
        <f>14.9871</f>
        <v>14.9871</v>
      </c>
      <c r="C2355">
        <f>11.82</f>
        <v>11.82</v>
      </c>
      <c r="D2355">
        <f>137.24</f>
        <v>137.24</v>
      </c>
    </row>
    <row r="2356" spans="1:4" x14ac:dyDescent="0.2">
      <c r="A2356" s="1">
        <v>41831</v>
      </c>
      <c r="B2356">
        <f>16.3382</f>
        <v>16.338200000000001</v>
      </c>
      <c r="C2356">
        <f>12.08</f>
        <v>12.08</v>
      </c>
      <c r="D2356">
        <f>126.34</f>
        <v>126.34</v>
      </c>
    </row>
    <row r="2357" spans="1:4" x14ac:dyDescent="0.2">
      <c r="A2357" s="1">
        <v>41830</v>
      </c>
      <c r="B2357">
        <f>16.6584</f>
        <v>16.6584</v>
      </c>
      <c r="C2357">
        <f>12.59</f>
        <v>12.59</v>
      </c>
      <c r="D2357">
        <f>160.97</f>
        <v>160.97</v>
      </c>
    </row>
    <row r="2358" spans="1:4" x14ac:dyDescent="0.2">
      <c r="A2358" s="1">
        <v>41829</v>
      </c>
      <c r="B2358">
        <f>15.092</f>
        <v>15.092000000000001</v>
      </c>
      <c r="C2358">
        <f>11.65</f>
        <v>11.65</v>
      </c>
      <c r="D2358">
        <f>146.59</f>
        <v>146.59</v>
      </c>
    </row>
    <row r="2359" spans="1:4" x14ac:dyDescent="0.2">
      <c r="A2359" s="1">
        <v>41828</v>
      </c>
      <c r="B2359">
        <f>15.8867</f>
        <v>15.886699999999999</v>
      </c>
      <c r="C2359">
        <f>11.98</f>
        <v>11.98</v>
      </c>
      <c r="D2359">
        <f>175.44</f>
        <v>175.44</v>
      </c>
    </row>
    <row r="2360" spans="1:4" x14ac:dyDescent="0.2">
      <c r="A2360" s="1">
        <v>41827</v>
      </c>
      <c r="B2360">
        <f>14.3276</f>
        <v>14.3276</v>
      </c>
      <c r="C2360">
        <f>11.33</f>
        <v>11.33</v>
      </c>
      <c r="D2360">
        <f>154.84</f>
        <v>154.84</v>
      </c>
    </row>
    <row r="2361" spans="1:4" x14ac:dyDescent="0.2">
      <c r="A2361" s="1">
        <v>41824</v>
      </c>
      <c r="B2361">
        <f>13.0962</f>
        <v>13.0962</v>
      </c>
      <c r="C2361" t="e">
        <f>NA()</f>
        <v>#N/A</v>
      </c>
      <c r="D2361">
        <f>138.74</f>
        <v>138.74</v>
      </c>
    </row>
    <row r="2362" spans="1:4" x14ac:dyDescent="0.2">
      <c r="A2362" s="1">
        <v>41823</v>
      </c>
      <c r="B2362">
        <f>12.8852</f>
        <v>12.885199999999999</v>
      </c>
      <c r="C2362">
        <f>10.32</f>
        <v>10.32</v>
      </c>
      <c r="D2362">
        <f>319.57</f>
        <v>319.57</v>
      </c>
    </row>
    <row r="2363" spans="1:4" x14ac:dyDescent="0.2">
      <c r="A2363" s="1">
        <v>41822</v>
      </c>
      <c r="B2363">
        <f>13.9595</f>
        <v>13.9595</v>
      </c>
      <c r="C2363">
        <f>10.82</f>
        <v>10.82</v>
      </c>
      <c r="D2363">
        <f>163.78</f>
        <v>163.78</v>
      </c>
    </row>
    <row r="2364" spans="1:4" x14ac:dyDescent="0.2">
      <c r="A2364" s="1">
        <v>41821</v>
      </c>
      <c r="B2364">
        <f>14.3916</f>
        <v>14.3916</v>
      </c>
      <c r="C2364">
        <f>11.15</f>
        <v>11.15</v>
      </c>
      <c r="D2364">
        <f>128.27</f>
        <v>128.27000000000001</v>
      </c>
    </row>
    <row r="2365" spans="1:4" x14ac:dyDescent="0.2">
      <c r="A2365" s="1">
        <v>41820</v>
      </c>
      <c r="B2365">
        <f>15.269</f>
        <v>15.269</v>
      </c>
      <c r="C2365">
        <f>11.57</f>
        <v>11.57</v>
      </c>
      <c r="D2365">
        <f>140.53</f>
        <v>140.53</v>
      </c>
    </row>
    <row r="2366" spans="1:4" x14ac:dyDescent="0.2">
      <c r="A2366" s="1">
        <v>41817</v>
      </c>
      <c r="B2366">
        <f>15.2961</f>
        <v>15.296099999999999</v>
      </c>
      <c r="C2366">
        <f>11.26</f>
        <v>11.26</v>
      </c>
      <c r="D2366">
        <f>129.47</f>
        <v>129.47</v>
      </c>
    </row>
    <row r="2367" spans="1:4" x14ac:dyDescent="0.2">
      <c r="A2367" s="1">
        <v>41816</v>
      </c>
      <c r="B2367">
        <f>14.7994</f>
        <v>14.7994</v>
      </c>
      <c r="C2367">
        <f>11.63</f>
        <v>11.63</v>
      </c>
      <c r="D2367">
        <f>140.65</f>
        <v>140.65</v>
      </c>
    </row>
    <row r="2368" spans="1:4" x14ac:dyDescent="0.2">
      <c r="A2368" s="1">
        <v>41815</v>
      </c>
      <c r="B2368">
        <f>14.3007</f>
        <v>14.300700000000001</v>
      </c>
      <c r="C2368">
        <f>11.59</f>
        <v>11.59</v>
      </c>
      <c r="D2368">
        <f>136.36</f>
        <v>136.36000000000001</v>
      </c>
    </row>
    <row r="2369" spans="1:4" x14ac:dyDescent="0.2">
      <c r="A2369" s="1">
        <v>41814</v>
      </c>
      <c r="B2369">
        <f>13.1291</f>
        <v>13.129099999999999</v>
      </c>
      <c r="C2369">
        <f>12.13</f>
        <v>12.13</v>
      </c>
      <c r="D2369">
        <f>168.36</f>
        <v>168.36</v>
      </c>
    </row>
    <row r="2370" spans="1:4" x14ac:dyDescent="0.2">
      <c r="A2370" s="1">
        <v>41813</v>
      </c>
      <c r="B2370">
        <f>13.5834</f>
        <v>13.583399999999999</v>
      </c>
      <c r="C2370">
        <f>10.98</f>
        <v>10.98</v>
      </c>
      <c r="D2370">
        <f>121.31</f>
        <v>121.31</v>
      </c>
    </row>
    <row r="2371" spans="1:4" x14ac:dyDescent="0.2">
      <c r="A2371" s="1">
        <v>41810</v>
      </c>
      <c r="B2371">
        <f>12.7797</f>
        <v>12.7797</v>
      </c>
      <c r="C2371">
        <f>10.85</f>
        <v>10.85</v>
      </c>
      <c r="D2371">
        <f>249.3</f>
        <v>249.3</v>
      </c>
    </row>
    <row r="2372" spans="1:4" x14ac:dyDescent="0.2">
      <c r="A2372" s="1">
        <v>41809</v>
      </c>
      <c r="B2372">
        <f>12.713</f>
        <v>12.712999999999999</v>
      </c>
      <c r="C2372">
        <f>10.62</f>
        <v>10.62</v>
      </c>
      <c r="D2372">
        <f>268.38</f>
        <v>268.38</v>
      </c>
    </row>
    <row r="2373" spans="1:4" x14ac:dyDescent="0.2">
      <c r="A2373" s="1">
        <v>41808</v>
      </c>
      <c r="B2373">
        <f>13.8823</f>
        <v>13.882300000000001</v>
      </c>
      <c r="C2373">
        <f>10.61</f>
        <v>10.61</v>
      </c>
      <c r="D2373">
        <f>164.59</f>
        <v>164.59</v>
      </c>
    </row>
    <row r="2374" spans="1:4" x14ac:dyDescent="0.2">
      <c r="A2374" s="1">
        <v>41807</v>
      </c>
      <c r="B2374">
        <f>14.3399</f>
        <v>14.3399</v>
      </c>
      <c r="C2374">
        <f>12.06</f>
        <v>12.06</v>
      </c>
      <c r="D2374">
        <f>188.4</f>
        <v>188.4</v>
      </c>
    </row>
    <row r="2375" spans="1:4" x14ac:dyDescent="0.2">
      <c r="A2375" s="1">
        <v>41806</v>
      </c>
      <c r="B2375">
        <f>15.3716</f>
        <v>15.371600000000001</v>
      </c>
      <c r="C2375">
        <f>12.65</f>
        <v>12.65</v>
      </c>
      <c r="D2375" t="e">
        <f>NA()</f>
        <v>#N/A</v>
      </c>
    </row>
    <row r="2376" spans="1:4" x14ac:dyDescent="0.2">
      <c r="A2376" s="1">
        <v>41803</v>
      </c>
      <c r="B2376">
        <f>14.1513</f>
        <v>14.151300000000001</v>
      </c>
      <c r="C2376">
        <f>12.18</f>
        <v>12.18</v>
      </c>
      <c r="D2376">
        <f>135.35</f>
        <v>135.35</v>
      </c>
    </row>
    <row r="2377" spans="1:4" x14ac:dyDescent="0.2">
      <c r="A2377" s="1">
        <v>41802</v>
      </c>
      <c r="B2377">
        <f>13.8464</f>
        <v>13.846399999999999</v>
      </c>
      <c r="C2377">
        <f>12.56</f>
        <v>12.56</v>
      </c>
      <c r="D2377">
        <f>161.14</f>
        <v>161.13999999999999</v>
      </c>
    </row>
    <row r="2378" spans="1:4" x14ac:dyDescent="0.2">
      <c r="A2378" s="1">
        <v>41801</v>
      </c>
      <c r="B2378">
        <f>13.7325</f>
        <v>13.7325</v>
      </c>
      <c r="C2378">
        <f>11.6</f>
        <v>11.6</v>
      </c>
      <c r="D2378">
        <f>180.09</f>
        <v>180.09</v>
      </c>
    </row>
    <row r="2379" spans="1:4" x14ac:dyDescent="0.2">
      <c r="A2379" s="1">
        <v>41800</v>
      </c>
      <c r="B2379">
        <f>13.0399</f>
        <v>13.039899999999999</v>
      </c>
      <c r="C2379">
        <f>10.99</f>
        <v>10.99</v>
      </c>
      <c r="D2379">
        <f>191.57</f>
        <v>191.57</v>
      </c>
    </row>
    <row r="2380" spans="1:4" x14ac:dyDescent="0.2">
      <c r="A2380" s="1">
        <v>41799</v>
      </c>
      <c r="B2380">
        <f>13.1403</f>
        <v>13.1403</v>
      </c>
      <c r="C2380">
        <f>11.15</f>
        <v>11.15</v>
      </c>
      <c r="D2380">
        <f>104.8</f>
        <v>104.8</v>
      </c>
    </row>
    <row r="2381" spans="1:4" x14ac:dyDescent="0.2">
      <c r="A2381" s="1">
        <v>41796</v>
      </c>
      <c r="B2381">
        <f>13.4607</f>
        <v>13.460699999999999</v>
      </c>
      <c r="C2381">
        <f>10.73</f>
        <v>10.73</v>
      </c>
      <c r="D2381">
        <f>140.86</f>
        <v>140.86000000000001</v>
      </c>
    </row>
    <row r="2382" spans="1:4" x14ac:dyDescent="0.2">
      <c r="A2382" s="1">
        <v>41795</v>
      </c>
      <c r="B2382">
        <f>14.6235</f>
        <v>14.6235</v>
      </c>
      <c r="C2382">
        <f>11.68</f>
        <v>11.68</v>
      </c>
      <c r="D2382">
        <f>167.96</f>
        <v>167.96</v>
      </c>
    </row>
    <row r="2383" spans="1:4" x14ac:dyDescent="0.2">
      <c r="A2383" s="1">
        <v>41794</v>
      </c>
      <c r="B2383">
        <f>16.5083</f>
        <v>16.508299999999998</v>
      </c>
      <c r="C2383">
        <f>12.08</f>
        <v>12.08</v>
      </c>
      <c r="D2383">
        <f>135.8</f>
        <v>135.80000000000001</v>
      </c>
    </row>
    <row r="2384" spans="1:4" x14ac:dyDescent="0.2">
      <c r="A2384" s="1">
        <v>41793</v>
      </c>
      <c r="B2384">
        <f>16.5208</f>
        <v>16.520800000000001</v>
      </c>
      <c r="C2384">
        <f>11.87</f>
        <v>11.87</v>
      </c>
      <c r="D2384">
        <f>183.57</f>
        <v>183.57</v>
      </c>
    </row>
    <row r="2385" spans="1:4" x14ac:dyDescent="0.2">
      <c r="A2385" s="1">
        <v>41792</v>
      </c>
      <c r="B2385">
        <f>16.2586</f>
        <v>16.258600000000001</v>
      </c>
      <c r="C2385">
        <f>11.58</f>
        <v>11.58</v>
      </c>
      <c r="D2385">
        <f>130.03</f>
        <v>130.03</v>
      </c>
    </row>
    <row r="2386" spans="1:4" x14ac:dyDescent="0.2">
      <c r="A2386" s="1">
        <v>41789</v>
      </c>
      <c r="B2386">
        <f>15.7845</f>
        <v>15.7845</v>
      </c>
      <c r="C2386">
        <f>11.4</f>
        <v>11.4</v>
      </c>
      <c r="D2386">
        <f>336.72</f>
        <v>336.72</v>
      </c>
    </row>
    <row r="2387" spans="1:4" x14ac:dyDescent="0.2">
      <c r="A2387" s="1">
        <v>41788</v>
      </c>
      <c r="B2387">
        <f>15.5171</f>
        <v>15.517099999999999</v>
      </c>
      <c r="C2387">
        <f>11.57</f>
        <v>11.57</v>
      </c>
      <c r="D2387">
        <f>133.69</f>
        <v>133.69</v>
      </c>
    </row>
    <row r="2388" spans="1:4" x14ac:dyDescent="0.2">
      <c r="A2388" s="1">
        <v>41787</v>
      </c>
      <c r="B2388">
        <f>15.0184</f>
        <v>15.0184</v>
      </c>
      <c r="C2388">
        <f>11.68</f>
        <v>11.68</v>
      </c>
      <c r="D2388">
        <f>157.33</f>
        <v>157.33000000000001</v>
      </c>
    </row>
    <row r="2389" spans="1:4" x14ac:dyDescent="0.2">
      <c r="A2389" s="1">
        <v>41786</v>
      </c>
      <c r="B2389">
        <f>15.1522</f>
        <v>15.152200000000001</v>
      </c>
      <c r="C2389">
        <f>11.51</f>
        <v>11.51</v>
      </c>
      <c r="D2389">
        <f>150.26</f>
        <v>150.26</v>
      </c>
    </row>
    <row r="2390" spans="1:4" x14ac:dyDescent="0.2">
      <c r="A2390" s="1">
        <v>41785</v>
      </c>
      <c r="B2390">
        <f>15.249</f>
        <v>15.249000000000001</v>
      </c>
      <c r="C2390" t="e">
        <f>NA()</f>
        <v>#N/A</v>
      </c>
      <c r="D2390">
        <f>102.06</f>
        <v>102.06</v>
      </c>
    </row>
    <row r="2391" spans="1:4" x14ac:dyDescent="0.2">
      <c r="A2391" s="1">
        <v>41782</v>
      </c>
      <c r="B2391">
        <f>15.5997</f>
        <v>15.5997</v>
      </c>
      <c r="C2391">
        <f>11.36</f>
        <v>11.36</v>
      </c>
      <c r="D2391">
        <f>163.04</f>
        <v>163.04</v>
      </c>
    </row>
    <row r="2392" spans="1:4" x14ac:dyDescent="0.2">
      <c r="A2392" s="1">
        <v>41781</v>
      </c>
      <c r="B2392">
        <f>15.2602</f>
        <v>15.260199999999999</v>
      </c>
      <c r="C2392">
        <f>12.03</f>
        <v>12.03</v>
      </c>
      <c r="D2392">
        <f>196.97</f>
        <v>196.97</v>
      </c>
    </row>
    <row r="2393" spans="1:4" x14ac:dyDescent="0.2">
      <c r="A2393" s="1">
        <v>41780</v>
      </c>
      <c r="B2393">
        <f>15.2901</f>
        <v>15.290100000000001</v>
      </c>
      <c r="C2393">
        <f>11.91</f>
        <v>11.91</v>
      </c>
      <c r="D2393">
        <f>138.93</f>
        <v>138.93</v>
      </c>
    </row>
    <row r="2394" spans="1:4" x14ac:dyDescent="0.2">
      <c r="A2394" s="1">
        <v>41779</v>
      </c>
      <c r="B2394">
        <f>15.7231</f>
        <v>15.723100000000001</v>
      </c>
      <c r="C2394">
        <f>12.96</f>
        <v>12.96</v>
      </c>
      <c r="D2394">
        <f>184.33</f>
        <v>184.33</v>
      </c>
    </row>
    <row r="2395" spans="1:4" x14ac:dyDescent="0.2">
      <c r="A2395" s="1">
        <v>41778</v>
      </c>
      <c r="B2395">
        <f>15.9315</f>
        <v>15.9315</v>
      </c>
      <c r="C2395">
        <f>12.42</f>
        <v>12.42</v>
      </c>
      <c r="D2395">
        <f>142</f>
        <v>142</v>
      </c>
    </row>
    <row r="2396" spans="1:4" x14ac:dyDescent="0.2">
      <c r="A2396" s="1">
        <v>41775</v>
      </c>
      <c r="B2396">
        <f>15.7941</f>
        <v>15.7941</v>
      </c>
      <c r="C2396">
        <f>12.44</f>
        <v>12.44</v>
      </c>
      <c r="D2396">
        <f>149.61</f>
        <v>149.61000000000001</v>
      </c>
    </row>
    <row r="2397" spans="1:4" x14ac:dyDescent="0.2">
      <c r="A2397" s="1">
        <v>41774</v>
      </c>
      <c r="B2397">
        <f>17.4465</f>
        <v>17.4465</v>
      </c>
      <c r="C2397">
        <f>13.17</f>
        <v>13.17</v>
      </c>
      <c r="D2397">
        <f>153.91</f>
        <v>153.91</v>
      </c>
    </row>
    <row r="2398" spans="1:4" x14ac:dyDescent="0.2">
      <c r="A2398" s="1">
        <v>41773</v>
      </c>
      <c r="B2398">
        <f>15.8782</f>
        <v>15.8782</v>
      </c>
      <c r="C2398">
        <f>12.17</f>
        <v>12.17</v>
      </c>
      <c r="D2398">
        <f>225.46</f>
        <v>225.46</v>
      </c>
    </row>
    <row r="2399" spans="1:4" x14ac:dyDescent="0.2">
      <c r="A2399" s="1">
        <v>41772</v>
      </c>
      <c r="B2399">
        <f>15.9994</f>
        <v>15.9994</v>
      </c>
      <c r="C2399">
        <f>12.13</f>
        <v>12.13</v>
      </c>
      <c r="D2399">
        <f>162.51</f>
        <v>162.51</v>
      </c>
    </row>
    <row r="2400" spans="1:4" x14ac:dyDescent="0.2">
      <c r="A2400" s="1">
        <v>41771</v>
      </c>
      <c r="B2400">
        <f>16.2491</f>
        <v>16.249099999999999</v>
      </c>
      <c r="C2400">
        <f>12.23</f>
        <v>12.23</v>
      </c>
      <c r="D2400">
        <f>174.03</f>
        <v>174.03</v>
      </c>
    </row>
    <row r="2401" spans="1:4" x14ac:dyDescent="0.2">
      <c r="A2401" s="1">
        <v>41768</v>
      </c>
      <c r="B2401">
        <f>16.6668</f>
        <v>16.666799999999999</v>
      </c>
      <c r="C2401">
        <f>12.92</f>
        <v>12.92</v>
      </c>
      <c r="D2401">
        <f>138.93</f>
        <v>138.93</v>
      </c>
    </row>
    <row r="2402" spans="1:4" x14ac:dyDescent="0.2">
      <c r="A2402" s="1">
        <v>41767</v>
      </c>
      <c r="B2402">
        <f>16.7342</f>
        <v>16.734200000000001</v>
      </c>
      <c r="C2402">
        <f>13.43</f>
        <v>13.43</v>
      </c>
      <c r="D2402">
        <f>202.17</f>
        <v>202.17</v>
      </c>
    </row>
    <row r="2403" spans="1:4" x14ac:dyDescent="0.2">
      <c r="A2403" s="1">
        <v>41766</v>
      </c>
      <c r="B2403">
        <f>17.5579</f>
        <v>17.5579</v>
      </c>
      <c r="C2403">
        <f>13.4</f>
        <v>13.4</v>
      </c>
      <c r="D2403" t="e">
        <f>NA()</f>
        <v>#N/A</v>
      </c>
    </row>
    <row r="2404" spans="1:4" x14ac:dyDescent="0.2">
      <c r="A2404" s="1">
        <v>41765</v>
      </c>
      <c r="B2404">
        <f>18.5097</f>
        <v>18.509699999999999</v>
      </c>
      <c r="C2404">
        <f>13.8</f>
        <v>13.8</v>
      </c>
      <c r="D2404">
        <f>176.81</f>
        <v>176.81</v>
      </c>
    </row>
    <row r="2405" spans="1:4" x14ac:dyDescent="0.2">
      <c r="A2405" s="1">
        <v>41764</v>
      </c>
      <c r="B2405">
        <f>18.0644</f>
        <v>18.064399999999999</v>
      </c>
      <c r="C2405">
        <f>13.29</f>
        <v>13.29</v>
      </c>
      <c r="D2405">
        <f>118.48</f>
        <v>118.48</v>
      </c>
    </row>
    <row r="2406" spans="1:4" x14ac:dyDescent="0.2">
      <c r="A2406" s="1">
        <v>41761</v>
      </c>
      <c r="B2406">
        <f>17.9023</f>
        <v>17.9023</v>
      </c>
      <c r="C2406">
        <f>12.91</f>
        <v>12.91</v>
      </c>
      <c r="D2406">
        <f>139.31</f>
        <v>139.31</v>
      </c>
    </row>
    <row r="2407" spans="1:4" x14ac:dyDescent="0.2">
      <c r="A2407" s="1">
        <v>41760</v>
      </c>
      <c r="B2407" t="e">
        <f>NA()</f>
        <v>#N/A</v>
      </c>
      <c r="C2407">
        <f>13.25</f>
        <v>13.25</v>
      </c>
      <c r="D2407" t="e">
        <f>NA()</f>
        <v>#N/A</v>
      </c>
    </row>
    <row r="2408" spans="1:4" x14ac:dyDescent="0.2">
      <c r="A2408" s="1">
        <v>41759</v>
      </c>
      <c r="B2408">
        <f>17.0713</f>
        <v>17.071300000000001</v>
      </c>
      <c r="C2408">
        <f>13.41</f>
        <v>13.41</v>
      </c>
      <c r="D2408">
        <f>197.6</f>
        <v>197.6</v>
      </c>
    </row>
    <row r="2409" spans="1:4" x14ac:dyDescent="0.2">
      <c r="A2409" s="1">
        <v>41758</v>
      </c>
      <c r="B2409">
        <f>17.343</f>
        <v>17.343</v>
      </c>
      <c r="C2409">
        <f>13.71</f>
        <v>13.71</v>
      </c>
      <c r="D2409">
        <f>160.91</f>
        <v>160.91</v>
      </c>
    </row>
    <row r="2410" spans="1:4" x14ac:dyDescent="0.2">
      <c r="A2410" s="1">
        <v>41757</v>
      </c>
      <c r="B2410">
        <f>18.4517</f>
        <v>18.451699999999999</v>
      </c>
      <c r="C2410">
        <f>13.97</f>
        <v>13.97</v>
      </c>
      <c r="D2410" t="e">
        <f>NA()</f>
        <v>#N/A</v>
      </c>
    </row>
    <row r="2411" spans="1:4" x14ac:dyDescent="0.2">
      <c r="A2411" s="1">
        <v>41754</v>
      </c>
      <c r="B2411">
        <f>18.7678</f>
        <v>18.767800000000001</v>
      </c>
      <c r="C2411">
        <f>14.06</f>
        <v>14.06</v>
      </c>
      <c r="D2411">
        <f>135.13</f>
        <v>135.13</v>
      </c>
    </row>
    <row r="2412" spans="1:4" x14ac:dyDescent="0.2">
      <c r="A2412" s="1">
        <v>41753</v>
      </c>
      <c r="B2412">
        <f>16.9981</f>
        <v>16.998100000000001</v>
      </c>
      <c r="C2412">
        <f>13.32</f>
        <v>13.32</v>
      </c>
      <c r="D2412">
        <f>176.55</f>
        <v>176.55</v>
      </c>
    </row>
    <row r="2413" spans="1:4" x14ac:dyDescent="0.2">
      <c r="A2413" s="1">
        <v>41752</v>
      </c>
      <c r="B2413">
        <f>17.1008</f>
        <v>17.1008</v>
      </c>
      <c r="C2413">
        <f>13.27</f>
        <v>13.27</v>
      </c>
      <c r="D2413">
        <f>169.56</f>
        <v>169.56</v>
      </c>
    </row>
    <row r="2414" spans="1:4" x14ac:dyDescent="0.2">
      <c r="A2414" s="1">
        <v>41751</v>
      </c>
      <c r="B2414">
        <f>16.8121</f>
        <v>16.812100000000001</v>
      </c>
      <c r="C2414">
        <f>13.19</f>
        <v>13.19</v>
      </c>
      <c r="D2414">
        <f>139.39</f>
        <v>139.38999999999999</v>
      </c>
    </row>
    <row r="2415" spans="1:4" x14ac:dyDescent="0.2">
      <c r="A2415" s="1">
        <v>41750</v>
      </c>
      <c r="B2415" t="e">
        <f>NA()</f>
        <v>#N/A</v>
      </c>
      <c r="C2415">
        <f>13.25</f>
        <v>13.25</v>
      </c>
      <c r="D2415" t="e">
        <f>NA()</f>
        <v>#N/A</v>
      </c>
    </row>
    <row r="2416" spans="1:4" x14ac:dyDescent="0.2">
      <c r="A2416" s="1">
        <v>41746</v>
      </c>
      <c r="B2416">
        <f>16.9939</f>
        <v>16.9939</v>
      </c>
      <c r="C2416">
        <f>13.36</f>
        <v>13.36</v>
      </c>
      <c r="D2416">
        <f>143.07</f>
        <v>143.07</v>
      </c>
    </row>
    <row r="2417" spans="1:4" x14ac:dyDescent="0.2">
      <c r="A2417" s="1">
        <v>41745</v>
      </c>
      <c r="B2417">
        <f>17.3181</f>
        <v>17.318100000000001</v>
      </c>
      <c r="C2417">
        <f>14.18</f>
        <v>14.18</v>
      </c>
      <c r="D2417">
        <f>180.77</f>
        <v>180.77</v>
      </c>
    </row>
    <row r="2418" spans="1:4" x14ac:dyDescent="0.2">
      <c r="A2418" s="1">
        <v>41744</v>
      </c>
      <c r="B2418">
        <f>19.6432</f>
        <v>19.6432</v>
      </c>
      <c r="C2418">
        <f>15.61</f>
        <v>15.61</v>
      </c>
      <c r="D2418">
        <f>186.63</f>
        <v>186.63</v>
      </c>
    </row>
    <row r="2419" spans="1:4" x14ac:dyDescent="0.2">
      <c r="A2419" s="1">
        <v>41743</v>
      </c>
      <c r="B2419">
        <f>18.4986</f>
        <v>18.4986</v>
      </c>
      <c r="C2419">
        <f>16.11</f>
        <v>16.11</v>
      </c>
      <c r="D2419">
        <f>165.56</f>
        <v>165.56</v>
      </c>
    </row>
    <row r="2420" spans="1:4" x14ac:dyDescent="0.2">
      <c r="A2420" s="1">
        <v>41740</v>
      </c>
      <c r="B2420">
        <f>18.2955</f>
        <v>18.295500000000001</v>
      </c>
      <c r="C2420">
        <f>17.03</f>
        <v>17.03</v>
      </c>
      <c r="D2420">
        <f>185.26</f>
        <v>185.26</v>
      </c>
    </row>
    <row r="2421" spans="1:4" x14ac:dyDescent="0.2">
      <c r="A2421" s="1">
        <v>41739</v>
      </c>
      <c r="B2421">
        <f>17.2542</f>
        <v>17.254200000000001</v>
      </c>
      <c r="C2421">
        <f>15.89</f>
        <v>15.89</v>
      </c>
      <c r="D2421">
        <f>221.23</f>
        <v>221.23</v>
      </c>
    </row>
    <row r="2422" spans="1:4" x14ac:dyDescent="0.2">
      <c r="A2422" s="1">
        <v>41738</v>
      </c>
      <c r="B2422">
        <f>16.9287</f>
        <v>16.928699999999999</v>
      </c>
      <c r="C2422">
        <f>13.82</f>
        <v>13.82</v>
      </c>
      <c r="D2422">
        <f>222.07</f>
        <v>222.07</v>
      </c>
    </row>
    <row r="2423" spans="1:4" x14ac:dyDescent="0.2">
      <c r="A2423" s="1">
        <v>41737</v>
      </c>
      <c r="B2423">
        <f>17.6031</f>
        <v>17.603100000000001</v>
      </c>
      <c r="C2423">
        <f>14.89</f>
        <v>14.89</v>
      </c>
      <c r="D2423">
        <f>225.95</f>
        <v>225.95</v>
      </c>
    </row>
    <row r="2424" spans="1:4" x14ac:dyDescent="0.2">
      <c r="A2424" s="1">
        <v>41736</v>
      </c>
      <c r="B2424">
        <f>17.5437</f>
        <v>17.543700000000001</v>
      </c>
      <c r="C2424">
        <f>15.57</f>
        <v>15.57</v>
      </c>
      <c r="D2424">
        <f>193.99</f>
        <v>193.99</v>
      </c>
    </row>
    <row r="2425" spans="1:4" x14ac:dyDescent="0.2">
      <c r="A2425" s="1">
        <v>41733</v>
      </c>
      <c r="B2425">
        <f>15.875</f>
        <v>15.875</v>
      </c>
      <c r="C2425">
        <f>13.96</f>
        <v>13.96</v>
      </c>
      <c r="D2425">
        <f>218.71</f>
        <v>218.71</v>
      </c>
    </row>
    <row r="2426" spans="1:4" x14ac:dyDescent="0.2">
      <c r="A2426" s="1">
        <v>41732</v>
      </c>
      <c r="B2426">
        <f>16.3742</f>
        <v>16.374199999999998</v>
      </c>
      <c r="C2426">
        <f>13.37</f>
        <v>13.37</v>
      </c>
      <c r="D2426">
        <f>198.74</f>
        <v>198.74</v>
      </c>
    </row>
    <row r="2427" spans="1:4" x14ac:dyDescent="0.2">
      <c r="A2427" s="1">
        <v>41731</v>
      </c>
      <c r="B2427">
        <f>17.1108</f>
        <v>17.110800000000001</v>
      </c>
      <c r="C2427">
        <f>13.09</f>
        <v>13.09</v>
      </c>
      <c r="D2427">
        <f>266.09</f>
        <v>266.08999999999997</v>
      </c>
    </row>
    <row r="2428" spans="1:4" x14ac:dyDescent="0.2">
      <c r="A2428" s="1">
        <v>41730</v>
      </c>
      <c r="B2428">
        <f>16.9064</f>
        <v>16.906400000000001</v>
      </c>
      <c r="C2428">
        <f>13.1</f>
        <v>13.1</v>
      </c>
      <c r="D2428">
        <f>189.17</f>
        <v>189.17</v>
      </c>
    </row>
    <row r="2429" spans="1:4" x14ac:dyDescent="0.2">
      <c r="A2429" s="1">
        <v>41729</v>
      </c>
      <c r="B2429">
        <f>17.6639</f>
        <v>17.663900000000002</v>
      </c>
      <c r="C2429">
        <f>13.88</f>
        <v>13.88</v>
      </c>
      <c r="D2429">
        <f>229.7</f>
        <v>229.7</v>
      </c>
    </row>
    <row r="2430" spans="1:4" x14ac:dyDescent="0.2">
      <c r="A2430" s="1">
        <v>41726</v>
      </c>
      <c r="B2430">
        <f>17.0324</f>
        <v>17.032399999999999</v>
      </c>
      <c r="C2430">
        <f>14.41</f>
        <v>14.41</v>
      </c>
      <c r="D2430">
        <f>204.97</f>
        <v>204.97</v>
      </c>
    </row>
    <row r="2431" spans="1:4" x14ac:dyDescent="0.2">
      <c r="A2431" s="1">
        <v>41725</v>
      </c>
      <c r="B2431">
        <f>17.6397</f>
        <v>17.639700000000001</v>
      </c>
      <c r="C2431">
        <f>14.62</f>
        <v>14.62</v>
      </c>
      <c r="D2431">
        <f>193.67</f>
        <v>193.67</v>
      </c>
    </row>
    <row r="2432" spans="1:4" x14ac:dyDescent="0.2">
      <c r="A2432" s="1">
        <v>41724</v>
      </c>
      <c r="B2432">
        <f>17.5869</f>
        <v>17.5869</v>
      </c>
      <c r="C2432">
        <f>14.93</f>
        <v>14.93</v>
      </c>
      <c r="D2432">
        <f>188.4</f>
        <v>188.4</v>
      </c>
    </row>
    <row r="2433" spans="1:4" x14ac:dyDescent="0.2">
      <c r="A2433" s="1">
        <v>41723</v>
      </c>
      <c r="B2433">
        <f>18.2637</f>
        <v>18.2637</v>
      </c>
      <c r="C2433">
        <f>14.02</f>
        <v>14.02</v>
      </c>
      <c r="D2433">
        <f>153.6</f>
        <v>153.6</v>
      </c>
    </row>
    <row r="2434" spans="1:4" x14ac:dyDescent="0.2">
      <c r="A2434" s="1">
        <v>41722</v>
      </c>
      <c r="B2434">
        <f>19.4248</f>
        <v>19.424800000000001</v>
      </c>
      <c r="C2434">
        <f>15.09</f>
        <v>15.09</v>
      </c>
      <c r="D2434">
        <f>173.99</f>
        <v>173.99</v>
      </c>
    </row>
    <row r="2435" spans="1:4" x14ac:dyDescent="0.2">
      <c r="A2435" s="1">
        <v>41719</v>
      </c>
      <c r="B2435">
        <f>17.1916</f>
        <v>17.191600000000001</v>
      </c>
      <c r="C2435">
        <f>15</f>
        <v>15</v>
      </c>
      <c r="D2435" t="e">
        <f>NA()</f>
        <v>#N/A</v>
      </c>
    </row>
    <row r="2436" spans="1:4" x14ac:dyDescent="0.2">
      <c r="A2436" s="1">
        <v>41718</v>
      </c>
      <c r="B2436">
        <f>18.1292</f>
        <v>18.129200000000001</v>
      </c>
      <c r="C2436">
        <f>14.52</f>
        <v>14.52</v>
      </c>
      <c r="D2436">
        <f>404.14</f>
        <v>404.14</v>
      </c>
    </row>
    <row r="2437" spans="1:4" x14ac:dyDescent="0.2">
      <c r="A2437" s="1">
        <v>41717</v>
      </c>
      <c r="B2437">
        <f>19.293</f>
        <v>19.292999999999999</v>
      </c>
      <c r="C2437">
        <f>15.12</f>
        <v>15.12</v>
      </c>
      <c r="D2437">
        <f>200.54</f>
        <v>200.54</v>
      </c>
    </row>
    <row r="2438" spans="1:4" x14ac:dyDescent="0.2">
      <c r="A2438" s="1">
        <v>41716</v>
      </c>
      <c r="B2438">
        <f>20.1089</f>
        <v>20.108899999999998</v>
      </c>
      <c r="C2438">
        <f>14.52</f>
        <v>14.52</v>
      </c>
      <c r="D2438">
        <f>204.45</f>
        <v>204.45</v>
      </c>
    </row>
    <row r="2439" spans="1:4" x14ac:dyDescent="0.2">
      <c r="A2439" s="1">
        <v>41715</v>
      </c>
      <c r="B2439">
        <f>21.4617</f>
        <v>21.4617</v>
      </c>
      <c r="C2439">
        <f>15.64</f>
        <v>15.64</v>
      </c>
      <c r="D2439">
        <f>160.35</f>
        <v>160.35</v>
      </c>
    </row>
    <row r="2440" spans="1:4" x14ac:dyDescent="0.2">
      <c r="A2440" s="1">
        <v>41712</v>
      </c>
      <c r="B2440">
        <f>23.2095</f>
        <v>23.209499999999998</v>
      </c>
      <c r="C2440">
        <f>17.82</f>
        <v>17.82</v>
      </c>
      <c r="D2440">
        <f>195.62</f>
        <v>195.62</v>
      </c>
    </row>
    <row r="2441" spans="1:4" x14ac:dyDescent="0.2">
      <c r="A2441" s="1">
        <v>41711</v>
      </c>
      <c r="B2441">
        <f>22.0896</f>
        <v>22.089600000000001</v>
      </c>
      <c r="C2441">
        <f>16.22</f>
        <v>16.22</v>
      </c>
      <c r="D2441">
        <f>181.89</f>
        <v>181.89</v>
      </c>
    </row>
    <row r="2442" spans="1:4" x14ac:dyDescent="0.2">
      <c r="A2442" s="1">
        <v>41710</v>
      </c>
      <c r="B2442">
        <f>20.212</f>
        <v>20.212</v>
      </c>
      <c r="C2442">
        <f>14.47</f>
        <v>14.47</v>
      </c>
      <c r="D2442">
        <f>175.49</f>
        <v>175.49</v>
      </c>
    </row>
    <row r="2443" spans="1:4" x14ac:dyDescent="0.2">
      <c r="A2443" s="1">
        <v>41709</v>
      </c>
      <c r="B2443">
        <f>19.7688</f>
        <v>19.768799999999999</v>
      </c>
      <c r="C2443">
        <f>14.8</f>
        <v>14.8</v>
      </c>
      <c r="D2443">
        <f>175.96</f>
        <v>175.96</v>
      </c>
    </row>
    <row r="2444" spans="1:4" x14ac:dyDescent="0.2">
      <c r="A2444" s="1">
        <v>41708</v>
      </c>
      <c r="B2444">
        <f>20.1237</f>
        <v>20.123699999999999</v>
      </c>
      <c r="C2444">
        <f>14.2</f>
        <v>14.2</v>
      </c>
      <c r="D2444">
        <f>146.74</f>
        <v>146.74</v>
      </c>
    </row>
    <row r="2445" spans="1:4" x14ac:dyDescent="0.2">
      <c r="A2445" s="1">
        <v>41705</v>
      </c>
      <c r="B2445">
        <f>20.473</f>
        <v>20.472999999999999</v>
      </c>
      <c r="C2445">
        <f>14.11</f>
        <v>14.11</v>
      </c>
      <c r="D2445">
        <f>162.56</f>
        <v>162.56</v>
      </c>
    </row>
    <row r="2446" spans="1:4" x14ac:dyDescent="0.2">
      <c r="A2446" s="1">
        <v>41704</v>
      </c>
      <c r="B2446">
        <f>17.8166</f>
        <v>17.816600000000001</v>
      </c>
      <c r="C2446">
        <f>14.21</f>
        <v>14.21</v>
      </c>
      <c r="D2446">
        <f>172.08</f>
        <v>172.08</v>
      </c>
    </row>
    <row r="2447" spans="1:4" x14ac:dyDescent="0.2">
      <c r="A2447" s="1">
        <v>41703</v>
      </c>
      <c r="B2447">
        <f>18.7004</f>
        <v>18.700399999999998</v>
      </c>
      <c r="C2447">
        <f>13.89</f>
        <v>13.89</v>
      </c>
      <c r="D2447">
        <f>193.9</f>
        <v>193.9</v>
      </c>
    </row>
    <row r="2448" spans="1:4" x14ac:dyDescent="0.2">
      <c r="A2448" s="1">
        <v>41702</v>
      </c>
      <c r="B2448">
        <f>18.6455</f>
        <v>18.645499999999998</v>
      </c>
      <c r="C2448">
        <f>14.1</f>
        <v>14.1</v>
      </c>
      <c r="D2448">
        <f>219.1</f>
        <v>219.1</v>
      </c>
    </row>
    <row r="2449" spans="1:4" x14ac:dyDescent="0.2">
      <c r="A2449" s="1">
        <v>41701</v>
      </c>
      <c r="B2449">
        <f>21.8609</f>
        <v>21.860900000000001</v>
      </c>
      <c r="C2449">
        <f>16</f>
        <v>16</v>
      </c>
      <c r="D2449">
        <f>129.09</f>
        <v>129.09</v>
      </c>
    </row>
    <row r="2450" spans="1:4" x14ac:dyDescent="0.2">
      <c r="A2450" s="1">
        <v>41698</v>
      </c>
      <c r="B2450">
        <f>16.7667</f>
        <v>16.7667</v>
      </c>
      <c r="C2450">
        <f>14</f>
        <v>14</v>
      </c>
      <c r="D2450">
        <f>241.25</f>
        <v>241.25</v>
      </c>
    </row>
    <row r="2451" spans="1:4" x14ac:dyDescent="0.2">
      <c r="A2451" s="1">
        <v>41697</v>
      </c>
      <c r="B2451">
        <f>17.1187</f>
        <v>17.1187</v>
      </c>
      <c r="C2451">
        <f>14.04</f>
        <v>14.04</v>
      </c>
      <c r="D2451">
        <f>165.37</f>
        <v>165.37</v>
      </c>
    </row>
    <row r="2452" spans="1:4" x14ac:dyDescent="0.2">
      <c r="A2452" s="1">
        <v>41696</v>
      </c>
      <c r="B2452">
        <f>16.1415</f>
        <v>16.141500000000001</v>
      </c>
      <c r="C2452">
        <f>14.35</f>
        <v>14.35</v>
      </c>
      <c r="D2452">
        <f>170.92</f>
        <v>170.92</v>
      </c>
    </row>
    <row r="2453" spans="1:4" x14ac:dyDescent="0.2">
      <c r="A2453" s="1">
        <v>41695</v>
      </c>
      <c r="B2453">
        <f>16.2399</f>
        <v>16.239899999999999</v>
      </c>
      <c r="C2453">
        <f>13.67</f>
        <v>13.67</v>
      </c>
      <c r="D2453">
        <f>193.16</f>
        <v>193.16</v>
      </c>
    </row>
    <row r="2454" spans="1:4" x14ac:dyDescent="0.2">
      <c r="A2454" s="1">
        <v>41694</v>
      </c>
      <c r="B2454">
        <f>16.7175</f>
        <v>16.717500000000001</v>
      </c>
      <c r="C2454">
        <f>14.23</f>
        <v>14.23</v>
      </c>
      <c r="D2454">
        <f>156.77</f>
        <v>156.77000000000001</v>
      </c>
    </row>
    <row r="2455" spans="1:4" x14ac:dyDescent="0.2">
      <c r="A2455" s="1">
        <v>41691</v>
      </c>
      <c r="B2455">
        <f>17.3772</f>
        <v>17.377199999999998</v>
      </c>
      <c r="C2455">
        <f>14.68</f>
        <v>14.68</v>
      </c>
      <c r="D2455">
        <f>163.31</f>
        <v>163.31</v>
      </c>
    </row>
    <row r="2456" spans="1:4" x14ac:dyDescent="0.2">
      <c r="A2456" s="1">
        <v>41690</v>
      </c>
      <c r="B2456">
        <f>17.7721</f>
        <v>17.772099999999998</v>
      </c>
      <c r="C2456">
        <f>14.79</f>
        <v>14.79</v>
      </c>
      <c r="D2456">
        <f>176.76</f>
        <v>176.76</v>
      </c>
    </row>
    <row r="2457" spans="1:4" x14ac:dyDescent="0.2">
      <c r="A2457" s="1">
        <v>41689</v>
      </c>
      <c r="B2457">
        <f>17.448</f>
        <v>17.448</v>
      </c>
      <c r="C2457">
        <f>15.5</f>
        <v>15.5</v>
      </c>
      <c r="D2457">
        <f>184.27</f>
        <v>184.27</v>
      </c>
    </row>
    <row r="2458" spans="1:4" x14ac:dyDescent="0.2">
      <c r="A2458" s="1">
        <v>41688</v>
      </c>
      <c r="B2458">
        <f>17.0973</f>
        <v>17.097300000000001</v>
      </c>
      <c r="C2458">
        <f>13.87</f>
        <v>13.87</v>
      </c>
      <c r="D2458">
        <f>134.84</f>
        <v>134.84</v>
      </c>
    </row>
    <row r="2459" spans="1:4" x14ac:dyDescent="0.2">
      <c r="A2459" s="1">
        <v>41687</v>
      </c>
      <c r="B2459">
        <f>17.2038</f>
        <v>17.203800000000001</v>
      </c>
      <c r="C2459" t="e">
        <f>NA()</f>
        <v>#N/A</v>
      </c>
      <c r="D2459">
        <f>147.34</f>
        <v>147.34</v>
      </c>
    </row>
    <row r="2460" spans="1:4" x14ac:dyDescent="0.2">
      <c r="A2460" s="1">
        <v>41684</v>
      </c>
      <c r="B2460">
        <f>16.3821</f>
        <v>16.382100000000001</v>
      </c>
      <c r="C2460">
        <f>13.57</f>
        <v>13.57</v>
      </c>
      <c r="D2460">
        <f>143.24</f>
        <v>143.24</v>
      </c>
    </row>
    <row r="2461" spans="1:4" x14ac:dyDescent="0.2">
      <c r="A2461" s="1">
        <v>41683</v>
      </c>
      <c r="B2461">
        <f>17.4978</f>
        <v>17.497800000000002</v>
      </c>
      <c r="C2461">
        <f>14.14</f>
        <v>14.14</v>
      </c>
      <c r="D2461">
        <f>175.63</f>
        <v>175.63</v>
      </c>
    </row>
    <row r="2462" spans="1:4" x14ac:dyDescent="0.2">
      <c r="A2462" s="1">
        <v>41682</v>
      </c>
      <c r="B2462">
        <f>17.9259</f>
        <v>17.925899999999999</v>
      </c>
      <c r="C2462">
        <f>14.3</f>
        <v>14.3</v>
      </c>
      <c r="D2462">
        <f>188.06</f>
        <v>188.06</v>
      </c>
    </row>
    <row r="2463" spans="1:4" x14ac:dyDescent="0.2">
      <c r="A2463" s="1">
        <v>41681</v>
      </c>
      <c r="B2463">
        <f>17.6719</f>
        <v>17.671900000000001</v>
      </c>
      <c r="C2463">
        <f>14.51</f>
        <v>14.51</v>
      </c>
      <c r="D2463">
        <f>199.28</f>
        <v>199.28</v>
      </c>
    </row>
    <row r="2464" spans="1:4" x14ac:dyDescent="0.2">
      <c r="A2464" s="1">
        <v>41680</v>
      </c>
      <c r="B2464">
        <f>19.3075</f>
        <v>19.307500000000001</v>
      </c>
      <c r="C2464">
        <f>15.26</f>
        <v>15.26</v>
      </c>
      <c r="D2464">
        <f>165.3</f>
        <v>165.3</v>
      </c>
    </row>
    <row r="2465" spans="1:4" x14ac:dyDescent="0.2">
      <c r="A2465" s="1">
        <v>41677</v>
      </c>
      <c r="B2465">
        <f>19.2347</f>
        <v>19.2347</v>
      </c>
      <c r="C2465">
        <f>15.29</f>
        <v>15.29</v>
      </c>
      <c r="D2465">
        <f>185.37</f>
        <v>185.37</v>
      </c>
    </row>
    <row r="2466" spans="1:4" x14ac:dyDescent="0.2">
      <c r="A2466" s="1">
        <v>41676</v>
      </c>
      <c r="B2466">
        <f>20.801</f>
        <v>20.800999999999998</v>
      </c>
      <c r="C2466">
        <f>17.23</f>
        <v>17.23</v>
      </c>
      <c r="D2466">
        <f>252.38</f>
        <v>252.38</v>
      </c>
    </row>
    <row r="2467" spans="1:4" x14ac:dyDescent="0.2">
      <c r="A2467" s="1">
        <v>41675</v>
      </c>
      <c r="B2467">
        <f>22.6486</f>
        <v>22.648599999999998</v>
      </c>
      <c r="C2467">
        <f>19.95</f>
        <v>19.95</v>
      </c>
      <c r="D2467">
        <f>195.76</f>
        <v>195.76</v>
      </c>
    </row>
    <row r="2468" spans="1:4" x14ac:dyDescent="0.2">
      <c r="A2468" s="1">
        <v>41674</v>
      </c>
      <c r="B2468">
        <f>23.0114</f>
        <v>23.011399999999998</v>
      </c>
      <c r="C2468">
        <f>19.11</f>
        <v>19.11</v>
      </c>
      <c r="D2468">
        <f>250.38</f>
        <v>250.38</v>
      </c>
    </row>
    <row r="2469" spans="1:4" x14ac:dyDescent="0.2">
      <c r="A2469" s="1">
        <v>41673</v>
      </c>
      <c r="B2469">
        <f>24.0207</f>
        <v>24.020700000000001</v>
      </c>
      <c r="C2469">
        <f>21.44</f>
        <v>21.44</v>
      </c>
      <c r="D2469">
        <f>171.13</f>
        <v>171.13</v>
      </c>
    </row>
    <row r="2470" spans="1:4" x14ac:dyDescent="0.2">
      <c r="A2470" s="1">
        <v>41670</v>
      </c>
      <c r="B2470">
        <f>21.8188</f>
        <v>21.8188</v>
      </c>
      <c r="C2470">
        <f>18.41</f>
        <v>18.41</v>
      </c>
      <c r="D2470">
        <f>284.57</f>
        <v>284.57</v>
      </c>
    </row>
    <row r="2471" spans="1:4" x14ac:dyDescent="0.2">
      <c r="A2471" s="1">
        <v>41669</v>
      </c>
      <c r="B2471">
        <f>21.1181</f>
        <v>21.118099999999998</v>
      </c>
      <c r="C2471">
        <f>17.29</f>
        <v>17.29</v>
      </c>
      <c r="D2471">
        <f>423.5</f>
        <v>423.5</v>
      </c>
    </row>
    <row r="2472" spans="1:4" x14ac:dyDescent="0.2">
      <c r="A2472" s="1">
        <v>41668</v>
      </c>
      <c r="B2472">
        <f>21.8127</f>
        <v>21.8127</v>
      </c>
      <c r="C2472">
        <f>17.35</f>
        <v>17.350000000000001</v>
      </c>
      <c r="D2472">
        <f>247.78</f>
        <v>247.78</v>
      </c>
    </row>
    <row r="2473" spans="1:4" x14ac:dyDescent="0.2">
      <c r="A2473" s="1">
        <v>41667</v>
      </c>
      <c r="B2473">
        <f>19.9723</f>
        <v>19.972300000000001</v>
      </c>
      <c r="C2473">
        <f>15.8</f>
        <v>15.8</v>
      </c>
      <c r="D2473">
        <f>168.2</f>
        <v>168.2</v>
      </c>
    </row>
    <row r="2474" spans="1:4" x14ac:dyDescent="0.2">
      <c r="A2474" s="1">
        <v>41666</v>
      </c>
      <c r="B2474">
        <f>20.6842</f>
        <v>20.684200000000001</v>
      </c>
      <c r="C2474">
        <f>17.42</f>
        <v>17.420000000000002</v>
      </c>
      <c r="D2474">
        <f>178.33</f>
        <v>178.33</v>
      </c>
    </row>
    <row r="2475" spans="1:4" x14ac:dyDescent="0.2">
      <c r="A2475" s="1">
        <v>41663</v>
      </c>
      <c r="B2475">
        <f>20.9333</f>
        <v>20.933299999999999</v>
      </c>
      <c r="C2475">
        <f>18.14</f>
        <v>18.14</v>
      </c>
      <c r="D2475">
        <f>195.57</f>
        <v>195.57</v>
      </c>
    </row>
    <row r="2476" spans="1:4" x14ac:dyDescent="0.2">
      <c r="A2476" s="1">
        <v>41662</v>
      </c>
      <c r="B2476">
        <f>17.5122</f>
        <v>17.5122</v>
      </c>
      <c r="C2476">
        <f>13.77</f>
        <v>13.77</v>
      </c>
      <c r="D2476">
        <f>195.62</f>
        <v>195.62</v>
      </c>
    </row>
    <row r="2477" spans="1:4" x14ac:dyDescent="0.2">
      <c r="A2477" s="1">
        <v>41661</v>
      </c>
      <c r="B2477">
        <f>16.4469</f>
        <v>16.446899999999999</v>
      </c>
      <c r="C2477">
        <f>12.84</f>
        <v>12.84</v>
      </c>
      <c r="D2477">
        <f>149.57</f>
        <v>149.57</v>
      </c>
    </row>
    <row r="2478" spans="1:4" x14ac:dyDescent="0.2">
      <c r="A2478" s="1">
        <v>41660</v>
      </c>
      <c r="B2478">
        <f>16.1749</f>
        <v>16.174900000000001</v>
      </c>
      <c r="C2478">
        <f>12.87</f>
        <v>12.87</v>
      </c>
      <c r="D2478">
        <f>176.03</f>
        <v>176.03</v>
      </c>
    </row>
    <row r="2479" spans="1:4" x14ac:dyDescent="0.2">
      <c r="A2479" s="1">
        <v>41659</v>
      </c>
      <c r="B2479">
        <f>16.0913</f>
        <v>16.0913</v>
      </c>
      <c r="C2479" t="e">
        <f>NA()</f>
        <v>#N/A</v>
      </c>
      <c r="D2479">
        <f>158.18</f>
        <v>158.18</v>
      </c>
    </row>
    <row r="2480" spans="1:4" x14ac:dyDescent="0.2">
      <c r="A2480" s="1">
        <v>41656</v>
      </c>
      <c r="B2480">
        <f>15.7352</f>
        <v>15.735200000000001</v>
      </c>
      <c r="C2480">
        <f>12.44</f>
        <v>12.44</v>
      </c>
      <c r="D2480">
        <f>221.15</f>
        <v>221.15</v>
      </c>
    </row>
    <row r="2481" spans="1:4" x14ac:dyDescent="0.2">
      <c r="A2481" s="1">
        <v>41655</v>
      </c>
      <c r="B2481">
        <f>17.0561</f>
        <v>17.056100000000001</v>
      </c>
      <c r="C2481">
        <f>12.53</f>
        <v>12.53</v>
      </c>
      <c r="D2481">
        <f>154.65</f>
        <v>154.65</v>
      </c>
    </row>
    <row r="2482" spans="1:4" x14ac:dyDescent="0.2">
      <c r="A2482" s="1">
        <v>41654</v>
      </c>
      <c r="B2482">
        <f>16.5089</f>
        <v>16.508900000000001</v>
      </c>
      <c r="C2482">
        <f>12.28</f>
        <v>12.28</v>
      </c>
      <c r="D2482">
        <f>144.17</f>
        <v>144.16999999999999</v>
      </c>
    </row>
    <row r="2483" spans="1:4" x14ac:dyDescent="0.2">
      <c r="A2483" s="1">
        <v>41653</v>
      </c>
      <c r="B2483">
        <f>16.8066</f>
        <v>16.8066</v>
      </c>
      <c r="C2483">
        <f>12.28</f>
        <v>12.28</v>
      </c>
      <c r="D2483">
        <f>145.25</f>
        <v>145.25</v>
      </c>
    </row>
    <row r="2484" spans="1:4" x14ac:dyDescent="0.2">
      <c r="A2484" s="1">
        <v>41652</v>
      </c>
      <c r="B2484">
        <f>17.0978</f>
        <v>17.097799999999999</v>
      </c>
      <c r="C2484">
        <f>13.28</f>
        <v>13.28</v>
      </c>
      <c r="D2484">
        <f>134.14</f>
        <v>134.13999999999999</v>
      </c>
    </row>
    <row r="2485" spans="1:4" x14ac:dyDescent="0.2">
      <c r="A2485" s="1">
        <v>41649</v>
      </c>
      <c r="B2485">
        <f>16.5627</f>
        <v>16.5627</v>
      </c>
      <c r="C2485">
        <f>12.14</f>
        <v>12.14</v>
      </c>
      <c r="D2485">
        <f>145.29</f>
        <v>145.29</v>
      </c>
    </row>
    <row r="2486" spans="1:4" x14ac:dyDescent="0.2">
      <c r="A2486" s="1">
        <v>41648</v>
      </c>
      <c r="B2486">
        <f>17.3584</f>
        <v>17.3584</v>
      </c>
      <c r="C2486">
        <f>12.89</f>
        <v>12.89</v>
      </c>
      <c r="D2486">
        <f>132.76</f>
        <v>132.76</v>
      </c>
    </row>
    <row r="2487" spans="1:4" x14ac:dyDescent="0.2">
      <c r="A2487" s="1">
        <v>41647</v>
      </c>
      <c r="B2487">
        <f>17.3671</f>
        <v>17.367100000000001</v>
      </c>
      <c r="C2487">
        <f>12.87</f>
        <v>12.87</v>
      </c>
      <c r="D2487">
        <f>118.02</f>
        <v>118.02</v>
      </c>
    </row>
    <row r="2488" spans="1:4" x14ac:dyDescent="0.2">
      <c r="A2488" s="1">
        <v>41646</v>
      </c>
      <c r="B2488">
        <f>17.1932</f>
        <v>17.193200000000001</v>
      </c>
      <c r="C2488">
        <f>12.92</f>
        <v>12.92</v>
      </c>
      <c r="D2488">
        <f>120.14</f>
        <v>120.14</v>
      </c>
    </row>
    <row r="2489" spans="1:4" x14ac:dyDescent="0.2">
      <c r="A2489" s="1">
        <v>41645</v>
      </c>
      <c r="B2489">
        <f>18.1672</f>
        <v>18.167200000000001</v>
      </c>
      <c r="C2489">
        <f>13.55</f>
        <v>13.55</v>
      </c>
      <c r="D2489">
        <f>98.12</f>
        <v>98.12</v>
      </c>
    </row>
    <row r="2490" spans="1:4" x14ac:dyDescent="0.2">
      <c r="A2490" s="1">
        <v>41642</v>
      </c>
      <c r="B2490">
        <f>18.0018</f>
        <v>18.001799999999999</v>
      </c>
      <c r="C2490">
        <f>13.76</f>
        <v>13.76</v>
      </c>
      <c r="D2490">
        <f>65.88</f>
        <v>65.88</v>
      </c>
    </row>
    <row r="2491" spans="1:4" x14ac:dyDescent="0.2">
      <c r="A2491" s="1">
        <v>41641</v>
      </c>
      <c r="B2491">
        <f>18.9286</f>
        <v>18.928599999999999</v>
      </c>
      <c r="C2491">
        <f>14.23</f>
        <v>14.23</v>
      </c>
      <c r="D2491">
        <f>69.57</f>
        <v>69.569999999999993</v>
      </c>
    </row>
    <row r="2492" spans="1:4" x14ac:dyDescent="0.2">
      <c r="A2492" s="1">
        <v>41639</v>
      </c>
      <c r="B2492" t="e">
        <f>NA()</f>
        <v>#N/A</v>
      </c>
      <c r="C2492">
        <f>13.72</f>
        <v>13.72</v>
      </c>
      <c r="D2492">
        <f>37.16</f>
        <v>37.159999999999997</v>
      </c>
    </row>
    <row r="2493" spans="1:4" x14ac:dyDescent="0.2">
      <c r="A2493" s="1">
        <v>41638</v>
      </c>
      <c r="B2493">
        <f>17.2549</f>
        <v>17.254899999999999</v>
      </c>
      <c r="C2493">
        <f>13.56</f>
        <v>13.56</v>
      </c>
      <c r="D2493">
        <f>67.78</f>
        <v>67.78</v>
      </c>
    </row>
    <row r="2494" spans="1:4" x14ac:dyDescent="0.2">
      <c r="A2494" s="1">
        <v>41635</v>
      </c>
      <c r="B2494">
        <f>16.4643</f>
        <v>16.464300000000001</v>
      </c>
      <c r="C2494">
        <f>12.46</f>
        <v>12.46</v>
      </c>
      <c r="D2494">
        <f>63.36</f>
        <v>63.36</v>
      </c>
    </row>
    <row r="2495" spans="1:4" x14ac:dyDescent="0.2">
      <c r="A2495" s="1">
        <v>41634</v>
      </c>
      <c r="B2495" t="e">
        <f>NA()</f>
        <v>#N/A</v>
      </c>
      <c r="C2495">
        <f>12.33</f>
        <v>12.33</v>
      </c>
      <c r="D2495" t="e">
        <f>NA()</f>
        <v>#N/A</v>
      </c>
    </row>
    <row r="2496" spans="1:4" x14ac:dyDescent="0.2">
      <c r="A2496" s="1">
        <v>41632</v>
      </c>
      <c r="B2496" t="e">
        <f>NA()</f>
        <v>#N/A</v>
      </c>
      <c r="C2496">
        <f>12.48</f>
        <v>12.48</v>
      </c>
      <c r="D2496">
        <f>73.19</f>
        <v>73.19</v>
      </c>
    </row>
    <row r="2497" spans="1:4" x14ac:dyDescent="0.2">
      <c r="A2497" s="1">
        <v>41631</v>
      </c>
      <c r="B2497">
        <f>15.8067</f>
        <v>15.806699999999999</v>
      </c>
      <c r="C2497">
        <f>13.04</f>
        <v>13.04</v>
      </c>
      <c r="D2497">
        <f>106.39</f>
        <v>106.39</v>
      </c>
    </row>
    <row r="2498" spans="1:4" x14ac:dyDescent="0.2">
      <c r="A2498" s="1">
        <v>41628</v>
      </c>
      <c r="B2498">
        <f>16.0088</f>
        <v>16.008800000000001</v>
      </c>
      <c r="C2498">
        <f>13.79</f>
        <v>13.79</v>
      </c>
      <c r="D2498">
        <f>227.49</f>
        <v>227.49</v>
      </c>
    </row>
    <row r="2499" spans="1:4" x14ac:dyDescent="0.2">
      <c r="A2499" s="1">
        <v>41627</v>
      </c>
      <c r="B2499">
        <f>15.4029</f>
        <v>15.402900000000001</v>
      </c>
      <c r="C2499">
        <f>14.15</f>
        <v>14.15</v>
      </c>
      <c r="D2499">
        <f>302.42</f>
        <v>302.42</v>
      </c>
    </row>
    <row r="2500" spans="1:4" x14ac:dyDescent="0.2">
      <c r="A2500" s="1">
        <v>41626</v>
      </c>
      <c r="B2500">
        <f>17.2028</f>
        <v>17.2028</v>
      </c>
      <c r="C2500">
        <f>13.8</f>
        <v>13.8</v>
      </c>
      <c r="D2500">
        <f>153.93</f>
        <v>153.93</v>
      </c>
    </row>
    <row r="2501" spans="1:4" x14ac:dyDescent="0.2">
      <c r="A2501" s="1">
        <v>41625</v>
      </c>
      <c r="B2501">
        <f>18.179</f>
        <v>18.178999999999998</v>
      </c>
      <c r="C2501">
        <f>16.21</f>
        <v>16.21</v>
      </c>
      <c r="D2501">
        <f>163.32</f>
        <v>163.32</v>
      </c>
    </row>
    <row r="2502" spans="1:4" x14ac:dyDescent="0.2">
      <c r="A2502" s="1">
        <v>41624</v>
      </c>
      <c r="B2502">
        <f>18.4886</f>
        <v>18.488600000000002</v>
      </c>
      <c r="C2502">
        <f>16.03</f>
        <v>16.03</v>
      </c>
      <c r="D2502" t="e">
        <f>NA()</f>
        <v>#N/A</v>
      </c>
    </row>
    <row r="2503" spans="1:4" x14ac:dyDescent="0.2">
      <c r="A2503" s="1">
        <v>41621</v>
      </c>
      <c r="B2503">
        <f>18.2036</f>
        <v>18.203600000000002</v>
      </c>
      <c r="C2503">
        <f>15.76</f>
        <v>15.76</v>
      </c>
      <c r="D2503">
        <f>197.95</f>
        <v>197.95</v>
      </c>
    </row>
    <row r="2504" spans="1:4" x14ac:dyDescent="0.2">
      <c r="A2504" s="1">
        <v>41620</v>
      </c>
      <c r="B2504">
        <f>18.0599</f>
        <v>18.059899999999999</v>
      </c>
      <c r="C2504">
        <f>15.54</f>
        <v>15.54</v>
      </c>
      <c r="D2504">
        <f>237.96</f>
        <v>237.96</v>
      </c>
    </row>
    <row r="2505" spans="1:4" x14ac:dyDescent="0.2">
      <c r="A2505" s="1">
        <v>41619</v>
      </c>
      <c r="B2505">
        <f>17.3558</f>
        <v>17.355799999999999</v>
      </c>
      <c r="C2505">
        <f>15.42</f>
        <v>15.42</v>
      </c>
      <c r="D2505">
        <f>186.1</f>
        <v>186.1</v>
      </c>
    </row>
    <row r="2506" spans="1:4" x14ac:dyDescent="0.2">
      <c r="A2506" s="1">
        <v>41618</v>
      </c>
      <c r="B2506">
        <f>16.7351</f>
        <v>16.735099999999999</v>
      </c>
      <c r="C2506">
        <f>13.91</f>
        <v>13.91</v>
      </c>
      <c r="D2506">
        <f>175.04</f>
        <v>175.04</v>
      </c>
    </row>
    <row r="2507" spans="1:4" x14ac:dyDescent="0.2">
      <c r="A2507" s="1">
        <v>41617</v>
      </c>
      <c r="B2507">
        <f>16.2138</f>
        <v>16.213799999999999</v>
      </c>
      <c r="C2507">
        <f>13.49</f>
        <v>13.49</v>
      </c>
      <c r="D2507">
        <f>134.12</f>
        <v>134.12</v>
      </c>
    </row>
    <row r="2508" spans="1:4" x14ac:dyDescent="0.2">
      <c r="A2508" s="1">
        <v>41614</v>
      </c>
      <c r="B2508">
        <f>16.4994</f>
        <v>16.499400000000001</v>
      </c>
      <c r="C2508">
        <f>13.79</f>
        <v>13.79</v>
      </c>
      <c r="D2508">
        <f>178.25</f>
        <v>178.25</v>
      </c>
    </row>
    <row r="2509" spans="1:4" x14ac:dyDescent="0.2">
      <c r="A2509" s="1">
        <v>41613</v>
      </c>
      <c r="B2509">
        <f>18.378</f>
        <v>18.378</v>
      </c>
      <c r="C2509">
        <f>15.08</f>
        <v>15.08</v>
      </c>
      <c r="D2509">
        <f>153.65</f>
        <v>153.65</v>
      </c>
    </row>
    <row r="2510" spans="1:4" x14ac:dyDescent="0.2">
      <c r="A2510" s="1">
        <v>41612</v>
      </c>
      <c r="B2510">
        <f>17.8791</f>
        <v>17.879100000000001</v>
      </c>
      <c r="C2510">
        <f>14.7</f>
        <v>14.7</v>
      </c>
      <c r="D2510">
        <f>195.5</f>
        <v>195.5</v>
      </c>
    </row>
    <row r="2511" spans="1:4" x14ac:dyDescent="0.2">
      <c r="A2511" s="1">
        <v>41611</v>
      </c>
      <c r="B2511">
        <f>17.098</f>
        <v>17.097999999999999</v>
      </c>
      <c r="C2511">
        <f>14.55</f>
        <v>14.55</v>
      </c>
      <c r="D2511">
        <f>196.06</f>
        <v>196.06</v>
      </c>
    </row>
    <row r="2512" spans="1:4" x14ac:dyDescent="0.2">
      <c r="A2512" s="1">
        <v>41610</v>
      </c>
      <c r="B2512">
        <f>15.4364</f>
        <v>15.436400000000001</v>
      </c>
      <c r="C2512">
        <f>14.23</f>
        <v>14.23</v>
      </c>
      <c r="D2512">
        <f>109.44</f>
        <v>109.44</v>
      </c>
    </row>
    <row r="2513" spans="1:4" x14ac:dyDescent="0.2">
      <c r="A2513" s="1">
        <v>41607</v>
      </c>
      <c r="B2513">
        <f>14.6502</f>
        <v>14.6502</v>
      </c>
      <c r="C2513">
        <f>13.7</f>
        <v>13.7</v>
      </c>
      <c r="D2513">
        <f>156.47</f>
        <v>156.47</v>
      </c>
    </row>
    <row r="2514" spans="1:4" x14ac:dyDescent="0.2">
      <c r="A2514" s="1">
        <v>41606</v>
      </c>
      <c r="B2514">
        <f>13.8195</f>
        <v>13.8195</v>
      </c>
      <c r="C2514" t="e">
        <f>NA()</f>
        <v>#N/A</v>
      </c>
      <c r="D2514">
        <f>197.42</f>
        <v>197.42</v>
      </c>
    </row>
    <row r="2515" spans="1:4" x14ac:dyDescent="0.2">
      <c r="A2515" s="1">
        <v>41605</v>
      </c>
      <c r="B2515">
        <f>14.117</f>
        <v>14.117000000000001</v>
      </c>
      <c r="C2515">
        <f>12.98</f>
        <v>12.98</v>
      </c>
      <c r="D2515">
        <f>188.66</f>
        <v>188.66</v>
      </c>
    </row>
    <row r="2516" spans="1:4" x14ac:dyDescent="0.2">
      <c r="A2516" s="1">
        <v>41604</v>
      </c>
      <c r="B2516">
        <f>14.5147</f>
        <v>14.514699999999999</v>
      </c>
      <c r="C2516">
        <f>12.81</f>
        <v>12.81</v>
      </c>
      <c r="D2516">
        <f>253.01</f>
        <v>253.01</v>
      </c>
    </row>
    <row r="2517" spans="1:4" x14ac:dyDescent="0.2">
      <c r="A2517" s="1">
        <v>41603</v>
      </c>
      <c r="B2517">
        <f>14.5254</f>
        <v>14.525399999999999</v>
      </c>
      <c r="C2517">
        <f>12.79</f>
        <v>12.79</v>
      </c>
      <c r="D2517">
        <f>155.81</f>
        <v>155.81</v>
      </c>
    </row>
    <row r="2518" spans="1:4" x14ac:dyDescent="0.2">
      <c r="A2518" s="1">
        <v>41600</v>
      </c>
      <c r="B2518">
        <f>14.2629</f>
        <v>14.2629</v>
      </c>
      <c r="C2518">
        <f>12.26</f>
        <v>12.26</v>
      </c>
      <c r="D2518">
        <f>177.08</f>
        <v>177.08</v>
      </c>
    </row>
    <row r="2519" spans="1:4" x14ac:dyDescent="0.2">
      <c r="A2519" s="1">
        <v>41599</v>
      </c>
      <c r="B2519">
        <f>15.082</f>
        <v>15.082000000000001</v>
      </c>
      <c r="C2519">
        <f>12.66</f>
        <v>12.66</v>
      </c>
      <c r="D2519">
        <f>141.18</f>
        <v>141.18</v>
      </c>
    </row>
    <row r="2520" spans="1:4" x14ac:dyDescent="0.2">
      <c r="A2520" s="1">
        <v>41598</v>
      </c>
      <c r="B2520">
        <f>15.5212</f>
        <v>15.5212</v>
      </c>
      <c r="C2520">
        <f>13.4</f>
        <v>13.4</v>
      </c>
      <c r="D2520">
        <f>266.37</f>
        <v>266.37</v>
      </c>
    </row>
    <row r="2521" spans="1:4" x14ac:dyDescent="0.2">
      <c r="A2521" s="1">
        <v>41597</v>
      </c>
      <c r="B2521">
        <f>15.6565</f>
        <v>15.656499999999999</v>
      </c>
      <c r="C2521">
        <f>13.39</f>
        <v>13.39</v>
      </c>
      <c r="D2521">
        <f>163.01</f>
        <v>163.01</v>
      </c>
    </row>
    <row r="2522" spans="1:4" x14ac:dyDescent="0.2">
      <c r="A2522" s="1">
        <v>41596</v>
      </c>
      <c r="B2522">
        <f>15.3971</f>
        <v>15.3971</v>
      </c>
      <c r="C2522">
        <f>13.1</f>
        <v>13.1</v>
      </c>
      <c r="D2522">
        <f>159.44</f>
        <v>159.44</v>
      </c>
    </row>
    <row r="2523" spans="1:4" x14ac:dyDescent="0.2">
      <c r="A2523" s="1">
        <v>41593</v>
      </c>
      <c r="B2523">
        <f>15.1624</f>
        <v>15.1624</v>
      </c>
      <c r="C2523">
        <f>12.19</f>
        <v>12.19</v>
      </c>
      <c r="D2523">
        <f>166.75</f>
        <v>166.75</v>
      </c>
    </row>
    <row r="2524" spans="1:4" x14ac:dyDescent="0.2">
      <c r="A2524" s="1">
        <v>41592</v>
      </c>
      <c r="B2524">
        <f>15.9077</f>
        <v>15.9077</v>
      </c>
      <c r="C2524">
        <f>12.37</f>
        <v>12.37</v>
      </c>
      <c r="D2524">
        <f>148.97</f>
        <v>148.97</v>
      </c>
    </row>
    <row r="2525" spans="1:4" x14ac:dyDescent="0.2">
      <c r="A2525" s="1">
        <v>41591</v>
      </c>
      <c r="B2525">
        <f>17.1273</f>
        <v>17.127300000000002</v>
      </c>
      <c r="C2525">
        <f>12.52</f>
        <v>12.52</v>
      </c>
      <c r="D2525">
        <f>256.08</f>
        <v>256.08</v>
      </c>
    </row>
    <row r="2526" spans="1:4" x14ac:dyDescent="0.2">
      <c r="A2526" s="1">
        <v>41590</v>
      </c>
      <c r="B2526">
        <f>17.2688</f>
        <v>17.268799999999999</v>
      </c>
      <c r="C2526">
        <f>12.82</f>
        <v>12.82</v>
      </c>
      <c r="D2526">
        <f>171.26</f>
        <v>171.26</v>
      </c>
    </row>
    <row r="2527" spans="1:4" x14ac:dyDescent="0.2">
      <c r="A2527" s="1">
        <v>41589</v>
      </c>
      <c r="B2527">
        <f>17.2356</f>
        <v>17.235600000000002</v>
      </c>
      <c r="C2527">
        <f>12.53</f>
        <v>12.53</v>
      </c>
      <c r="D2527">
        <f>163.94</f>
        <v>163.94</v>
      </c>
    </row>
    <row r="2528" spans="1:4" x14ac:dyDescent="0.2">
      <c r="A2528" s="1">
        <v>41586</v>
      </c>
      <c r="B2528">
        <f>17.2896</f>
        <v>17.2896</v>
      </c>
      <c r="C2528">
        <f>12.9</f>
        <v>12.9</v>
      </c>
      <c r="D2528">
        <f>170.56</f>
        <v>170.56</v>
      </c>
    </row>
    <row r="2529" spans="1:4" x14ac:dyDescent="0.2">
      <c r="A2529" s="1">
        <v>41585</v>
      </c>
      <c r="B2529">
        <f>16.69</f>
        <v>16.690000000000001</v>
      </c>
      <c r="C2529">
        <f>13.91</f>
        <v>13.91</v>
      </c>
      <c r="D2529">
        <f>166.3</f>
        <v>166.3</v>
      </c>
    </row>
    <row r="2530" spans="1:4" x14ac:dyDescent="0.2">
      <c r="A2530" s="1">
        <v>41584</v>
      </c>
      <c r="B2530">
        <f>16.828</f>
        <v>16.827999999999999</v>
      </c>
      <c r="C2530">
        <f>12.67</f>
        <v>12.67</v>
      </c>
      <c r="D2530">
        <f>185.3</f>
        <v>185.3</v>
      </c>
    </row>
    <row r="2531" spans="1:4" x14ac:dyDescent="0.2">
      <c r="A2531" s="1">
        <v>41583</v>
      </c>
      <c r="B2531">
        <f>16.7541</f>
        <v>16.754100000000001</v>
      </c>
      <c r="C2531">
        <f>13.27</f>
        <v>13.27</v>
      </c>
      <c r="D2531">
        <f>155.68</f>
        <v>155.68</v>
      </c>
    </row>
    <row r="2532" spans="1:4" x14ac:dyDescent="0.2">
      <c r="A2532" s="1">
        <v>41582</v>
      </c>
      <c r="B2532">
        <f>16.2488</f>
        <v>16.248799999999999</v>
      </c>
      <c r="C2532">
        <f>12.93</f>
        <v>12.93</v>
      </c>
      <c r="D2532">
        <f>107.97</f>
        <v>107.97</v>
      </c>
    </row>
    <row r="2533" spans="1:4" x14ac:dyDescent="0.2">
      <c r="A2533" s="1">
        <v>41579</v>
      </c>
      <c r="B2533">
        <f>16.205</f>
        <v>16.204999999999998</v>
      </c>
      <c r="C2533">
        <f>13.28</f>
        <v>13.28</v>
      </c>
      <c r="D2533">
        <f>133.35</f>
        <v>133.35</v>
      </c>
    </row>
    <row r="2534" spans="1:4" x14ac:dyDescent="0.2">
      <c r="A2534" s="1">
        <v>41578</v>
      </c>
      <c r="B2534">
        <f>15.888</f>
        <v>15.888</v>
      </c>
      <c r="C2534">
        <f>13.75</f>
        <v>13.75</v>
      </c>
      <c r="D2534">
        <f>165.63</f>
        <v>165.63</v>
      </c>
    </row>
    <row r="2535" spans="1:4" x14ac:dyDescent="0.2">
      <c r="A2535" s="1">
        <v>41577</v>
      </c>
      <c r="B2535">
        <f>16.1548</f>
        <v>16.154800000000002</v>
      </c>
      <c r="C2535">
        <f>13.65</f>
        <v>13.65</v>
      </c>
      <c r="D2535">
        <f>130.36</f>
        <v>130.36000000000001</v>
      </c>
    </row>
    <row r="2536" spans="1:4" x14ac:dyDescent="0.2">
      <c r="A2536" s="1">
        <v>41576</v>
      </c>
      <c r="B2536">
        <f>15.1884</f>
        <v>15.1884</v>
      </c>
      <c r="C2536">
        <f>13.41</f>
        <v>13.41</v>
      </c>
      <c r="D2536">
        <f>125.71</f>
        <v>125.71</v>
      </c>
    </row>
    <row r="2537" spans="1:4" x14ac:dyDescent="0.2">
      <c r="A2537" s="1">
        <v>41575</v>
      </c>
      <c r="B2537">
        <f>15.8884</f>
        <v>15.888400000000001</v>
      </c>
      <c r="C2537">
        <f>13.31</f>
        <v>13.31</v>
      </c>
      <c r="D2537">
        <f>125.58</f>
        <v>125.58</v>
      </c>
    </row>
    <row r="2538" spans="1:4" x14ac:dyDescent="0.2">
      <c r="A2538" s="1">
        <v>41572</v>
      </c>
      <c r="B2538">
        <f>15.0179</f>
        <v>15.017899999999999</v>
      </c>
      <c r="C2538">
        <f>13.09</f>
        <v>13.09</v>
      </c>
      <c r="D2538">
        <f>145.05</f>
        <v>145.05000000000001</v>
      </c>
    </row>
    <row r="2539" spans="1:4" x14ac:dyDescent="0.2">
      <c r="A2539" s="1">
        <v>41571</v>
      </c>
      <c r="B2539">
        <f>15.5581</f>
        <v>15.5581</v>
      </c>
      <c r="C2539">
        <f>13.2</f>
        <v>13.2</v>
      </c>
      <c r="D2539">
        <f>150.41</f>
        <v>150.41</v>
      </c>
    </row>
    <row r="2540" spans="1:4" x14ac:dyDescent="0.2">
      <c r="A2540" s="1">
        <v>41570</v>
      </c>
      <c r="B2540">
        <f>16.6163</f>
        <v>16.616299999999999</v>
      </c>
      <c r="C2540">
        <f>13.42</f>
        <v>13.42</v>
      </c>
      <c r="D2540">
        <f>151.88</f>
        <v>151.88</v>
      </c>
    </row>
    <row r="2541" spans="1:4" x14ac:dyDescent="0.2">
      <c r="A2541" s="1">
        <v>41569</v>
      </c>
      <c r="B2541">
        <f>15.6057</f>
        <v>15.605700000000001</v>
      </c>
      <c r="C2541">
        <f>13.33</f>
        <v>13.33</v>
      </c>
      <c r="D2541">
        <f>180.57</f>
        <v>180.57</v>
      </c>
    </row>
    <row r="2542" spans="1:4" x14ac:dyDescent="0.2">
      <c r="A2542" s="1">
        <v>41568</v>
      </c>
      <c r="B2542">
        <f>15.998</f>
        <v>15.997999999999999</v>
      </c>
      <c r="C2542">
        <f>13.16</f>
        <v>13.16</v>
      </c>
      <c r="D2542">
        <f>129.73</f>
        <v>129.72999999999999</v>
      </c>
    </row>
    <row r="2543" spans="1:4" x14ac:dyDescent="0.2">
      <c r="A2543" s="1">
        <v>41565</v>
      </c>
      <c r="B2543">
        <f>15.4232</f>
        <v>15.4232</v>
      </c>
      <c r="C2543">
        <f>13.04</f>
        <v>13.04</v>
      </c>
      <c r="D2543">
        <f>161.44</f>
        <v>161.44</v>
      </c>
    </row>
    <row r="2544" spans="1:4" x14ac:dyDescent="0.2">
      <c r="A2544" s="1">
        <v>41564</v>
      </c>
      <c r="B2544">
        <f>16.8333</f>
        <v>16.833300000000001</v>
      </c>
      <c r="C2544">
        <f>13.48</f>
        <v>13.48</v>
      </c>
      <c r="D2544">
        <f>164.77</f>
        <v>164.77</v>
      </c>
    </row>
    <row r="2545" spans="1:4" x14ac:dyDescent="0.2">
      <c r="A2545" s="1">
        <v>41563</v>
      </c>
      <c r="B2545">
        <f>18.5951</f>
        <v>18.595099999999999</v>
      </c>
      <c r="C2545">
        <f>14.71</f>
        <v>14.71</v>
      </c>
      <c r="D2545">
        <f>192.26</f>
        <v>192.26</v>
      </c>
    </row>
    <row r="2546" spans="1:4" x14ac:dyDescent="0.2">
      <c r="A2546" s="1">
        <v>41562</v>
      </c>
      <c r="B2546">
        <f>18.6214</f>
        <v>18.621400000000001</v>
      </c>
      <c r="C2546">
        <f>18.66</f>
        <v>18.66</v>
      </c>
      <c r="D2546">
        <f>159.94</f>
        <v>159.94</v>
      </c>
    </row>
    <row r="2547" spans="1:4" x14ac:dyDescent="0.2">
      <c r="A2547" s="1">
        <v>41561</v>
      </c>
      <c r="B2547">
        <f>20.1581</f>
        <v>20.158100000000001</v>
      </c>
      <c r="C2547">
        <f>16.07</f>
        <v>16.07</v>
      </c>
      <c r="D2547">
        <f>105.37</f>
        <v>105.37</v>
      </c>
    </row>
    <row r="2548" spans="1:4" x14ac:dyDescent="0.2">
      <c r="A2548" s="1">
        <v>41558</v>
      </c>
      <c r="B2548">
        <f>18.2601</f>
        <v>18.260100000000001</v>
      </c>
      <c r="C2548">
        <f>15.72</f>
        <v>15.72</v>
      </c>
      <c r="D2548">
        <f>184.6</f>
        <v>184.6</v>
      </c>
    </row>
    <row r="2549" spans="1:4" x14ac:dyDescent="0.2">
      <c r="A2549" s="1">
        <v>41557</v>
      </c>
      <c r="B2549">
        <f>19.8426</f>
        <v>19.842600000000001</v>
      </c>
      <c r="C2549">
        <f>16.48</f>
        <v>16.48</v>
      </c>
      <c r="D2549">
        <f>151.05</f>
        <v>151.05000000000001</v>
      </c>
    </row>
    <row r="2550" spans="1:4" x14ac:dyDescent="0.2">
      <c r="A2550" s="1">
        <v>41556</v>
      </c>
      <c r="B2550">
        <f>23.3614</f>
        <v>23.3614</v>
      </c>
      <c r="C2550">
        <f>19.6</f>
        <v>19.600000000000001</v>
      </c>
      <c r="D2550">
        <f>161.39</f>
        <v>161.38999999999999</v>
      </c>
    </row>
    <row r="2551" spans="1:4" x14ac:dyDescent="0.2">
      <c r="A2551" s="1">
        <v>41555</v>
      </c>
      <c r="B2551">
        <f>20.8905</f>
        <v>20.890499999999999</v>
      </c>
      <c r="C2551">
        <f>20.34</f>
        <v>20.34</v>
      </c>
      <c r="D2551">
        <f>155.02</f>
        <v>155.02000000000001</v>
      </c>
    </row>
    <row r="2552" spans="1:4" x14ac:dyDescent="0.2">
      <c r="A2552" s="1">
        <v>41554</v>
      </c>
      <c r="B2552">
        <f>20.1564</f>
        <v>20.156400000000001</v>
      </c>
      <c r="C2552">
        <f>19.41</f>
        <v>19.41</v>
      </c>
      <c r="D2552">
        <f>125.54</f>
        <v>125.54</v>
      </c>
    </row>
    <row r="2553" spans="1:4" x14ac:dyDescent="0.2">
      <c r="A2553" s="1">
        <v>41551</v>
      </c>
      <c r="B2553">
        <f>19.5446</f>
        <v>19.544599999999999</v>
      </c>
      <c r="C2553">
        <f>16.74</f>
        <v>16.739999999999998</v>
      </c>
      <c r="D2553">
        <f>135.09</f>
        <v>135.09</v>
      </c>
    </row>
    <row r="2554" spans="1:4" x14ac:dyDescent="0.2">
      <c r="A2554" s="1">
        <v>41550</v>
      </c>
      <c r="B2554">
        <f>20.0589</f>
        <v>20.058900000000001</v>
      </c>
      <c r="C2554">
        <f>17.67</f>
        <v>17.670000000000002</v>
      </c>
      <c r="D2554">
        <f>195.37</f>
        <v>195.37</v>
      </c>
    </row>
    <row r="2555" spans="1:4" x14ac:dyDescent="0.2">
      <c r="A2555" s="1">
        <v>41549</v>
      </c>
      <c r="B2555">
        <f>19.2611</f>
        <v>19.261099999999999</v>
      </c>
      <c r="C2555">
        <f>16.6</f>
        <v>16.600000000000001</v>
      </c>
      <c r="D2555">
        <f>153.47</f>
        <v>153.47</v>
      </c>
    </row>
    <row r="2556" spans="1:4" x14ac:dyDescent="0.2">
      <c r="A2556" s="1">
        <v>41548</v>
      </c>
      <c r="B2556">
        <f>18.3242</f>
        <v>18.324200000000001</v>
      </c>
      <c r="C2556">
        <f>15.54</f>
        <v>15.54</v>
      </c>
      <c r="D2556">
        <f>166.35</f>
        <v>166.35</v>
      </c>
    </row>
    <row r="2557" spans="1:4" x14ac:dyDescent="0.2">
      <c r="A2557" s="1">
        <v>41547</v>
      </c>
      <c r="B2557">
        <f>19.4503</f>
        <v>19.450299999999999</v>
      </c>
      <c r="C2557">
        <f>16.6</f>
        <v>16.600000000000001</v>
      </c>
      <c r="D2557">
        <f>220.36</f>
        <v>220.36</v>
      </c>
    </row>
    <row r="2558" spans="1:4" x14ac:dyDescent="0.2">
      <c r="A2558" s="1">
        <v>41544</v>
      </c>
      <c r="B2558">
        <f>16.9196</f>
        <v>16.919599999999999</v>
      </c>
      <c r="C2558">
        <f>15.46</f>
        <v>15.46</v>
      </c>
      <c r="D2558">
        <f>171.43</f>
        <v>171.43</v>
      </c>
    </row>
    <row r="2559" spans="1:4" x14ac:dyDescent="0.2">
      <c r="A2559" s="1">
        <v>41543</v>
      </c>
      <c r="B2559">
        <f>16.4689</f>
        <v>16.468900000000001</v>
      </c>
      <c r="C2559">
        <f>14.06</f>
        <v>14.06</v>
      </c>
      <c r="D2559">
        <f>147.32</f>
        <v>147.32</v>
      </c>
    </row>
    <row r="2560" spans="1:4" x14ac:dyDescent="0.2">
      <c r="A2560" s="1">
        <v>41542</v>
      </c>
      <c r="B2560">
        <f>16.4038</f>
        <v>16.4038</v>
      </c>
      <c r="C2560">
        <f>14.01</f>
        <v>14.01</v>
      </c>
      <c r="D2560">
        <f>234</f>
        <v>234</v>
      </c>
    </row>
    <row r="2561" spans="1:4" x14ac:dyDescent="0.2">
      <c r="A2561" s="1">
        <v>41541</v>
      </c>
      <c r="B2561">
        <f>16.6237</f>
        <v>16.623699999999999</v>
      </c>
      <c r="C2561">
        <f>14.08</f>
        <v>14.08</v>
      </c>
      <c r="D2561" t="e">
        <f>NA()</f>
        <v>#N/A</v>
      </c>
    </row>
    <row r="2562" spans="1:4" x14ac:dyDescent="0.2">
      <c r="A2562" s="1">
        <v>41540</v>
      </c>
      <c r="B2562">
        <f>17.4539</f>
        <v>17.453900000000001</v>
      </c>
      <c r="C2562">
        <f>14.31</f>
        <v>14.31</v>
      </c>
      <c r="D2562">
        <f>146.19</f>
        <v>146.19</v>
      </c>
    </row>
    <row r="2563" spans="1:4" x14ac:dyDescent="0.2">
      <c r="A2563" s="1">
        <v>41537</v>
      </c>
      <c r="B2563">
        <f>16.7626</f>
        <v>16.762599999999999</v>
      </c>
      <c r="C2563">
        <f>13.12</f>
        <v>13.12</v>
      </c>
      <c r="D2563">
        <f>330.42</f>
        <v>330.42</v>
      </c>
    </row>
    <row r="2564" spans="1:4" x14ac:dyDescent="0.2">
      <c r="A2564" s="1">
        <v>41536</v>
      </c>
      <c r="B2564">
        <f>16.8696</f>
        <v>16.869599999999998</v>
      </c>
      <c r="C2564">
        <f>13.16</f>
        <v>13.16</v>
      </c>
      <c r="D2564">
        <f>328.82</f>
        <v>328.82</v>
      </c>
    </row>
    <row r="2565" spans="1:4" x14ac:dyDescent="0.2">
      <c r="A2565" s="1">
        <v>41535</v>
      </c>
      <c r="B2565">
        <f>18.1656</f>
        <v>18.165600000000001</v>
      </c>
      <c r="C2565">
        <f>13.59</f>
        <v>13.59</v>
      </c>
      <c r="D2565">
        <f>177.28</f>
        <v>177.28</v>
      </c>
    </row>
    <row r="2566" spans="1:4" x14ac:dyDescent="0.2">
      <c r="A2566" s="1">
        <v>41534</v>
      </c>
      <c r="B2566">
        <f>18.987</f>
        <v>18.986999999999998</v>
      </c>
      <c r="C2566">
        <f>14.53</f>
        <v>14.53</v>
      </c>
      <c r="D2566">
        <f>185.38</f>
        <v>185.38</v>
      </c>
    </row>
    <row r="2567" spans="1:4" x14ac:dyDescent="0.2">
      <c r="A2567" s="1">
        <v>41533</v>
      </c>
      <c r="B2567">
        <f>18.7198</f>
        <v>18.719799999999999</v>
      </c>
      <c r="C2567">
        <f>14.38</f>
        <v>14.38</v>
      </c>
      <c r="D2567">
        <f>151.25</f>
        <v>151.25</v>
      </c>
    </row>
    <row r="2568" spans="1:4" x14ac:dyDescent="0.2">
      <c r="A2568" s="1">
        <v>41530</v>
      </c>
      <c r="B2568">
        <f>18.3842</f>
        <v>18.3842</v>
      </c>
      <c r="C2568">
        <f>14.16</f>
        <v>14.16</v>
      </c>
      <c r="D2568">
        <f>171.74</f>
        <v>171.74</v>
      </c>
    </row>
    <row r="2569" spans="1:4" x14ac:dyDescent="0.2">
      <c r="A2569" s="1">
        <v>41529</v>
      </c>
      <c r="B2569">
        <f>18.4084</f>
        <v>18.4084</v>
      </c>
      <c r="C2569">
        <f>14.29</f>
        <v>14.29</v>
      </c>
      <c r="D2569">
        <f>211.84</f>
        <v>211.84</v>
      </c>
    </row>
    <row r="2570" spans="1:4" x14ac:dyDescent="0.2">
      <c r="A2570" s="1">
        <v>41528</v>
      </c>
      <c r="B2570">
        <f>18.4298</f>
        <v>18.4298</v>
      </c>
      <c r="C2570">
        <f>13.82</f>
        <v>13.82</v>
      </c>
      <c r="D2570">
        <f>184.62</f>
        <v>184.62</v>
      </c>
    </row>
    <row r="2571" spans="1:4" x14ac:dyDescent="0.2">
      <c r="A2571" s="1">
        <v>41527</v>
      </c>
      <c r="B2571">
        <f>19.3143</f>
        <v>19.314299999999999</v>
      </c>
      <c r="C2571">
        <f>14.53</f>
        <v>14.53</v>
      </c>
      <c r="D2571">
        <f>234.63</f>
        <v>234.63</v>
      </c>
    </row>
    <row r="2572" spans="1:4" x14ac:dyDescent="0.2">
      <c r="A2572" s="1">
        <v>41526</v>
      </c>
      <c r="B2572">
        <f>20.4702</f>
        <v>20.470199999999998</v>
      </c>
      <c r="C2572">
        <f>15.63</f>
        <v>15.63</v>
      </c>
      <c r="D2572">
        <f>168.12</f>
        <v>168.12</v>
      </c>
    </row>
    <row r="2573" spans="1:4" x14ac:dyDescent="0.2">
      <c r="A2573" s="1">
        <v>41523</v>
      </c>
      <c r="B2573">
        <f>20.2292</f>
        <v>20.229199999999999</v>
      </c>
      <c r="C2573">
        <f>15.85</f>
        <v>15.85</v>
      </c>
      <c r="D2573">
        <f>153.88</f>
        <v>153.88</v>
      </c>
    </row>
    <row r="2574" spans="1:4" x14ac:dyDescent="0.2">
      <c r="A2574" s="1">
        <v>41522</v>
      </c>
      <c r="B2574">
        <f>21.5095</f>
        <v>21.509499999999999</v>
      </c>
      <c r="C2574">
        <f>15.77</f>
        <v>15.77</v>
      </c>
      <c r="D2574">
        <f>173.77</f>
        <v>173.77</v>
      </c>
    </row>
    <row r="2575" spans="1:4" x14ac:dyDescent="0.2">
      <c r="A2575" s="1">
        <v>41521</v>
      </c>
      <c r="B2575">
        <f>22.0945</f>
        <v>22.0945</v>
      </c>
      <c r="C2575">
        <f>15.88</f>
        <v>15.88</v>
      </c>
      <c r="D2575">
        <f>156.3</f>
        <v>156.30000000000001</v>
      </c>
    </row>
    <row r="2576" spans="1:4" x14ac:dyDescent="0.2">
      <c r="A2576" s="1">
        <v>41520</v>
      </c>
      <c r="B2576">
        <f>23.0533</f>
        <v>23.0533</v>
      </c>
      <c r="C2576">
        <f>16.61</f>
        <v>16.61</v>
      </c>
      <c r="D2576">
        <f>147.04</f>
        <v>147.04</v>
      </c>
    </row>
    <row r="2577" spans="1:4" x14ac:dyDescent="0.2">
      <c r="A2577" s="1">
        <v>41519</v>
      </c>
      <c r="B2577">
        <f>21.9028</f>
        <v>21.902799999999999</v>
      </c>
      <c r="C2577" t="e">
        <f>NA()</f>
        <v>#N/A</v>
      </c>
      <c r="D2577">
        <f>165.58</f>
        <v>165.58</v>
      </c>
    </row>
    <row r="2578" spans="1:4" x14ac:dyDescent="0.2">
      <c r="A2578" s="1">
        <v>41516</v>
      </c>
      <c r="B2578">
        <f>23.4785</f>
        <v>23.4785</v>
      </c>
      <c r="C2578">
        <f>17.01</f>
        <v>17.010000000000002</v>
      </c>
      <c r="D2578">
        <f>255.55</f>
        <v>255.55</v>
      </c>
    </row>
    <row r="2579" spans="1:4" x14ac:dyDescent="0.2">
      <c r="A2579" s="1">
        <v>41515</v>
      </c>
      <c r="B2579">
        <f>21.1498</f>
        <v>21.149799999999999</v>
      </c>
      <c r="C2579">
        <f>16.81</f>
        <v>16.809999999999999</v>
      </c>
      <c r="D2579">
        <f>218.78</f>
        <v>218.78</v>
      </c>
    </row>
    <row r="2580" spans="1:4" x14ac:dyDescent="0.2">
      <c r="A2580" s="1">
        <v>41514</v>
      </c>
      <c r="B2580">
        <f>22.3124</f>
        <v>22.3124</v>
      </c>
      <c r="C2580">
        <f>16.49</f>
        <v>16.489999999999998</v>
      </c>
      <c r="D2580">
        <f>191.24</f>
        <v>191.24</v>
      </c>
    </row>
    <row r="2581" spans="1:4" x14ac:dyDescent="0.2">
      <c r="A2581" s="1">
        <v>41513</v>
      </c>
      <c r="B2581">
        <f>22.1683</f>
        <v>22.168299999999999</v>
      </c>
      <c r="C2581">
        <f>16.77</f>
        <v>16.77</v>
      </c>
      <c r="D2581">
        <f>244.03</f>
        <v>244.03</v>
      </c>
    </row>
    <row r="2582" spans="1:4" x14ac:dyDescent="0.2">
      <c r="A2582" s="1">
        <v>41512</v>
      </c>
      <c r="B2582">
        <f>17.9047</f>
        <v>17.904699999999998</v>
      </c>
      <c r="C2582">
        <f>14.99</f>
        <v>14.99</v>
      </c>
      <c r="D2582">
        <f>134.68</f>
        <v>134.68</v>
      </c>
    </row>
    <row r="2583" spans="1:4" x14ac:dyDescent="0.2">
      <c r="A2583" s="1">
        <v>41509</v>
      </c>
      <c r="B2583">
        <f>17.8238</f>
        <v>17.823799999999999</v>
      </c>
      <c r="C2583">
        <f>13.98</f>
        <v>13.98</v>
      </c>
      <c r="D2583">
        <f>168.98</f>
        <v>168.98</v>
      </c>
    </row>
    <row r="2584" spans="1:4" x14ac:dyDescent="0.2">
      <c r="A2584" s="1">
        <v>41508</v>
      </c>
      <c r="B2584">
        <f>18.7137</f>
        <v>18.713699999999999</v>
      </c>
      <c r="C2584">
        <f>14.76</f>
        <v>14.76</v>
      </c>
      <c r="D2584">
        <f>221.73</f>
        <v>221.73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Gabriel Rambanapasi</cp:lastModifiedBy>
  <dcterms:created xsi:type="dcterms:W3CDTF">2013-04-03T15:49:21Z</dcterms:created>
  <dcterms:modified xsi:type="dcterms:W3CDTF">2023-08-22T11:51:45Z</dcterms:modified>
</cp:coreProperties>
</file>