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rambanapasi/Desktop/Understanding JSE Clusters/Unwanted-Clustering/Clustering/Relative Valuation Models/"/>
    </mc:Choice>
  </mc:AlternateContent>
  <xr:revisionPtr revIDLastSave="0" documentId="13_ncr:1_{A5063B40-6300-FD4C-94A9-70FB20F306D3}" xr6:coauthVersionLast="47" xr6:coauthVersionMax="47" xr10:uidLastSave="{00000000-0000-0000-0000-000000000000}"/>
  <bookViews>
    <workbookView xWindow="0" yWindow="740" windowWidth="30240" windowHeight="18900" activeTab="4" xr2:uid="{124C43E7-4F7B-EC4C-B4D7-E2F31FEEDA9E}"/>
  </bookViews>
  <sheets>
    <sheet name="Plan " sheetId="3" r:id="rId1"/>
    <sheet name="Main " sheetId="1" r:id="rId2"/>
    <sheet name="Debt Capacity " sheetId="5" r:id="rId3"/>
    <sheet name="New Model" sheetId="6" r:id="rId4"/>
    <sheet name="Credit " sheetId="11" r:id="rId5"/>
    <sheet name="BS " sheetId="10" r:id="rId6"/>
    <sheet name="IS " sheetId="9" r:id="rId7"/>
    <sheet name="CFS 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1" l="1"/>
  <c r="N3" i="11"/>
  <c r="G3" i="11"/>
  <c r="R14" i="9"/>
  <c r="Q14" i="9"/>
  <c r="P14" i="9"/>
  <c r="O14" i="9"/>
  <c r="N14" i="9"/>
  <c r="S14" i="9"/>
  <c r="F54" i="11"/>
  <c r="H54" i="11" s="1"/>
  <c r="E54" i="11"/>
  <c r="D54" i="11"/>
  <c r="C54" i="11"/>
  <c r="G54" i="11"/>
  <c r="F52" i="11"/>
  <c r="E52" i="11"/>
  <c r="D52" i="11"/>
  <c r="C52" i="11"/>
  <c r="G52" i="11"/>
  <c r="F49" i="11"/>
  <c r="E49" i="11"/>
  <c r="D49" i="11"/>
  <c r="C49" i="11"/>
  <c r="F50" i="11"/>
  <c r="E50" i="11"/>
  <c r="D50" i="11"/>
  <c r="C50" i="11"/>
  <c r="G50" i="11"/>
  <c r="G49" i="11"/>
  <c r="O37" i="10"/>
  <c r="N37" i="10"/>
  <c r="M37" i="10"/>
  <c r="L37" i="10"/>
  <c r="P37" i="10"/>
  <c r="O36" i="10"/>
  <c r="N36" i="10"/>
  <c r="M36" i="10"/>
  <c r="L36" i="10"/>
  <c r="P36" i="10"/>
  <c r="O21" i="10"/>
  <c r="N21" i="10"/>
  <c r="M21" i="10"/>
  <c r="L21" i="10"/>
  <c r="P21" i="10"/>
  <c r="O12" i="10"/>
  <c r="N12" i="10"/>
  <c r="M12" i="10"/>
  <c r="L12" i="10"/>
  <c r="P12" i="10"/>
  <c r="Q46" i="6"/>
  <c r="P46" i="6"/>
  <c r="G2" i="11"/>
  <c r="G38" i="11"/>
  <c r="F41" i="11"/>
  <c r="E41" i="11"/>
  <c r="D41" i="11"/>
  <c r="C41" i="11"/>
  <c r="F40" i="11"/>
  <c r="E40" i="11"/>
  <c r="D40" i="11"/>
  <c r="C40" i="11"/>
  <c r="F38" i="11"/>
  <c r="E38" i="11"/>
  <c r="D38" i="11"/>
  <c r="C38" i="11"/>
  <c r="F36" i="11"/>
  <c r="E36" i="11"/>
  <c r="D36" i="11"/>
  <c r="C36" i="11"/>
  <c r="F37" i="11"/>
  <c r="E37" i="11"/>
  <c r="D37" i="11"/>
  <c r="C37" i="11"/>
  <c r="G37" i="11"/>
  <c r="G36" i="11"/>
  <c r="F34" i="11"/>
  <c r="E34" i="11"/>
  <c r="D34" i="11"/>
  <c r="C34" i="11"/>
  <c r="G34" i="11"/>
  <c r="F33" i="11"/>
  <c r="E33" i="11"/>
  <c r="D33" i="11"/>
  <c r="C33" i="11"/>
  <c r="G33" i="11"/>
  <c r="F32" i="11"/>
  <c r="E32" i="11"/>
  <c r="D32" i="11"/>
  <c r="C32" i="11"/>
  <c r="G32" i="11"/>
  <c r="F31" i="11"/>
  <c r="E31" i="11"/>
  <c r="D31" i="11"/>
  <c r="C31" i="11"/>
  <c r="G31" i="11"/>
  <c r="F8" i="11"/>
  <c r="E8" i="11"/>
  <c r="D8" i="11"/>
  <c r="C8" i="11"/>
  <c r="G8" i="11"/>
  <c r="F9" i="11"/>
  <c r="E9" i="11"/>
  <c r="D9" i="11"/>
  <c r="C9" i="11"/>
  <c r="G9" i="11"/>
  <c r="F7" i="11"/>
  <c r="E7" i="11"/>
  <c r="D7" i="11"/>
  <c r="C7" i="11"/>
  <c r="G7" i="11"/>
  <c r="F2" i="11"/>
  <c r="E2" i="11"/>
  <c r="D2" i="11"/>
  <c r="C2" i="11"/>
  <c r="F4" i="11"/>
  <c r="E4" i="11"/>
  <c r="D4" i="11"/>
  <c r="C4" i="11"/>
  <c r="F5" i="11"/>
  <c r="E45" i="11"/>
  <c r="D45" i="11"/>
  <c r="C45" i="11"/>
  <c r="B45" i="11"/>
  <c r="E46" i="11"/>
  <c r="D46" i="11"/>
  <c r="C46" i="11"/>
  <c r="B46" i="11"/>
  <c r="F44" i="11"/>
  <c r="E44" i="11"/>
  <c r="D44" i="11"/>
  <c r="C44" i="11"/>
  <c r="B44" i="11"/>
  <c r="F46" i="11"/>
  <c r="F45" i="11"/>
  <c r="G46" i="11"/>
  <c r="G45" i="11"/>
  <c r="G44" i="11"/>
  <c r="G4" i="11"/>
  <c r="G5" i="11"/>
  <c r="G41" i="11" s="1"/>
  <c r="D1" i="11"/>
  <c r="E1" i="11" s="1"/>
  <c r="F1" i="11" s="1"/>
  <c r="G1" i="11" s="1"/>
  <c r="N4" i="6"/>
  <c r="N5" i="6"/>
  <c r="N6" i="6"/>
  <c r="M6" i="6"/>
  <c r="M10" i="6" s="1"/>
  <c r="L6" i="6"/>
  <c r="L90" i="6" s="1"/>
  <c r="K6" i="6"/>
  <c r="K90" i="6" s="1"/>
  <c r="J6" i="6"/>
  <c r="J90" i="6" s="1"/>
  <c r="I6" i="6"/>
  <c r="I90" i="6" s="1"/>
  <c r="H6" i="6"/>
  <c r="H90" i="6" s="1"/>
  <c r="G6" i="6"/>
  <c r="M5" i="6"/>
  <c r="L5" i="6"/>
  <c r="L10" i="6" s="1"/>
  <c r="N10" i="6"/>
  <c r="M4" i="6"/>
  <c r="L4" i="6"/>
  <c r="K4" i="6"/>
  <c r="J4" i="6"/>
  <c r="I4" i="6"/>
  <c r="H4" i="6"/>
  <c r="G4" i="6"/>
  <c r="F4" i="6"/>
  <c r="F10" i="6" s="1"/>
  <c r="N80" i="6"/>
  <c r="M80" i="6"/>
  <c r="L80" i="6"/>
  <c r="K80" i="6"/>
  <c r="J80" i="6"/>
  <c r="I80" i="6"/>
  <c r="H80" i="6"/>
  <c r="G80" i="6"/>
  <c r="F80" i="6"/>
  <c r="E80" i="6"/>
  <c r="N77" i="6"/>
  <c r="M77" i="6"/>
  <c r="L77" i="6"/>
  <c r="K77" i="6"/>
  <c r="J77" i="6"/>
  <c r="I77" i="6"/>
  <c r="H77" i="6"/>
  <c r="G77" i="6"/>
  <c r="F77" i="6"/>
  <c r="E77" i="6"/>
  <c r="G72" i="6"/>
  <c r="F72" i="6"/>
  <c r="L33" i="9"/>
  <c r="K33" i="9"/>
  <c r="N47" i="6"/>
  <c r="N72" i="6" s="1"/>
  <c r="M47" i="6"/>
  <c r="M72" i="6" s="1"/>
  <c r="L47" i="6"/>
  <c r="L72" i="6" s="1"/>
  <c r="K47" i="6"/>
  <c r="K72" i="6" s="1"/>
  <c r="J47" i="6"/>
  <c r="I47" i="6"/>
  <c r="H47" i="6"/>
  <c r="G47" i="6"/>
  <c r="F47" i="6"/>
  <c r="E47" i="6"/>
  <c r="E72" i="6" s="1"/>
  <c r="J33" i="9"/>
  <c r="I33" i="9"/>
  <c r="H33" i="9"/>
  <c r="G33" i="9"/>
  <c r="F33" i="9"/>
  <c r="E33" i="9"/>
  <c r="D33" i="9"/>
  <c r="N71" i="6"/>
  <c r="M71" i="6"/>
  <c r="L71" i="6"/>
  <c r="K71" i="6"/>
  <c r="J71" i="6"/>
  <c r="I71" i="6"/>
  <c r="H71" i="6"/>
  <c r="G71" i="6"/>
  <c r="F71" i="6"/>
  <c r="E71" i="6"/>
  <c r="N46" i="6"/>
  <c r="R46" i="6" s="1"/>
  <c r="M46" i="6"/>
  <c r="L46" i="6"/>
  <c r="K46" i="6"/>
  <c r="J46" i="6"/>
  <c r="I46" i="6"/>
  <c r="H46" i="6"/>
  <c r="G46" i="6"/>
  <c r="F46" i="6"/>
  <c r="E46" i="6"/>
  <c r="N70" i="6"/>
  <c r="M70" i="6"/>
  <c r="L70" i="6"/>
  <c r="K70" i="6"/>
  <c r="J70" i="6"/>
  <c r="J72" i="6" s="1"/>
  <c r="I70" i="6"/>
  <c r="I72" i="6" s="1"/>
  <c r="H70" i="6"/>
  <c r="H72" i="6" s="1"/>
  <c r="G70" i="6"/>
  <c r="F70" i="6"/>
  <c r="E70" i="6"/>
  <c r="F90" i="6"/>
  <c r="N57" i="6"/>
  <c r="M57" i="6"/>
  <c r="L57" i="6"/>
  <c r="K57" i="6"/>
  <c r="J57" i="6"/>
  <c r="I57" i="6"/>
  <c r="H57" i="6"/>
  <c r="G57" i="6"/>
  <c r="F57" i="6"/>
  <c r="E57" i="6"/>
  <c r="N91" i="6"/>
  <c r="M91" i="6"/>
  <c r="L91" i="6"/>
  <c r="K91" i="6"/>
  <c r="J91" i="6"/>
  <c r="I91" i="6"/>
  <c r="H91" i="6"/>
  <c r="G91" i="6"/>
  <c r="F91" i="6"/>
  <c r="I7" i="9"/>
  <c r="H7" i="9"/>
  <c r="G7" i="9"/>
  <c r="F7" i="9"/>
  <c r="E7" i="9"/>
  <c r="L7" i="9"/>
  <c r="K7" i="9"/>
  <c r="J7" i="9"/>
  <c r="D7" i="9"/>
  <c r="C7" i="9"/>
  <c r="L14" i="9"/>
  <c r="K14" i="9"/>
  <c r="J14" i="9"/>
  <c r="I14" i="9"/>
  <c r="H14" i="9"/>
  <c r="G14" i="9"/>
  <c r="F14" i="9"/>
  <c r="E14" i="9"/>
  <c r="D14" i="9"/>
  <c r="C14" i="9"/>
  <c r="F1" i="6"/>
  <c r="G1" i="6" s="1"/>
  <c r="H1" i="6" s="1"/>
  <c r="I1" i="6" s="1"/>
  <c r="J1" i="6" s="1"/>
  <c r="K1" i="6" s="1"/>
  <c r="L1" i="6" s="1"/>
  <c r="M1" i="6" s="1"/>
  <c r="N1" i="6" s="1"/>
  <c r="E10" i="6"/>
  <c r="E15" i="6"/>
  <c r="F15" i="6"/>
  <c r="G15" i="6"/>
  <c r="H15" i="6"/>
  <c r="I15" i="6"/>
  <c r="J15" i="6"/>
  <c r="K15" i="6"/>
  <c r="L15" i="6"/>
  <c r="M15" i="6"/>
  <c r="N15" i="6"/>
  <c r="E27" i="6"/>
  <c r="F27" i="6"/>
  <c r="G27" i="6"/>
  <c r="H27" i="6"/>
  <c r="I27" i="6"/>
  <c r="J27" i="6"/>
  <c r="K27" i="6"/>
  <c r="L27" i="6"/>
  <c r="M27" i="6"/>
  <c r="N27" i="6"/>
  <c r="E32" i="6"/>
  <c r="F32" i="6"/>
  <c r="G32" i="6"/>
  <c r="H32" i="6"/>
  <c r="I32" i="6"/>
  <c r="J32" i="6"/>
  <c r="K32" i="6"/>
  <c r="L32" i="6"/>
  <c r="E41" i="6"/>
  <c r="E106" i="6" s="1"/>
  <c r="F41" i="6"/>
  <c r="G41" i="6"/>
  <c r="H41" i="6"/>
  <c r="I41" i="6"/>
  <c r="J41" i="6"/>
  <c r="K41" i="6"/>
  <c r="L41" i="6"/>
  <c r="M41" i="6"/>
  <c r="N41" i="6"/>
  <c r="E85" i="6"/>
  <c r="F85" i="6"/>
  <c r="G85" i="6"/>
  <c r="H85" i="6"/>
  <c r="I85" i="6"/>
  <c r="J85" i="6"/>
  <c r="K85" i="6"/>
  <c r="L85" i="6"/>
  <c r="M85" i="6"/>
  <c r="N85" i="6"/>
  <c r="E90" i="6"/>
  <c r="F111" i="6"/>
  <c r="G111" i="6"/>
  <c r="H111" i="6"/>
  <c r="I111" i="6"/>
  <c r="J111" i="6"/>
  <c r="K111" i="6"/>
  <c r="L111" i="6"/>
  <c r="M111" i="6"/>
  <c r="N111" i="6"/>
  <c r="E23" i="5"/>
  <c r="E21" i="5"/>
  <c r="E20" i="5"/>
  <c r="D16" i="5"/>
  <c r="E24" i="5" s="1"/>
  <c r="D15" i="5"/>
  <c r="E22" i="5" s="1"/>
  <c r="I54" i="11" l="1"/>
  <c r="G40" i="11"/>
  <c r="D3" i="11"/>
  <c r="E3" i="11"/>
  <c r="F3" i="11"/>
  <c r="G21" i="11"/>
  <c r="E5" i="11"/>
  <c r="C3" i="11"/>
  <c r="G20" i="11"/>
  <c r="C5" i="11"/>
  <c r="D5" i="11"/>
  <c r="E43" i="11"/>
  <c r="D43" i="11"/>
  <c r="G43" i="11"/>
  <c r="F43" i="11"/>
  <c r="B43" i="11"/>
  <c r="C17" i="11" s="1"/>
  <c r="C43" i="11"/>
  <c r="K10" i="6"/>
  <c r="K87" i="6" s="1"/>
  <c r="N106" i="6"/>
  <c r="M90" i="6"/>
  <c r="H10" i="6"/>
  <c r="I10" i="6"/>
  <c r="J10" i="6"/>
  <c r="J88" i="6" s="1"/>
  <c r="G10" i="6"/>
  <c r="G17" i="6" s="1"/>
  <c r="M106" i="6"/>
  <c r="L106" i="6"/>
  <c r="H106" i="6"/>
  <c r="G106" i="6"/>
  <c r="F106" i="6"/>
  <c r="K106" i="6"/>
  <c r="J106" i="6"/>
  <c r="I106" i="6"/>
  <c r="L58" i="6"/>
  <c r="H58" i="6"/>
  <c r="L35" i="6"/>
  <c r="L42" i="6" s="1"/>
  <c r="N87" i="6"/>
  <c r="I58" i="6"/>
  <c r="K58" i="6"/>
  <c r="J58" i="6"/>
  <c r="G58" i="6"/>
  <c r="M58" i="6"/>
  <c r="E58" i="6"/>
  <c r="F58" i="6"/>
  <c r="N58" i="6"/>
  <c r="N90" i="6"/>
  <c r="F35" i="6"/>
  <c r="F96" i="6" s="1"/>
  <c r="M87" i="6"/>
  <c r="G92" i="6"/>
  <c r="N108" i="6"/>
  <c r="H92" i="6"/>
  <c r="E87" i="6"/>
  <c r="F108" i="6"/>
  <c r="F88" i="6"/>
  <c r="G90" i="6"/>
  <c r="K99" i="6"/>
  <c r="J92" i="6"/>
  <c r="L108" i="6"/>
  <c r="N92" i="6"/>
  <c r="E35" i="6"/>
  <c r="E42" i="6" s="1"/>
  <c r="N35" i="6"/>
  <c r="N42" i="6" s="1"/>
  <c r="K17" i="6"/>
  <c r="E88" i="6"/>
  <c r="M35" i="6"/>
  <c r="M42" i="6" s="1"/>
  <c r="G35" i="6"/>
  <c r="G96" i="6" s="1"/>
  <c r="L17" i="6"/>
  <c r="N88" i="6"/>
  <c r="M88" i="6"/>
  <c r="L87" i="6"/>
  <c r="F87" i="6"/>
  <c r="I88" i="6"/>
  <c r="L88" i="6"/>
  <c r="E92" i="6"/>
  <c r="M17" i="6"/>
  <c r="K35" i="6"/>
  <c r="K42" i="6" s="1"/>
  <c r="N99" i="6"/>
  <c r="H35" i="6"/>
  <c r="E17" i="6"/>
  <c r="E93" i="6" s="1"/>
  <c r="I17" i="6"/>
  <c r="I87" i="6"/>
  <c r="K88" i="6"/>
  <c r="J35" i="6"/>
  <c r="I35" i="6"/>
  <c r="H17" i="6"/>
  <c r="H87" i="6"/>
  <c r="H88" i="6"/>
  <c r="N17" i="6"/>
  <c r="F17" i="6"/>
  <c r="D17" i="5"/>
  <c r="E25" i="5" s="1"/>
  <c r="F17" i="11" l="1"/>
  <c r="E18" i="11"/>
  <c r="G17" i="11"/>
  <c r="F18" i="11"/>
  <c r="D18" i="11"/>
  <c r="E17" i="11"/>
  <c r="D17" i="11"/>
  <c r="C18" i="11"/>
  <c r="G18" i="11"/>
  <c r="G23" i="11"/>
  <c r="D7" i="5"/>
  <c r="E26" i="5"/>
  <c r="J17" i="6"/>
  <c r="J87" i="6"/>
  <c r="G88" i="6"/>
  <c r="G87" i="6"/>
  <c r="L96" i="6"/>
  <c r="E96" i="6"/>
  <c r="E99" i="6"/>
  <c r="G108" i="6"/>
  <c r="I92" i="6"/>
  <c r="F42" i="6"/>
  <c r="G42" i="6"/>
  <c r="K93" i="6"/>
  <c r="L99" i="6"/>
  <c r="M96" i="6"/>
  <c r="F95" i="6"/>
  <c r="M99" i="6"/>
  <c r="H93" i="6"/>
  <c r="H108" i="6"/>
  <c r="I108" i="6"/>
  <c r="L93" i="6"/>
  <c r="M108" i="6"/>
  <c r="J93" i="6"/>
  <c r="G93" i="6"/>
  <c r="M93" i="6"/>
  <c r="L92" i="6"/>
  <c r="N96" i="6"/>
  <c r="M92" i="6"/>
  <c r="K108" i="6"/>
  <c r="I93" i="6"/>
  <c r="K92" i="6"/>
  <c r="F92" i="6"/>
  <c r="J108" i="6"/>
  <c r="K95" i="6"/>
  <c r="N95" i="6"/>
  <c r="K96" i="6"/>
  <c r="M100" i="6"/>
  <c r="L95" i="6"/>
  <c r="F93" i="6"/>
  <c r="G95" i="6"/>
  <c r="M95" i="6"/>
  <c r="N93" i="6"/>
  <c r="E100" i="6"/>
  <c r="E97" i="6"/>
  <c r="E65" i="6"/>
  <c r="J96" i="6"/>
  <c r="J95" i="6"/>
  <c r="J42" i="6"/>
  <c r="N100" i="6"/>
  <c r="N65" i="6"/>
  <c r="N97" i="6"/>
  <c r="I99" i="6"/>
  <c r="I96" i="6"/>
  <c r="I42" i="6"/>
  <c r="I95" i="6"/>
  <c r="E95" i="6"/>
  <c r="H42" i="6"/>
  <c r="H95" i="6"/>
  <c r="H96" i="6"/>
  <c r="E27" i="5"/>
  <c r="L100" i="6" l="1"/>
  <c r="G99" i="6"/>
  <c r="H99" i="6"/>
  <c r="F99" i="6"/>
  <c r="J99" i="6"/>
  <c r="M97" i="6"/>
  <c r="M65" i="6"/>
  <c r="K97" i="6"/>
  <c r="K65" i="6"/>
  <c r="K100" i="6"/>
  <c r="G100" i="6"/>
  <c r="G97" i="6"/>
  <c r="G65" i="6"/>
  <c r="E83" i="6"/>
  <c r="H97" i="6"/>
  <c r="H65" i="6"/>
  <c r="H100" i="6"/>
  <c r="N83" i="6"/>
  <c r="J65" i="6"/>
  <c r="J97" i="6"/>
  <c r="J100" i="6"/>
  <c r="I65" i="6"/>
  <c r="I97" i="6"/>
  <c r="I100" i="6"/>
  <c r="B16" i="1"/>
  <c r="B12" i="1"/>
  <c r="B6" i="1"/>
  <c r="B3" i="1"/>
  <c r="L65" i="6" l="1"/>
  <c r="L97" i="6"/>
  <c r="M83" i="6"/>
  <c r="F100" i="6"/>
  <c r="F97" i="6"/>
  <c r="F65" i="6"/>
  <c r="K83" i="6"/>
  <c r="J83" i="6"/>
  <c r="E74" i="6"/>
  <c r="E101" i="6"/>
  <c r="E103" i="6"/>
  <c r="E102" i="6"/>
  <c r="H83" i="6"/>
  <c r="G83" i="6"/>
  <c r="M74" i="6"/>
  <c r="M101" i="6"/>
  <c r="M103" i="6"/>
  <c r="M102" i="6"/>
  <c r="I83" i="6"/>
  <c r="N103" i="6"/>
  <c r="N109" i="6"/>
  <c r="N74" i="6"/>
  <c r="N101" i="6"/>
  <c r="N102" i="6"/>
  <c r="B7" i="1"/>
  <c r="B11" i="1" s="1"/>
  <c r="L83" i="6" l="1"/>
  <c r="L103" i="6"/>
  <c r="G109" i="6"/>
  <c r="F83" i="6"/>
  <c r="K74" i="6"/>
  <c r="K101" i="6"/>
  <c r="K102" i="6"/>
  <c r="K103" i="6"/>
  <c r="M104" i="6"/>
  <c r="M76" i="6"/>
  <c r="I102" i="6"/>
  <c r="I109" i="6"/>
  <c r="I101" i="6"/>
  <c r="I103" i="6"/>
  <c r="I74" i="6"/>
  <c r="H102" i="6"/>
  <c r="H103" i="6"/>
  <c r="H109" i="6"/>
  <c r="H74" i="6"/>
  <c r="H101" i="6"/>
  <c r="G103" i="6"/>
  <c r="G102" i="6"/>
  <c r="G101" i="6"/>
  <c r="G74" i="6"/>
  <c r="E104" i="6"/>
  <c r="E76" i="6"/>
  <c r="J101" i="6"/>
  <c r="J102" i="6"/>
  <c r="J74" i="6"/>
  <c r="J109" i="6"/>
  <c r="J103" i="6"/>
  <c r="K109" i="6"/>
  <c r="N104" i="6"/>
  <c r="N76" i="6"/>
  <c r="L109" i="6" l="1"/>
  <c r="L102" i="6"/>
  <c r="L74" i="6"/>
  <c r="M109" i="6"/>
  <c r="L101" i="6"/>
  <c r="F103" i="6"/>
  <c r="F109" i="6"/>
  <c r="F74" i="6"/>
  <c r="F102" i="6"/>
  <c r="F101" i="6"/>
  <c r="K76" i="6"/>
  <c r="K104" i="6"/>
  <c r="H76" i="6"/>
  <c r="H104" i="6"/>
  <c r="N78" i="6"/>
  <c r="N110" i="6"/>
  <c r="N105" i="6"/>
  <c r="G104" i="6"/>
  <c r="G76" i="6"/>
  <c r="E78" i="6"/>
  <c r="E105" i="6"/>
  <c r="M78" i="6"/>
  <c r="M105" i="6"/>
  <c r="I76" i="6"/>
  <c r="I104" i="6"/>
  <c r="J76" i="6"/>
  <c r="J104" i="6"/>
  <c r="L104" i="6" l="1"/>
  <c r="L76" i="6"/>
  <c r="F76" i="6"/>
  <c r="G110" i="6"/>
  <c r="F104" i="6"/>
  <c r="K78" i="6"/>
  <c r="K105" i="6"/>
  <c r="G78" i="6"/>
  <c r="G105" i="6"/>
  <c r="I110" i="6"/>
  <c r="I78" i="6"/>
  <c r="I105" i="6"/>
  <c r="J105" i="6"/>
  <c r="J110" i="6"/>
  <c r="J78" i="6"/>
  <c r="K110" i="6"/>
  <c r="H78" i="6"/>
  <c r="H110" i="6"/>
  <c r="H105" i="6"/>
  <c r="M110" i="6" l="1"/>
  <c r="L105" i="6"/>
  <c r="L78" i="6"/>
  <c r="L110" i="6"/>
  <c r="F105" i="6"/>
  <c r="F78" i="6"/>
  <c r="F110" i="6"/>
</calcChain>
</file>

<file path=xl/sharedStrings.xml><?xml version="1.0" encoding="utf-8"?>
<sst xmlns="http://schemas.openxmlformats.org/spreadsheetml/2006/main" count="1638" uniqueCount="556">
  <si>
    <t xml:space="preserve">Cash </t>
  </si>
  <si>
    <t xml:space="preserve">Price (Pula) </t>
  </si>
  <si>
    <t xml:space="preserve">Economic Value </t>
  </si>
  <si>
    <t xml:space="preserve">Total Debt </t>
  </si>
  <si>
    <t xml:space="preserve">Revenue </t>
  </si>
  <si>
    <t xml:space="preserve">EBITDA </t>
  </si>
  <si>
    <t xml:space="preserve">EV/ EBITDA </t>
  </si>
  <si>
    <t xml:space="preserve">Gross Margin </t>
  </si>
  <si>
    <t xml:space="preserve">Net Income Adjusted </t>
  </si>
  <si>
    <t xml:space="preserve">Net Margin </t>
  </si>
  <si>
    <t>Q223</t>
  </si>
  <si>
    <t xml:space="preserve">Objective </t>
  </si>
  <si>
    <t>Shares ('000)</t>
  </si>
  <si>
    <t>Market Cap ('000 000)</t>
  </si>
  <si>
    <t xml:space="preserve">COGS </t>
  </si>
  <si>
    <t>Current Debt</t>
  </si>
  <si>
    <t>Principal Repayments (% of Total Debt)</t>
  </si>
  <si>
    <t>Interest Rate (% of Total Debt)</t>
  </si>
  <si>
    <t>Current Cash</t>
  </si>
  <si>
    <t>Debt Capacity</t>
  </si>
  <si>
    <t>Min</t>
  </si>
  <si>
    <t>Revenue</t>
  </si>
  <si>
    <t>Gross Margin</t>
  </si>
  <si>
    <t>EBITDA</t>
  </si>
  <si>
    <t>Depreciation (% of EBITDA)</t>
  </si>
  <si>
    <t>Taxes (% of EBIT)</t>
  </si>
  <si>
    <t>Capex</t>
  </si>
  <si>
    <t xml:space="preserve"> </t>
  </si>
  <si>
    <t>EBIT</t>
  </si>
  <si>
    <t>EBITDA - Capex</t>
  </si>
  <si>
    <t>EBITDA - Capex - Cash Taxes</t>
  </si>
  <si>
    <t>Covenants</t>
  </si>
  <si>
    <t>Maximum</t>
  </si>
  <si>
    <t>Total Debt</t>
  </si>
  <si>
    <t>Total Debt/EBITDA</t>
  </si>
  <si>
    <t>Net Debt/EBITDA</t>
  </si>
  <si>
    <t>Interest Coverage (EBIT / Interest)</t>
  </si>
  <si>
    <t>Debt Service Coverage (EBITDA) / (Interest + Principal)</t>
  </si>
  <si>
    <t>Debt Service Coverage (EBITDA - Capex) / (Interest + Principal)</t>
  </si>
  <si>
    <t>Fixed Charge Coverage (EBITDA - Capex - Taxes ) / (Interest + Principal)</t>
  </si>
  <si>
    <t>Average</t>
  </si>
  <si>
    <t xml:space="preserve">Business Overview </t>
  </si>
  <si>
    <t xml:space="preserve">Clearly Articulate the business model </t>
  </si>
  <si>
    <t>N/A</t>
  </si>
  <si>
    <t>Dividends Per Share</t>
  </si>
  <si>
    <t>Earnings Per Share</t>
  </si>
  <si>
    <t>Net Income</t>
  </si>
  <si>
    <t>Sales</t>
  </si>
  <si>
    <t>Company Growth Rates</t>
  </si>
  <si>
    <t>Market-to-Book Ratio</t>
  </si>
  <si>
    <t>Price-Earnings Ratio</t>
  </si>
  <si>
    <t>Earnings per Share</t>
  </si>
  <si>
    <t>Return on Equity</t>
  </si>
  <si>
    <t>Return on Investment (Assets)</t>
  </si>
  <si>
    <t>Net Profit Margin</t>
  </si>
  <si>
    <t>Operating Profit Margin</t>
  </si>
  <si>
    <t>Gross Profit Margin</t>
  </si>
  <si>
    <t>Profitability Ratios</t>
  </si>
  <si>
    <t>Interest Coverage</t>
  </si>
  <si>
    <t>Debt-to-Equity Ratio</t>
  </si>
  <si>
    <t>Debt Ratio</t>
  </si>
  <si>
    <t>Financial Leverage Ratios</t>
  </si>
  <si>
    <t>Total Asset Turnover</t>
  </si>
  <si>
    <t>Fixed Asset Turnover</t>
  </si>
  <si>
    <t>Inventory Turnover</t>
  </si>
  <si>
    <t>Average Collection Period</t>
  </si>
  <si>
    <t>Activity Ratios</t>
  </si>
  <si>
    <t>Quick Ratio</t>
  </si>
  <si>
    <t>Current Ratio</t>
  </si>
  <si>
    <t>Liquidity Ratios</t>
  </si>
  <si>
    <t>Company Financial Ratios</t>
  </si>
  <si>
    <t>Average Federal Income Tax Rate</t>
  </si>
  <si>
    <t>Market Price--Common Stock</t>
  </si>
  <si>
    <t>Number of Preferred Shares</t>
  </si>
  <si>
    <t>Number of Common Shares</t>
  </si>
  <si>
    <t>General Information</t>
  </si>
  <si>
    <t>Price-to-Earnings Ratio</t>
  </si>
  <si>
    <t>Earnings per Share (EPS)</t>
  </si>
  <si>
    <t>Addition to Retained Earnings</t>
  </si>
  <si>
    <t>Common Stock Dividends</t>
  </si>
  <si>
    <t>Earnings Available to Common</t>
  </si>
  <si>
    <t>Preferred Dividends</t>
  </si>
  <si>
    <t>Total Taxes</t>
  </si>
  <si>
    <t>Other Taxes</t>
  </si>
  <si>
    <t>State Income Tax</t>
  </si>
  <si>
    <t>Federal Income Tax</t>
  </si>
  <si>
    <t>Taxes</t>
  </si>
  <si>
    <t>Earnings Before Tax</t>
  </si>
  <si>
    <t>Other Income</t>
  </si>
  <si>
    <t>Total Interest Expense</t>
  </si>
  <si>
    <t>Interest on Debentures</t>
  </si>
  <si>
    <t>Interest on Bonds</t>
  </si>
  <si>
    <t>Interest on Notes Payable</t>
  </si>
  <si>
    <t>Less Interest Expense:</t>
  </si>
  <si>
    <t>Net Operating Income</t>
  </si>
  <si>
    <t>Total Expense</t>
  </si>
  <si>
    <t>Other Operating Expense</t>
  </si>
  <si>
    <t>Lease Payments</t>
  </si>
  <si>
    <t>Utilities</t>
  </si>
  <si>
    <t>General and Administrative</t>
  </si>
  <si>
    <t>Selling</t>
  </si>
  <si>
    <t>Depreciation</t>
  </si>
  <si>
    <t>Labor and Materials</t>
  </si>
  <si>
    <t>Operating Expense</t>
  </si>
  <si>
    <t>Income Statement</t>
  </si>
  <si>
    <t>Total Liabilities and Net Worth</t>
  </si>
  <si>
    <t>Total Net Worth</t>
  </si>
  <si>
    <t>Retained Earnings</t>
  </si>
  <si>
    <t>Preferred Stock</t>
  </si>
  <si>
    <t>Paid in Capital in Excess of Par</t>
  </si>
  <si>
    <t>Common Stock</t>
  </si>
  <si>
    <t>Net Worth</t>
  </si>
  <si>
    <t>Total Liabilities</t>
  </si>
  <si>
    <t>Other Liabilities</t>
  </si>
  <si>
    <t>Deferred Taxes</t>
  </si>
  <si>
    <t>Total Long-Term Debt</t>
  </si>
  <si>
    <t>Other Long-Term Debt</t>
  </si>
  <si>
    <t>Notes Payable</t>
  </si>
  <si>
    <t>Bonds and Debentures</t>
  </si>
  <si>
    <t>Long-Term Debt</t>
  </si>
  <si>
    <t>Total Current Liabilities</t>
  </si>
  <si>
    <t>Current Portion of L-T Debt</t>
  </si>
  <si>
    <t>Other Current Liabilities</t>
  </si>
  <si>
    <t>Taxes Payable</t>
  </si>
  <si>
    <t>Wages Payable</t>
  </si>
  <si>
    <t>Accounts Payable</t>
  </si>
  <si>
    <t>Current Liabilities</t>
  </si>
  <si>
    <t>Liabilities &amp; Net Worth</t>
  </si>
  <si>
    <t>Total Assets</t>
  </si>
  <si>
    <t>Other Assets</t>
  </si>
  <si>
    <t>Net Fixed Assets</t>
  </si>
  <si>
    <t>Other Fixed Assets</t>
  </si>
  <si>
    <t>Accumulated Depreciation</t>
  </si>
  <si>
    <t>Plant, Property, and Equipment</t>
  </si>
  <si>
    <t>Fixed Assets</t>
  </si>
  <si>
    <t>Total Current Assets</t>
  </si>
  <si>
    <t>Other Current Assets</t>
  </si>
  <si>
    <t>Prepaid Expenses</t>
  </si>
  <si>
    <t>Inventories</t>
  </si>
  <si>
    <t>Accounts Receivable</t>
  </si>
  <si>
    <t>Marketable Securities</t>
  </si>
  <si>
    <t>Cash</t>
  </si>
  <si>
    <t>Current Assets</t>
  </si>
  <si>
    <t>Assets</t>
  </si>
  <si>
    <t>Balance Sheet</t>
  </si>
  <si>
    <t>Letshego Africa Holdings Ltd (LETSHEGO BG) - As Reported</t>
  </si>
  <si>
    <t>In Millions of BWP except Per Share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</si>
  <si>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</si>
  <si>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</si>
  <si>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</si>
  <si>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</si>
  <si>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</si>
  <si>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</si>
  <si>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</si>
  <si>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</si>
  <si>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</si>
  <si>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FY 2023</t>
  </si>
  <si>
    <t>12 Months Ending</t>
  </si>
  <si>
    <t>01/31/2014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</si>
  <si>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</si>
  <si>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</si>
  <si>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</si>
  <si>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</si>
  <si>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</si>
  <si>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</si>
  <si>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</si>
  <si>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</si>
  <si>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12/31/2023</t>
  </si>
  <si>
    <t>Cash Flow</t>
  </si>
  <si>
    <t xml:space="preserve">  Cash From Operating Activities</t>
  </si>
  <si>
    <t>ARD_DEPRECIATION_CF</t>
  </si>
  <si>
    <t>—</t>
  </si>
  <si>
    <t>Depreciation And Amortization - CF</t>
  </si>
  <si>
    <t>ARD_DEPRECIATION_AND_AMORT_CF</t>
  </si>
  <si>
    <t>Disposal/Sale of Assets</t>
  </si>
  <si>
    <t>ARD_DISPOSAL_SALE_OF_ASSETS</t>
  </si>
  <si>
    <t>Other Non-Cash Items</t>
  </si>
  <si>
    <t>ARD_OTHER_NON_CASH_ITEMS</t>
  </si>
  <si>
    <t>Change in Accounts Payable</t>
  </si>
  <si>
    <t>ARD_CHANGE_IN_ACCOUNTS_PAYABLE</t>
  </si>
  <si>
    <t>Change in Accounts Receivable</t>
  </si>
  <si>
    <t>ARD_CHG_IN_ACCOUNTS_RECEIVABLE</t>
  </si>
  <si>
    <t>Amortization of Intangibles</t>
  </si>
  <si>
    <t>ARD_AMORTIZATION_OF_INTANGIBLE</t>
  </si>
  <si>
    <t>Change In Other Liabilites</t>
  </si>
  <si>
    <t>ARD_CHG_IN_OTHER_LIABILITES</t>
  </si>
  <si>
    <t>Provision For Loan Loss -CF</t>
  </si>
  <si>
    <t>ARD_PROVISION_FOR_LOAN_LOSS_CF</t>
  </si>
  <si>
    <t>Change In Other Assets And Liabilities</t>
  </si>
  <si>
    <t>ARD_CHG_OTH_ASSETS_LIAB</t>
  </si>
  <si>
    <t>Change in Other Current Assets and Liabilities</t>
  </si>
  <si>
    <t>ARD_CHG_IN_OTH_CUR_ASSETS_LIAB</t>
  </si>
  <si>
    <t>Gain (Loss) On Sale of Investments and Mkt Sec</t>
  </si>
  <si>
    <t>ARD_GL_ON_SALE_OF_INV_MKT_SEC</t>
  </si>
  <si>
    <t>Interest Received</t>
  </si>
  <si>
    <t>ARD_INTEREST_RECEIVED</t>
  </si>
  <si>
    <t>Foreign Exchange Gains/Losses</t>
  </si>
  <si>
    <t>ARD_FOREIGN_EXCHANGE_GAIN_LOSS</t>
  </si>
  <si>
    <t>Gain (Loss) From The Sale Of Fixed Assets</t>
  </si>
  <si>
    <t>ARD_GAIN_LOSS_SALES_FIXED_ASSETS</t>
  </si>
  <si>
    <t>Dvds Received (Non Joint Ventures / Associate</t>
  </si>
  <si>
    <t>ARD_DIV_RECEIVED_NON_JV_ASSOC</t>
  </si>
  <si>
    <t>Impairment Of Goodwill-CF</t>
  </si>
  <si>
    <t>ARD_IMPRMNT_OF_GOODWILL_CF</t>
  </si>
  <si>
    <t>Interest Expense</t>
  </si>
  <si>
    <t>ARD_INTEREST_EXPENSE</t>
  </si>
  <si>
    <t>Interest Income - CF</t>
  </si>
  <si>
    <t>ARD_INTEREST_INCOME_CF</t>
  </si>
  <si>
    <t>Change In Other Receivable</t>
  </si>
  <si>
    <t>ARD_CHANGE_IN_OTHER_RECEIVABLE</t>
  </si>
  <si>
    <t>Profit Before Taxation And Minority Interest</t>
  </si>
  <si>
    <t>ARD_PROF_BEFORE_TAX_MINORITY_INT</t>
  </si>
  <si>
    <t>Net Cash From Operating Activities</t>
  </si>
  <si>
    <t>ARD_NET_CASH_FROM_OPERATING_ACT</t>
  </si>
  <si>
    <t>Other Provisions</t>
  </si>
  <si>
    <t>ARD_OTHER_PROVISION</t>
  </si>
  <si>
    <t>Net Increase In Loans &amp; Advances To Customers</t>
  </si>
  <si>
    <t>ARD_NET_INCR_IN_LOAN_ADV_TO_CUST</t>
  </si>
  <si>
    <t>Decrease In Customer Deposits</t>
  </si>
  <si>
    <t>ARD_DECR_IN_CUSTOMER_DEPOSITS</t>
  </si>
  <si>
    <t>Cumulative Net Income</t>
  </si>
  <si>
    <t>ARD_CUMULATIVE_NET_INCOME</t>
  </si>
  <si>
    <t>Net Change In Loans</t>
  </si>
  <si>
    <t>ARD_NET_CHANGE_IN_LOANS</t>
  </si>
  <si>
    <t xml:space="preserve">  Cash From Investing Activities</t>
  </si>
  <si>
    <t>Disposal of Fixed Assets</t>
  </si>
  <si>
    <t>ARD_DISPOSAL_OF_FIXED_ASSETS</t>
  </si>
  <si>
    <t>Capital Expenditures</t>
  </si>
  <si>
    <t>ARD_CAPITAL_EXPENDITURES</t>
  </si>
  <si>
    <t>Proceeds From Investments</t>
  </si>
  <si>
    <t>ARD_PROCEEDS_FROM_INVESTMENTS</t>
  </si>
  <si>
    <t>Purchases of Investments</t>
  </si>
  <si>
    <t>ARD_PURCHASES_OF_INVESTMENTS</t>
  </si>
  <si>
    <t>Acquisition of Business</t>
  </si>
  <si>
    <t>ARD_ACQUISITION_OF_BUSINESS</t>
  </si>
  <si>
    <t>Other Investing Activities</t>
  </si>
  <si>
    <t>ARD_OTHER_INVESTING_ACTIVITIES</t>
  </si>
  <si>
    <t>Divestiture of Business</t>
  </si>
  <si>
    <t>ARD_DIVESTITURE_OF_BUSINESS</t>
  </si>
  <si>
    <t>Sales of Other Investments</t>
  </si>
  <si>
    <t>ARD_SALES_OF_OTHER_INVESTMENTS</t>
  </si>
  <si>
    <t>Purchase of Intangibles</t>
  </si>
  <si>
    <t>ARD_PURCHASE_OF_INTANGIBLES</t>
  </si>
  <si>
    <t>Net Cash From Acquisitions &amp; Disposals</t>
  </si>
  <si>
    <t>ARD_NET_CASH_FROM_ACQ_DISPOSALS</t>
  </si>
  <si>
    <t>Additions To Fixed And Intangible Assets</t>
  </si>
  <si>
    <t>ARD_ADDITIONS_FIXED_INTANG_ASSET</t>
  </si>
  <si>
    <t>Total Cash From Capital Expenditure</t>
  </si>
  <si>
    <t>ARD_TOT_CASH_FROM_CAP_EXPEND</t>
  </si>
  <si>
    <t>Total Cash Flows From Investing</t>
  </si>
  <si>
    <t>ARD_TOT_CASHFLOWS_FROM_INVESTING</t>
  </si>
  <si>
    <t xml:space="preserve">  Cash from Financing Activities</t>
  </si>
  <si>
    <t>Dividends Paid</t>
  </si>
  <si>
    <t>ARD_DIVIDEND_PD</t>
  </si>
  <si>
    <t>Increase In Long-Term Borrowings</t>
  </si>
  <si>
    <t>ARD_INCR_IN_LT_BORROW</t>
  </si>
  <si>
    <t>Decrease In Long-Term Borrowings</t>
  </si>
  <si>
    <t>ARD_DECR_IN_LT_BORROW</t>
  </si>
  <si>
    <t>Repurchase of Common Stock</t>
  </si>
  <si>
    <t>ARD_REPURCHASE_OF_COMMON_STOCK</t>
  </si>
  <si>
    <t>Effect of Exchange Rates On Cash</t>
  </si>
  <si>
    <t>ARD_EFF_OF_EXCH_RATES_ON_CASH</t>
  </si>
  <si>
    <t>Other Financing Activities</t>
  </si>
  <si>
    <t>ARD_OTHER_FINANCING_ACTIVITIES</t>
  </si>
  <si>
    <t>Cash Paid For Taxes</t>
  </si>
  <si>
    <t>ARD_CASH_PAID_FOR_TAXES</t>
  </si>
  <si>
    <t>Cash Paid For Interest</t>
  </si>
  <si>
    <t>ARD_CASH_PAID_FOR_INTEREST</t>
  </si>
  <si>
    <t>Net Change In Cash</t>
  </si>
  <si>
    <t>ARD_NET_CHANGE_IN_CASH</t>
  </si>
  <si>
    <t>Cash and Cash Equivalents (End of Period)</t>
  </si>
  <si>
    <t>ARD_CASH_CASH_EQUIV_END_OF_PER</t>
  </si>
  <si>
    <t>Cash and Cash Equivalents (Beg of Period)</t>
  </si>
  <si>
    <t>ARD_CASH_CASH_EQUIV_BEG_OF_PER</t>
  </si>
  <si>
    <t>Dvds Paid To Shareholders/Minority Shareholder</t>
  </si>
  <si>
    <t>ARD_DIV_PAID_MINOR_SHAREHOLDERS</t>
  </si>
  <si>
    <t>Increase/(Decrease) In Minority Interest</t>
  </si>
  <si>
    <t>ARD_INCR_DECR_IN_MINORITY_INT</t>
  </si>
  <si>
    <t>Total Cash Flows From Financing</t>
  </si>
  <si>
    <t>ARD_TOT_CASHFLOWS_FROM_FINANCING</t>
  </si>
  <si>
    <t>Source: Bloomberg</t>
  </si>
  <si>
    <t>Right click to show data transparency (not supported for all values)</t>
  </si>
  <si>
    <t xml:space="preserve">  Revenues</t>
  </si>
  <si>
    <t>Insurance Commissions</t>
  </si>
  <si>
    <t>ARD_INSURANCE_COMMISSIONS</t>
  </si>
  <si>
    <t xml:space="preserve">  Operating Expenses</t>
  </si>
  <si>
    <t>Salaries Wages and Employee Benefits</t>
  </si>
  <si>
    <t>ARD_SALARIES_WAGE_EMPLOYEE_BEN</t>
  </si>
  <si>
    <t>Other Operating Expenses</t>
  </si>
  <si>
    <t>ARD_OTHER_OPERATING_EXPENSES</t>
  </si>
  <si>
    <t>Provision For Loan Loss</t>
  </si>
  <si>
    <t>ARD_PROVISION_FOR_LOAN_LOSS</t>
  </si>
  <si>
    <t xml:space="preserve">  Non-Operating Expenses</t>
  </si>
  <si>
    <t>Income Tax Expense (Benefit)</t>
  </si>
  <si>
    <t>ARD_INCOME_TAX_EXP_BENEFIT</t>
  </si>
  <si>
    <t xml:space="preserve">  Extraordinary Items</t>
  </si>
  <si>
    <t>Others - Discontinued Operations</t>
  </si>
  <si>
    <t>ARD_OTHERS_DISCONTINUED_OPS</t>
  </si>
  <si>
    <t xml:space="preserve">  Earnings</t>
  </si>
  <si>
    <t>Minority/Non Controlling Interest</t>
  </si>
  <si>
    <t>ARD_MINORITY_NONCONTROL_INTEREST</t>
  </si>
  <si>
    <t>ARD_DVD_PER_SH</t>
  </si>
  <si>
    <t>Basic EPS</t>
  </si>
  <si>
    <t>ARD_BASIC_EPS</t>
  </si>
  <si>
    <t>Weighted Avg. Shares - Basic</t>
  </si>
  <si>
    <t>ARD_WEIGHTED_AVG_SHARES_BASIC</t>
  </si>
  <si>
    <t>Diluted EPS</t>
  </si>
  <si>
    <t>ARD_DILUTED_EPS</t>
  </si>
  <si>
    <t>Weighted Avg. Shares - Diluted</t>
  </si>
  <si>
    <t>ARD_WEIGHTED_AVG_SHARE_DILUTED</t>
  </si>
  <si>
    <t>Net Income Available For Common Shareholders</t>
  </si>
  <si>
    <t>ARD_NET_INC_AVAIL_COM_SHRHLDR</t>
  </si>
  <si>
    <t>Final Dividend Per Share</t>
  </si>
  <si>
    <t>ARD_FINAL_DIVIDEND_PER_SHARE</t>
  </si>
  <si>
    <t>Interim Dividend Per Share</t>
  </si>
  <si>
    <t>ARD_INTERIM_DIVIDEND_PER_SHARE</t>
  </si>
  <si>
    <t>Profit After Taxation Before Minority</t>
  </si>
  <si>
    <t>ARD_PROF_AFTER_TAX_BEF_MINORITY</t>
  </si>
  <si>
    <t>ARD_NET_INC</t>
  </si>
  <si>
    <t xml:space="preserve">  Others</t>
  </si>
  <si>
    <t xml:space="preserve">  Comprehensive Income</t>
  </si>
  <si>
    <t>Foreign Currency Translation Adjustments</t>
  </si>
  <si>
    <t>ARD_FOR_CRNCY_TRANSLATION_ADJ</t>
  </si>
  <si>
    <t>Unrealized Gain (Loss) On Securities</t>
  </si>
  <si>
    <t>ARD_UNREALIZED_GL_ON_SECS</t>
  </si>
  <si>
    <t>Total Comprehensive Income</t>
  </si>
  <si>
    <t>ARD_TOTAL_COMPREHENSIVE_INCOME</t>
  </si>
  <si>
    <t>Comprehensive Income Attrib to Minority Int</t>
  </si>
  <si>
    <t>ARD_COMPREHENSIVE_INC_ATTRIB_MI</t>
  </si>
  <si>
    <t>Net Income - Comprehensive Income</t>
  </si>
  <si>
    <t>ARD_COMPREHENSIVE_INCOME_NET_INC</t>
  </si>
  <si>
    <t>Total Comprehensive Inc Including Minority Int</t>
  </si>
  <si>
    <t>ARD_TOT_COMP_INC_INCL_MIN_INT</t>
  </si>
  <si>
    <t xml:space="preserve">  Interest expense</t>
  </si>
  <si>
    <t>ARD_INT_EXP</t>
  </si>
  <si>
    <t>Interest Expense-Other</t>
  </si>
  <si>
    <t>ARD_INTEREST_EXPENSE_OTHER</t>
  </si>
  <si>
    <t>Net Interest Income</t>
  </si>
  <si>
    <t>ARD_NET_INTEREST_INCOME</t>
  </si>
  <si>
    <t xml:space="preserve">  Interest income</t>
  </si>
  <si>
    <t>Interest Income</t>
  </si>
  <si>
    <t>ARD_INT_INCOME</t>
  </si>
  <si>
    <t>Total Interest Income</t>
  </si>
  <si>
    <t>ARD_TOTAL_INTEREST_INCOME</t>
  </si>
  <si>
    <t>Total Interest Expense - Consolidated</t>
  </si>
  <si>
    <t>ARD_TOTAL_INTEREST_EXPENSE_CONS</t>
  </si>
  <si>
    <t xml:space="preserve">  Non-interest income</t>
  </si>
  <si>
    <t>Other Operating Income</t>
  </si>
  <si>
    <t>ARD_OTHER_OPERATING_INC</t>
  </si>
  <si>
    <t>Commission and Fees</t>
  </si>
  <si>
    <t>ARD_COMMISSION_AND_FEES</t>
  </si>
  <si>
    <t>Net Operating Income (NOI)</t>
  </si>
  <si>
    <t>ARD_NET_OPERATING_INCOME</t>
  </si>
  <si>
    <t>Fees And Commissions Received</t>
  </si>
  <si>
    <t>ARD_FEES_COMMUNISSIONS_REC</t>
  </si>
  <si>
    <t xml:space="preserve">  Reference Items</t>
  </si>
  <si>
    <t>ARDR COVID-19 Related Charges - Operating</t>
  </si>
  <si>
    <t>ARDR_COVID_19_RELTD_CHARGS_OPER</t>
  </si>
  <si>
    <t>ARDR_SALARIES_WAGE_EMPLOYEE_BEN</t>
  </si>
  <si>
    <t>Depreciation Expense</t>
  </si>
  <si>
    <t>ARDR_DEPRECIATION_EXP</t>
  </si>
  <si>
    <t>Depreciation and Amortization</t>
  </si>
  <si>
    <t>ARDR_DEPRECIATION_AMORTIZATION</t>
  </si>
  <si>
    <t>(Gain)/Loss On Sale of Assets</t>
  </si>
  <si>
    <t>ARDR_GL_ON_SALE_OF_ASSETS</t>
  </si>
  <si>
    <t>Write-Down/Impairment of Assets</t>
  </si>
  <si>
    <t>ARDR_WRITEDOWN_IMPAIR_OF_ASSETS</t>
  </si>
  <si>
    <t>Restructuring Charges</t>
  </si>
  <si>
    <t>ARDR_RESTRUCTURING_CHARGES</t>
  </si>
  <si>
    <t>Other One-Time Charges</t>
  </si>
  <si>
    <t>ARDR_OTHER_ONE_TIME_CHARGES</t>
  </si>
  <si>
    <t>ARDR_INT_INCOME</t>
  </si>
  <si>
    <t>ARDR_OTHER_OPERATING_INC</t>
  </si>
  <si>
    <t>Total Cash Common Dividends</t>
  </si>
  <si>
    <t>ARDR_TOTAL_CASH_COMMON_DVD</t>
  </si>
  <si>
    <t>ARDR_DVD_PER_SH</t>
  </si>
  <si>
    <t>ARDR_BASIC_EPS</t>
  </si>
  <si>
    <t>ARDR_WEIGHTED_AVG_SHARES_BASIC</t>
  </si>
  <si>
    <t>ARDR_DILUTED_EPS</t>
  </si>
  <si>
    <t>ARDR_WEIGHTED_AVG_SHARE_DILUTED</t>
  </si>
  <si>
    <t>Pension Expense (Income)</t>
  </si>
  <si>
    <t>ARDR_PENSION_EXP_INCOME</t>
  </si>
  <si>
    <t>Interest Income - Loans</t>
  </si>
  <si>
    <t>ARDR_INTEREST_INCOME_LOANS</t>
  </si>
  <si>
    <t>Interest Income - Other</t>
  </si>
  <si>
    <t>ARDR_INTEREST_INCOME_OTHER</t>
  </si>
  <si>
    <t>Interest Income - Deposits With Banks</t>
  </si>
  <si>
    <t>ARDR_INT_INC_DEPOSIT_WITH_BANKS</t>
  </si>
  <si>
    <t>ARDR_COMMISSION_AND_FEES</t>
  </si>
  <si>
    <t>Interest Expense - Deposits</t>
  </si>
  <si>
    <t>ARDR_INTEREST_EXP_DEPOSITS</t>
  </si>
  <si>
    <t>Interest Expense - Other</t>
  </si>
  <si>
    <t>ARDR_INTEREST_EXPENSE_OTHER</t>
  </si>
  <si>
    <t>ARDR_TOTAL_INTEREST_INCOME</t>
  </si>
  <si>
    <t>ARDR_TOTAL_INTEREST_EXPENSE</t>
  </si>
  <si>
    <t>Impairment of Intangibles</t>
  </si>
  <si>
    <t>ARDR_IMPAIRMENT_OF_INTANGIBLES</t>
  </si>
  <si>
    <t>ARDR_PROVISION_FOR_LOAN_LOSS</t>
  </si>
  <si>
    <t>Amortization of Intangible Assets</t>
  </si>
  <si>
    <t>ARDR_AMORT_OF_INTANGIBLE_ASSETS</t>
  </si>
  <si>
    <t>Impairment of Goodwill</t>
  </si>
  <si>
    <t>ARDR_IMPAIRMENT_OF_GOODWILL</t>
  </si>
  <si>
    <t>Pension/Postretirement Benefits Expense</t>
  </si>
  <si>
    <t>ARDR_PENSION_POSTRETIRE_BEN_EXP</t>
  </si>
  <si>
    <t>Effective Tax Rate - %</t>
  </si>
  <si>
    <t>ARDR_EFFECTIVE_TAX_RATE_PCT</t>
  </si>
  <si>
    <t>Other Auditors Fees (Tax &amp; Consulting)</t>
  </si>
  <si>
    <t>ARDR_OTH_AUDIT_FEES_TAX_CONSULT</t>
  </si>
  <si>
    <t>Other Employee Costs</t>
  </si>
  <si>
    <t>ARDR_OTHER_EMPLOYEE_COSTS</t>
  </si>
  <si>
    <t>ARDR_FEES_COMMUNISSIONS_REC</t>
  </si>
  <si>
    <t>Wages And Salaries</t>
  </si>
  <si>
    <t>ARDR_WAGES_AND_SALARIES</t>
  </si>
  <si>
    <t>Total Fees Paid To Audit Firms</t>
  </si>
  <si>
    <t>ARDR_TOT_FEES_PAID_AUDIT_FIRMS</t>
  </si>
  <si>
    <t>Rental Expense</t>
  </si>
  <si>
    <t>ARDR_RENTAL_EXP</t>
  </si>
  <si>
    <t>Write-Downs Of Investments</t>
  </si>
  <si>
    <t>ARDR_WRITE_DOWNS_OF_INVESTMENTS</t>
  </si>
  <si>
    <t>Auditor Expense - Audit</t>
  </si>
  <si>
    <t>ARDR_AUDITOR_EXP_AUDIT</t>
  </si>
  <si>
    <t>Revenue From Insurance Activities</t>
  </si>
  <si>
    <t>ARDR_REV_FROM_INSURANCE_ACTS</t>
  </si>
  <si>
    <t>Return on Equity %</t>
  </si>
  <si>
    <t>ARDR_RETURN_ON_EQUITY_PCT</t>
  </si>
  <si>
    <t>Return on Assets %</t>
  </si>
  <si>
    <t>ARDR_RETURN_ON_ASSETS_PCT</t>
  </si>
  <si>
    <t>Efficiency Ratio %</t>
  </si>
  <si>
    <t>ARDR_EFFICIENCY_RATIO_PCT</t>
  </si>
  <si>
    <t>Statutory Tax Rate - %</t>
  </si>
  <si>
    <t>ARDR_STATUTORY_TAX_RATE_PCT</t>
  </si>
  <si>
    <t>ARDR Goodwill Impairment After Tax</t>
  </si>
  <si>
    <t>ARDR_GOODWILL_IMPAIRMENT_AFT_TAX</t>
  </si>
  <si>
    <t>Nonaudit Service Fee Paid to Main Auditor</t>
  </si>
  <si>
    <t>ARDR_NONAUDIT_FEE_TO_MAIN_AUDIT</t>
  </si>
  <si>
    <t>Interest Expense - Borrowings</t>
  </si>
  <si>
    <t>ARDR_INTEREST_EXP_BORROW</t>
  </si>
  <si>
    <t xml:space="preserve">Gross income </t>
  </si>
  <si>
    <t xml:space="preserve">Total Operating Expenses </t>
  </si>
  <si>
    <t xml:space="preserve">Other Income </t>
  </si>
  <si>
    <t>Commission and fees (paid)</t>
  </si>
  <si>
    <t>Minority controlling</t>
  </si>
  <si>
    <t xml:space="preserve">NOI </t>
  </si>
  <si>
    <t xml:space="preserve">  Assets</t>
  </si>
  <si>
    <t>Cash and Equivalents</t>
  </si>
  <si>
    <t>Property Plant &amp; Equipment - Net</t>
  </si>
  <si>
    <t>Other Intangible Assets</t>
  </si>
  <si>
    <t>Goodwill</t>
  </si>
  <si>
    <t>Deferred Income Tax Asset</t>
  </si>
  <si>
    <t>Trade Receivable And Bill Receivable</t>
  </si>
  <si>
    <t>Total Fixed Assets</t>
  </si>
  <si>
    <t>Loans And Advances</t>
  </si>
  <si>
    <t>Tax Assets</t>
  </si>
  <si>
    <t>Other Investments</t>
  </si>
  <si>
    <t xml:space="preserve">  Liabilities</t>
  </si>
  <si>
    <t>Deferred Income Taxes (Liabilities)</t>
  </si>
  <si>
    <t>Borrowings (Long-Term)</t>
  </si>
  <si>
    <t>Borrowings</t>
  </si>
  <si>
    <t>Trade Payable And Other Payables</t>
  </si>
  <si>
    <t>Due To Banks-Demand &amp; Term Deposits/Other Pay</t>
  </si>
  <si>
    <t>Finl Liabs At Fair Value Through Profit/Loss</t>
  </si>
  <si>
    <t>Zakat And Taxation</t>
  </si>
  <si>
    <t>Provisions For Income Tax</t>
  </si>
  <si>
    <t xml:space="preserve">  Stockholder Equity</t>
  </si>
  <si>
    <t>Minority/Non Controlling Int (Stckhldrs Eqty)</t>
  </si>
  <si>
    <t>Retained Earnings (Accumulated Deficit)</t>
  </si>
  <si>
    <t>Shares Outstanding</t>
  </si>
  <si>
    <t>Common Stock &amp; APIC</t>
  </si>
  <si>
    <t>Total Shareholders Equity</t>
  </si>
  <si>
    <t>Cumulative Translation Adjustment</t>
  </si>
  <si>
    <t>Other Reserve</t>
  </si>
  <si>
    <t>Share Option Reserve</t>
  </si>
  <si>
    <t>Appropriated Retained Earnings - Legal Reserve</t>
  </si>
  <si>
    <t>Total Shareholders Equity Excluding Minority</t>
  </si>
  <si>
    <t>Fair Value And Other Reserves</t>
  </si>
  <si>
    <t>Treasury Shares (Number)</t>
  </si>
  <si>
    <t>Shares Issued</t>
  </si>
  <si>
    <t>Total Liabilities and Shareholders Equity</t>
  </si>
  <si>
    <t xml:space="preserve">  Deposits</t>
  </si>
  <si>
    <t>Total Deposits</t>
  </si>
  <si>
    <t xml:space="preserve">  Investments</t>
  </si>
  <si>
    <t>Other Receivable</t>
  </si>
  <si>
    <t>Cash and Cash Equivalents</t>
  </si>
  <si>
    <t>Investment Securities</t>
  </si>
  <si>
    <t xml:space="preserve">  Loans</t>
  </si>
  <si>
    <t>Total Loans</t>
  </si>
  <si>
    <t>Net Loans</t>
  </si>
  <si>
    <t>Land and Buildings</t>
  </si>
  <si>
    <t>Construction In Progress</t>
  </si>
  <si>
    <t>Furniture/Machinery/Equipment</t>
  </si>
  <si>
    <t>Property Plant &amp; Equipment - Gross</t>
  </si>
  <si>
    <t>Patents/Trademarks/Copyrights</t>
  </si>
  <si>
    <t>Min/Non Cntrlling Int(Stckhldrs Eqty)</t>
  </si>
  <si>
    <t>Other Gross Fixed Assets</t>
  </si>
  <si>
    <t>Future Minimum Operating Lease Obligations</t>
  </si>
  <si>
    <t>Rental Expense - Year 1</t>
  </si>
  <si>
    <t>Rental Expense - Beyond Year 5</t>
  </si>
  <si>
    <t>Capitalized Software - Net</t>
  </si>
  <si>
    <t>Reserve For Loan Losses</t>
  </si>
  <si>
    <t>Demand Deposits</t>
  </si>
  <si>
    <t>Savings Deposits</t>
  </si>
  <si>
    <t>Other Deposits</t>
  </si>
  <si>
    <t>Impairments/Adjustments</t>
  </si>
  <si>
    <t>Number of Employees at Period End Date</t>
  </si>
  <si>
    <t>Other Tangible Assets - Net</t>
  </si>
  <si>
    <t>Capital Commit Contracted Not Provided For</t>
  </si>
  <si>
    <t>Construction In Progress - Net</t>
  </si>
  <si>
    <t>Plant And Equipment - Net</t>
  </si>
  <si>
    <t>Land And Buildings - Net</t>
  </si>
  <si>
    <t>Operating Leases Expiring Within 2 &amp; 5 Yrs</t>
  </si>
  <si>
    <t>Appropriated Retained Earnings-Legal Rsrv</t>
  </si>
  <si>
    <t>Contingent Liabilities And Commitments</t>
  </si>
  <si>
    <t>Loans &amp; Adv To Custs-Bad Debts Provision</t>
  </si>
  <si>
    <t>Accumulated Amort Other Intangible Asset</t>
  </si>
  <si>
    <t>Motor Vehicles - Gross</t>
  </si>
  <si>
    <t>Motor Vehicles - Net</t>
  </si>
  <si>
    <t>Fair Value Assets Recur - Level 1</t>
  </si>
  <si>
    <t>Fair Value Assets Recur - Level 2</t>
  </si>
  <si>
    <t>Fair Value Assets Recur - Level 3</t>
  </si>
  <si>
    <t>Fair Value Assets Recur - Total</t>
  </si>
  <si>
    <t>FV Assets Rec L1: AFS Other</t>
  </si>
  <si>
    <t>FV Assets Rec L1: Derivatives</t>
  </si>
  <si>
    <t>FV Assets Rec L2: AFS Other</t>
  </si>
  <si>
    <t>FV Assets Rec L2: Derivatives</t>
  </si>
  <si>
    <t>FV Assets Rec L3: AFS Other</t>
  </si>
  <si>
    <t>FV Assets Rec L3: Derivatives</t>
  </si>
  <si>
    <t>FV Assets Rec Total: Investment Securities</t>
  </si>
  <si>
    <t>FV Assets Rec Total: Derivatives</t>
  </si>
  <si>
    <t>As Reported Data Reference AFS FV Reserve</t>
  </si>
  <si>
    <t xml:space="preserve">  Short-Term Debt</t>
  </si>
  <si>
    <t xml:space="preserve">  Long Term Debt</t>
  </si>
  <si>
    <t>Total Debt/T12M EBITDA</t>
  </si>
  <si>
    <t>Total Debt/EBIT</t>
  </si>
  <si>
    <t>Net Debt/EBIT</t>
  </si>
  <si>
    <t>EBITDA to Interest Expense</t>
  </si>
  <si>
    <t>EBITDA/Cash Interest Paid</t>
  </si>
  <si>
    <t>EBITDA-CapEx/Cash Interest Paid</t>
  </si>
  <si>
    <t>Common Equity/Total Assets</t>
  </si>
  <si>
    <t>Long-Term Debt/Equity</t>
  </si>
  <si>
    <t>Long-Term Debt/Capital</t>
  </si>
  <si>
    <t>Long-Term Debt/Total Assets</t>
  </si>
  <si>
    <t>Total Debt/Equity</t>
  </si>
  <si>
    <t>Total Debt/Capital</t>
  </si>
  <si>
    <t>Total Debt/Total Assets</t>
  </si>
  <si>
    <t>Net Debt/Equity</t>
  </si>
  <si>
    <t>Net Debt/Capital</t>
  </si>
  <si>
    <t xml:space="preserve">Depreciaition </t>
  </si>
  <si>
    <t xml:space="preserve">Amortization </t>
  </si>
  <si>
    <t xml:space="preserve">Net Debt </t>
  </si>
  <si>
    <t xml:space="preserve">Interest expense </t>
  </si>
  <si>
    <t xml:space="preserve">Capex </t>
  </si>
  <si>
    <t xml:space="preserve">IS Capex </t>
  </si>
  <si>
    <t xml:space="preserve">Cash interest paid </t>
  </si>
  <si>
    <t xml:space="preserve">FCF </t>
  </si>
  <si>
    <t xml:space="preserve">CA </t>
  </si>
  <si>
    <t xml:space="preserve">CL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</si>
</sst>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_-;\(#,##0\)_-;_-* &quot;-&quot;_-;_-@_-"/>
    <numFmt numFmtId="165" formatCode="_(* #,##0_);_(* \(#,##0\);_(* &quot;-&quot;??_);_(@_)"/>
    <numFmt numFmtId="166" formatCode="0.0%"/>
    <numFmt numFmtId="167" formatCode="0.0\x"/>
    <numFmt numFmtId="168" formatCode="_(* #,##0_);_(* \(#,##0\);_(* &quot;-&quot;?_);_(@_)"/>
    <numFmt numFmtId="169" formatCode="\$#,##0.00_);[Red]&quot;($&quot;#,##0.00\)"/>
    <numFmt numFmtId="170" formatCode="#,##0.0"/>
    <numFmt numFmtId="178" formatCode="0.000"/>
    <numFmt numFmtId="182" formatCode="0.000%"/>
  </numFmts>
  <fonts count="17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  <font>
      <b/>
      <sz val="12"/>
      <name val="Palatino"/>
      <family val="1"/>
    </font>
    <font>
      <b/>
      <sz val="11"/>
      <color indexed="9"/>
      <name val="Calibri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63"/>
      <name val="Arial"/>
      <family val="2"/>
    </font>
    <font>
      <b/>
      <sz val="10"/>
      <color theme="3" tint="0.499984740745262"/>
      <name val="Arial"/>
      <family val="2"/>
    </font>
    <font>
      <sz val="10"/>
      <color theme="3" tint="0.499984740745262"/>
      <name val="Arial"/>
      <family val="2"/>
    </font>
    <font>
      <b/>
      <sz val="10"/>
      <color rgb="FFFF0000"/>
      <name val="Arial"/>
      <family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0" fontId="4" fillId="3" borderId="0"/>
    <xf numFmtId="0" fontId="5" fillId="3" borderId="1" applyNumberFormat="0" applyProtection="0">
      <alignment horizontal="left" vertical="center" readingOrder="1"/>
    </xf>
    <xf numFmtId="0" fontId="6" fillId="4" borderId="0" applyNumberFormat="0" applyBorder="0" applyProtection="0">
      <alignment horizontal="center"/>
    </xf>
    <xf numFmtId="0" fontId="7" fillId="3" borderId="2">
      <alignment horizontal="left"/>
    </xf>
    <xf numFmtId="0" fontId="7" fillId="3" borderId="2">
      <alignment horizontal="right"/>
    </xf>
    <xf numFmtId="0" fontId="7" fillId="3" borderId="3">
      <alignment horizontal="left"/>
    </xf>
    <xf numFmtId="0" fontId="7" fillId="3" borderId="3">
      <alignment horizontal="right"/>
    </xf>
    <xf numFmtId="0" fontId="8" fillId="4" borderId="4"/>
    <xf numFmtId="3" fontId="8" fillId="4" borderId="5">
      <alignment horizontal="right"/>
    </xf>
    <xf numFmtId="0" fontId="9" fillId="4" borderId="4"/>
    <xf numFmtId="3" fontId="10" fillId="4" borderId="5">
      <alignment horizontal="right"/>
    </xf>
    <xf numFmtId="170" fontId="10" fillId="4" borderId="5">
      <alignment horizontal="right"/>
    </xf>
    <xf numFmtId="170" fontId="8" fillId="4" borderId="5">
      <alignment horizontal="right"/>
    </xf>
    <xf numFmtId="0" fontId="11" fillId="5" borderId="6" applyNumberFormat="0" applyAlignment="0" applyProtection="0"/>
    <xf numFmtId="4" fontId="10" fillId="4" borderId="5">
      <alignment horizontal="right"/>
    </xf>
  </cellStyleXfs>
  <cellXfs count="45">
    <xf numFmtId="0" fontId="0" fillId="0" borderId="0" xfId="0"/>
    <xf numFmtId="4" fontId="0" fillId="0" borderId="0" xfId="0" applyNumberFormat="1"/>
    <xf numFmtId="9" fontId="0" fillId="0" borderId="0" xfId="0" applyNumberFormat="1"/>
    <xf numFmtId="0" fontId="0" fillId="2" borderId="0" xfId="0" applyFill="1"/>
    <xf numFmtId="0" fontId="1" fillId="2" borderId="0" xfId="0" applyFont="1" applyFill="1"/>
    <xf numFmtId="4" fontId="0" fillId="2" borderId="0" xfId="0" applyNumberFormat="1" applyFill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38" fontId="0" fillId="0" borderId="0" xfId="0" applyNumberFormat="1"/>
    <xf numFmtId="0" fontId="3" fillId="0" borderId="0" xfId="0" applyFont="1"/>
    <xf numFmtId="0" fontId="4" fillId="3" borderId="0" xfId="1"/>
    <xf numFmtId="0" fontId="5" fillId="3" borderId="1" xfId="2">
      <alignment horizontal="left" vertical="center" readingOrder="1"/>
    </xf>
    <xf numFmtId="0" fontId="6" fillId="4" borderId="0" xfId="3">
      <alignment horizontal="center"/>
    </xf>
    <xf numFmtId="0" fontId="7" fillId="3" borderId="2" xfId="4">
      <alignment horizontal="left"/>
    </xf>
    <xf numFmtId="0" fontId="7" fillId="3" borderId="2" xfId="5">
      <alignment horizontal="right"/>
    </xf>
    <xf numFmtId="0" fontId="7" fillId="3" borderId="3" xfId="6">
      <alignment horizontal="left"/>
    </xf>
    <xf numFmtId="0" fontId="7" fillId="3" borderId="3" xfId="7">
      <alignment horizontal="right"/>
    </xf>
    <xf numFmtId="0" fontId="8" fillId="4" borderId="4" xfId="8"/>
    <xf numFmtId="3" fontId="8" fillId="4" borderId="5" xfId="9">
      <alignment horizontal="right"/>
    </xf>
    <xf numFmtId="0" fontId="9" fillId="4" borderId="4" xfId="10"/>
    <xf numFmtId="3" fontId="10" fillId="4" borderId="5" xfId="11">
      <alignment horizontal="right"/>
    </xf>
    <xf numFmtId="170" fontId="10" fillId="4" borderId="5" xfId="12">
      <alignment horizontal="right"/>
    </xf>
    <xf numFmtId="170" fontId="8" fillId="4" borderId="5" xfId="13">
      <alignment horizontal="right"/>
    </xf>
    <xf numFmtId="0" fontId="11" fillId="5" borderId="6" xfId="14"/>
    <xf numFmtId="4" fontId="10" fillId="4" borderId="5" xfId="15">
      <alignment horizontal="right"/>
    </xf>
    <xf numFmtId="0" fontId="12" fillId="4" borderId="4" xfId="10" applyFont="1"/>
    <xf numFmtId="0" fontId="13" fillId="4" borderId="4" xfId="10" applyFont="1"/>
    <xf numFmtId="3" fontId="14" fillId="4" borderId="5" xfId="11" applyFont="1">
      <alignment horizontal="right"/>
    </xf>
    <xf numFmtId="170" fontId="14" fillId="4" borderId="5" xfId="12" applyFont="1">
      <alignment horizontal="right"/>
    </xf>
    <xf numFmtId="0" fontId="14" fillId="4" borderId="4" xfId="10" applyFont="1"/>
    <xf numFmtId="170" fontId="0" fillId="0" borderId="0" xfId="0" applyNumberFormat="1"/>
    <xf numFmtId="0" fontId="15" fillId="4" borderId="4" xfId="8" applyFont="1"/>
    <xf numFmtId="170" fontId="15" fillId="4" borderId="5" xfId="13" applyFont="1">
      <alignment horizontal="right"/>
    </xf>
    <xf numFmtId="0" fontId="2" fillId="0" borderId="0" xfId="0" applyFont="1"/>
    <xf numFmtId="3" fontId="0" fillId="0" borderId="0" xfId="0" applyNumberFormat="1"/>
    <xf numFmtId="178" fontId="0" fillId="0" borderId="0" xfId="0" applyNumberFormat="1"/>
    <xf numFmtId="182" fontId="0" fillId="0" borderId="0" xfId="0" applyNumberFormat="1"/>
    <xf numFmtId="9" fontId="16" fillId="0" borderId="0" xfId="0" applyNumberFormat="1" applyFont="1"/>
    <xf numFmtId="0" fontId="9" fillId="4" borderId="0" xfId="10" applyBorder="1"/>
  </cellXfs>
  <cellStyles count="16">
    <cellStyle name="blp_column_header" xfId="1" xr:uid="{D3DDFACC-0E2D-9541-8C22-FB4F8792E3EA}"/>
    <cellStyle name="blp_title_header_row_left" xfId="2" xr:uid="{2CA6459C-C4C3-E048-B092-A728FBBB717F}"/>
    <cellStyle name="fa_column_header_bottom" xfId="7" xr:uid="{DDA84E94-C6D4-EB48-A40B-028B58D87583}"/>
    <cellStyle name="fa_column_header_bottom_left" xfId="6" xr:uid="{63099DF3-A665-7546-8212-BB3A761A8869}"/>
    <cellStyle name="fa_column_header_empty" xfId="3" xr:uid="{E150E0D8-8B63-504A-AE40-5A827EEEF2DE}"/>
    <cellStyle name="fa_column_header_top" xfId="5" xr:uid="{6F8F25EB-8F34-5C4A-93B2-085982211DE4}"/>
    <cellStyle name="fa_column_header_top_left" xfId="4" xr:uid="{8169D0E8-8BC0-0E40-B50E-06B2C33C4C4F}"/>
    <cellStyle name="fa_data_bold_0_grouped" xfId="9" xr:uid="{3239E0BF-7B0A-4740-9F55-E267B4B571A4}"/>
    <cellStyle name="fa_data_bold_1_grouped" xfId="13" xr:uid="{53B11DD7-FC53-F241-9AF7-02B52C487937}"/>
    <cellStyle name="fa_data_standard_0_grouped" xfId="11" xr:uid="{798DBFB4-9B03-C949-AD32-76C9020C58CD}"/>
    <cellStyle name="fa_data_standard_1_grouped" xfId="12" xr:uid="{078391BD-F85E-2F4C-B2D0-EC8A8219F9D7}"/>
    <cellStyle name="fa_data_standard_2_grouped" xfId="15" xr:uid="{97DF0FB3-B538-DF49-8D96-AD9E5F59F7C6}"/>
    <cellStyle name="fa_footer_italic" xfId="14" xr:uid="{627E748A-99AC-4144-B0EB-9698018FB771}"/>
    <cellStyle name="fa_row_header_bold" xfId="8" xr:uid="{C6FE3162-0278-1042-B8A0-7088A4A64B95}"/>
    <cellStyle name="fa_row_header_standard" xfId="10" xr:uid="{CFAB92F0-724C-1745-B5FA-B70C8A4764E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91DC-50BE-EA41-BDED-F86C2EF8DEF6}">
  <dimension ref="A2:B12"/>
  <sheetViews>
    <sheetView workbookViewId="0">
      <selection activeCell="A5" sqref="A5"/>
    </sheetView>
  </sheetViews>
  <sheetFormatPr baseColWidth="10" defaultRowHeight="16" x14ac:dyDescent="0.2"/>
  <cols>
    <col min="1" max="1" width="78.83203125" style="3" customWidth="1"/>
    <col min="2" max="2" width="63" style="3" customWidth="1"/>
    <col min="3" max="16384" width="10.83203125" style="3"/>
  </cols>
  <sheetData>
    <row r="2" spans="1:2" x14ac:dyDescent="0.2">
      <c r="A2" s="3" t="s">
        <v>11</v>
      </c>
    </row>
    <row r="3" spans="1:2" x14ac:dyDescent="0.2">
      <c r="A3" s="4" t="s">
        <v>41</v>
      </c>
    </row>
    <row r="4" spans="1:2" x14ac:dyDescent="0.2">
      <c r="A4" s="3" t="s">
        <v>42</v>
      </c>
    </row>
    <row r="7" spans="1:2" x14ac:dyDescent="0.2">
      <c r="A7" s="4"/>
    </row>
    <row r="12" spans="1:2" x14ac:dyDescent="0.2">
      <c r="B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009B1-643E-444F-8DFE-689A8667BCA2}">
  <dimension ref="A1:C16"/>
  <sheetViews>
    <sheetView workbookViewId="0">
      <selection activeCell="H21" sqref="A18:H21"/>
    </sheetView>
  </sheetViews>
  <sheetFormatPr baseColWidth="10" defaultRowHeight="16" x14ac:dyDescent="0.2"/>
  <cols>
    <col min="1" max="1" width="28.6640625" customWidth="1"/>
    <col min="2" max="2" width="60.1640625" customWidth="1"/>
  </cols>
  <sheetData>
    <row r="1" spans="1:3" x14ac:dyDescent="0.2">
      <c r="A1" t="s">
        <v>12</v>
      </c>
      <c r="B1">
        <v>2175</v>
      </c>
      <c r="C1" t="s">
        <v>10</v>
      </c>
    </row>
    <row r="2" spans="1:3" x14ac:dyDescent="0.2">
      <c r="A2" t="s">
        <v>1</v>
      </c>
      <c r="B2">
        <v>1.1499999999999999</v>
      </c>
      <c r="C2" t="s">
        <v>10</v>
      </c>
    </row>
    <row r="3" spans="1:3" x14ac:dyDescent="0.2">
      <c r="A3" t="s">
        <v>13</v>
      </c>
      <c r="B3" s="1">
        <f>B1*B2</f>
        <v>2501.25</v>
      </c>
      <c r="C3" t="s">
        <v>10</v>
      </c>
    </row>
    <row r="4" spans="1:3" x14ac:dyDescent="0.2">
      <c r="B4" s="1"/>
    </row>
    <row r="5" spans="1:3" x14ac:dyDescent="0.2">
      <c r="A5" t="s">
        <v>0</v>
      </c>
      <c r="B5" s="1">
        <v>1401</v>
      </c>
      <c r="C5" t="s">
        <v>10</v>
      </c>
    </row>
    <row r="6" spans="1:3" x14ac:dyDescent="0.2">
      <c r="A6" t="s">
        <v>3</v>
      </c>
      <c r="B6" s="1">
        <f>9626.3</f>
        <v>9626.2999999999993</v>
      </c>
      <c r="C6" t="s">
        <v>10</v>
      </c>
    </row>
    <row r="7" spans="1:3" x14ac:dyDescent="0.2">
      <c r="A7" t="s">
        <v>2</v>
      </c>
      <c r="B7" s="1">
        <f>B3+B6+-B5</f>
        <v>10726.55</v>
      </c>
      <c r="C7" t="s">
        <v>10</v>
      </c>
    </row>
    <row r="9" spans="1:3" x14ac:dyDescent="0.2">
      <c r="A9" t="s">
        <v>4</v>
      </c>
      <c r="B9">
        <v>1897</v>
      </c>
      <c r="C9" t="s">
        <v>10</v>
      </c>
    </row>
    <row r="10" spans="1:3" x14ac:dyDescent="0.2">
      <c r="A10" t="s">
        <v>5</v>
      </c>
      <c r="B10">
        <v>929</v>
      </c>
      <c r="C10" t="s">
        <v>10</v>
      </c>
    </row>
    <row r="11" spans="1:3" x14ac:dyDescent="0.2">
      <c r="A11" t="s">
        <v>6</v>
      </c>
      <c r="B11" s="2">
        <f>B10/B7</f>
        <v>8.660752991409168E-2</v>
      </c>
      <c r="C11" t="s">
        <v>10</v>
      </c>
    </row>
    <row r="12" spans="1:3" x14ac:dyDescent="0.2">
      <c r="A12" t="s">
        <v>7</v>
      </c>
      <c r="B12" s="2">
        <f xml:space="preserve"> B10/B9</f>
        <v>0.48972061149182922</v>
      </c>
      <c r="C12" t="s">
        <v>10</v>
      </c>
    </row>
    <row r="15" spans="1:3" x14ac:dyDescent="0.2">
      <c r="A15" t="s">
        <v>8</v>
      </c>
      <c r="B15">
        <v>414.8</v>
      </c>
      <c r="C15" t="s">
        <v>10</v>
      </c>
    </row>
    <row r="16" spans="1:3" x14ac:dyDescent="0.2">
      <c r="A16" t="s">
        <v>9</v>
      </c>
      <c r="B16" s="2">
        <f>B15/B9</f>
        <v>0.21866104375329468</v>
      </c>
      <c r="C16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9E8E-AED2-8349-BA4E-04535E1B54F9}">
  <dimension ref="A1:M27"/>
  <sheetViews>
    <sheetView topLeftCell="A3" zoomScale="150" zoomScaleNormal="150" workbookViewId="0">
      <selection sqref="A1:A1048576"/>
    </sheetView>
  </sheetViews>
  <sheetFormatPr baseColWidth="10" defaultRowHeight="16" x14ac:dyDescent="0.2"/>
  <cols>
    <col min="3" max="3" width="42.83203125" customWidth="1"/>
  </cols>
  <sheetData>
    <row r="1" spans="1:13" x14ac:dyDescent="0.2">
      <c r="A1" s="7"/>
      <c r="B1" s="7"/>
    </row>
    <row r="3" spans="1:13" x14ac:dyDescent="0.2">
      <c r="A3" t="s">
        <v>15</v>
      </c>
      <c r="D3" s="8">
        <v>30000</v>
      </c>
    </row>
    <row r="4" spans="1:13" x14ac:dyDescent="0.2">
      <c r="A4" t="s">
        <v>16</v>
      </c>
      <c r="D4" s="9">
        <v>7.0000000000000007E-2</v>
      </c>
      <c r="K4" s="7"/>
    </row>
    <row r="5" spans="1:13" x14ac:dyDescent="0.2">
      <c r="A5" t="s">
        <v>17</v>
      </c>
      <c r="D5" s="9">
        <v>0.05</v>
      </c>
      <c r="K5" s="7"/>
    </row>
    <row r="6" spans="1:13" x14ac:dyDescent="0.2">
      <c r="A6" t="s">
        <v>18</v>
      </c>
      <c r="D6" s="8">
        <v>8000</v>
      </c>
      <c r="K6" s="7"/>
    </row>
    <row r="7" spans="1:13" x14ac:dyDescent="0.2">
      <c r="A7" t="s">
        <v>19</v>
      </c>
      <c r="B7" t="s">
        <v>20</v>
      </c>
      <c r="D7" s="8">
        <f>IF(B7=D26,E26-D3,IF(B7=D27,E27-D3,""))</f>
        <v>54635.416666666657</v>
      </c>
      <c r="K7" s="7"/>
    </row>
    <row r="8" spans="1:13" x14ac:dyDescent="0.2">
      <c r="D8" s="8"/>
      <c r="K8" s="7"/>
    </row>
    <row r="9" spans="1:13" x14ac:dyDescent="0.2">
      <c r="A9" t="s">
        <v>21</v>
      </c>
      <c r="D9" s="8">
        <v>83100</v>
      </c>
      <c r="K9" s="7"/>
    </row>
    <row r="10" spans="1:13" x14ac:dyDescent="0.2">
      <c r="A10" t="s">
        <v>22</v>
      </c>
      <c r="D10" s="8">
        <v>49860</v>
      </c>
      <c r="K10" s="7"/>
    </row>
    <row r="11" spans="1:13" x14ac:dyDescent="0.2">
      <c r="A11" t="s">
        <v>23</v>
      </c>
      <c r="D11" s="8">
        <v>32500</v>
      </c>
      <c r="K11" s="7"/>
    </row>
    <row r="12" spans="1:13" x14ac:dyDescent="0.2">
      <c r="A12" t="s">
        <v>24</v>
      </c>
      <c r="D12" s="9">
        <v>0.2</v>
      </c>
      <c r="K12" s="7"/>
    </row>
    <row r="13" spans="1:13" x14ac:dyDescent="0.2">
      <c r="A13" t="s">
        <v>25</v>
      </c>
      <c r="D13" s="9">
        <v>0.25</v>
      </c>
      <c r="K13" s="7"/>
    </row>
    <row r="14" spans="1:13" x14ac:dyDescent="0.2">
      <c r="A14" t="s">
        <v>26</v>
      </c>
      <c r="D14" s="8">
        <v>7530</v>
      </c>
      <c r="K14" s="7"/>
      <c r="M14" t="s">
        <v>27</v>
      </c>
    </row>
    <row r="15" spans="1:13" x14ac:dyDescent="0.2">
      <c r="A15" t="s">
        <v>28</v>
      </c>
      <c r="D15" s="8">
        <f>D11*(1-D12)</f>
        <v>26000</v>
      </c>
      <c r="K15" s="7"/>
    </row>
    <row r="16" spans="1:13" x14ac:dyDescent="0.2">
      <c r="A16" t="s">
        <v>29</v>
      </c>
      <c r="D16" s="8">
        <f>D11-D14</f>
        <v>24970</v>
      </c>
      <c r="K16" s="7"/>
    </row>
    <row r="17" spans="1:11" x14ac:dyDescent="0.2">
      <c r="A17" t="s">
        <v>30</v>
      </c>
      <c r="D17" s="8">
        <f>D11*(1-D12)-D15*D13</f>
        <v>19500</v>
      </c>
      <c r="K17" s="7"/>
    </row>
    <row r="19" spans="1:11" x14ac:dyDescent="0.2">
      <c r="A19" t="s">
        <v>31</v>
      </c>
      <c r="D19" t="s">
        <v>32</v>
      </c>
      <c r="E19" t="s">
        <v>33</v>
      </c>
    </row>
    <row r="20" spans="1:11" x14ac:dyDescent="0.2">
      <c r="A20" t="s">
        <v>34</v>
      </c>
      <c r="D20" s="10">
        <v>3</v>
      </c>
      <c r="E20" s="11">
        <f>D20*D11</f>
        <v>97500</v>
      </c>
    </row>
    <row r="21" spans="1:11" x14ac:dyDescent="0.2">
      <c r="A21" t="s">
        <v>35</v>
      </c>
      <c r="D21" s="10">
        <v>2.6</v>
      </c>
      <c r="E21">
        <f>D21*D11+D6</f>
        <v>92500</v>
      </c>
    </row>
    <row r="22" spans="1:11" x14ac:dyDescent="0.2">
      <c r="A22" t="s">
        <v>36</v>
      </c>
      <c r="D22" s="10">
        <v>4</v>
      </c>
      <c r="E22" s="8">
        <f>D15/D22/D5</f>
        <v>130000</v>
      </c>
    </row>
    <row r="23" spans="1:11" x14ac:dyDescent="0.2">
      <c r="A23" t="s">
        <v>37</v>
      </c>
      <c r="D23" s="10">
        <v>3.2</v>
      </c>
      <c r="E23" s="11">
        <f>D11/D23/(D4+D5)</f>
        <v>84635.416666666657</v>
      </c>
    </row>
    <row r="24" spans="1:11" x14ac:dyDescent="0.2">
      <c r="A24" t="s">
        <v>38</v>
      </c>
      <c r="D24" s="10">
        <v>2</v>
      </c>
      <c r="E24" s="11">
        <f>D16/D24/(D4+D5)</f>
        <v>104041.66666666666</v>
      </c>
    </row>
    <row r="25" spans="1:11" x14ac:dyDescent="0.2">
      <c r="A25" t="s">
        <v>39</v>
      </c>
      <c r="D25" s="10">
        <v>1.5</v>
      </c>
      <c r="E25" s="11">
        <f>D17/D25/(D4+D5)</f>
        <v>108333.33333333333</v>
      </c>
    </row>
    <row r="26" spans="1:11" x14ac:dyDescent="0.2">
      <c r="D26" t="s">
        <v>20</v>
      </c>
      <c r="E26" s="11">
        <f>MIN(E20:E25)</f>
        <v>84635.416666666657</v>
      </c>
    </row>
    <row r="27" spans="1:11" x14ac:dyDescent="0.2">
      <c r="D27" t="s">
        <v>40</v>
      </c>
      <c r="E27" s="11">
        <f>AVERAGE(E20:E25)</f>
        <v>102835.06944444444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65C9-BBFF-C948-9153-FFC394E6895D}">
  <dimension ref="A1:R111"/>
  <sheetViews>
    <sheetView workbookViewId="0">
      <pane xSplit="3" ySplit="1" topLeftCell="D12" activePane="bottomRight" state="frozen"/>
      <selection pane="topRight" activeCell="D1" sqref="D1"/>
      <selection pane="bottomLeft" activeCell="A2" sqref="A2"/>
      <selection pane="bottomRight" activeCell="P45" sqref="P45"/>
    </sheetView>
  </sheetViews>
  <sheetFormatPr baseColWidth="10" defaultRowHeight="16" x14ac:dyDescent="0.2"/>
  <sheetData>
    <row r="1" spans="1:14" x14ac:dyDescent="0.2">
      <c r="A1" s="15" t="s">
        <v>144</v>
      </c>
      <c r="E1">
        <v>2014</v>
      </c>
      <c r="F1">
        <f t="shared" ref="F1:N1" si="0">E1+1</f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  <c r="L1">
        <f t="shared" si="0"/>
        <v>2021</v>
      </c>
      <c r="M1">
        <f t="shared" si="0"/>
        <v>2022</v>
      </c>
      <c r="N1">
        <f t="shared" si="0"/>
        <v>2023</v>
      </c>
    </row>
    <row r="2" spans="1:14" x14ac:dyDescent="0.2">
      <c r="A2" t="s">
        <v>143</v>
      </c>
    </row>
    <row r="3" spans="1:14" x14ac:dyDescent="0.2">
      <c r="A3" t="s">
        <v>142</v>
      </c>
    </row>
    <row r="4" spans="1:14" x14ac:dyDescent="0.2">
      <c r="B4" t="s">
        <v>141</v>
      </c>
      <c r="E4" s="14">
        <v>0</v>
      </c>
      <c r="F4" s="14">
        <f>'BS '!C51</f>
        <v>526.29</v>
      </c>
      <c r="G4" s="14">
        <f>'BS '!D51</f>
        <v>529.476</v>
      </c>
      <c r="H4" s="14">
        <f>'BS '!E51</f>
        <v>492.36700000000002</v>
      </c>
      <c r="I4" s="14">
        <f>'BS '!F51</f>
        <v>1188.402</v>
      </c>
      <c r="J4" s="14">
        <f>'BS '!G51</f>
        <v>1035.5129999999999</v>
      </c>
      <c r="K4" s="14">
        <f>'BS '!H51</f>
        <v>1043.864</v>
      </c>
      <c r="L4" s="14">
        <f>'BS '!I51</f>
        <v>1413.5</v>
      </c>
      <c r="M4" s="14">
        <f>'BS '!J51</f>
        <v>1020.771</v>
      </c>
      <c r="N4" s="14">
        <f>'BS '!K51</f>
        <v>1401.8240000000001</v>
      </c>
    </row>
    <row r="5" spans="1:14" x14ac:dyDescent="0.2">
      <c r="B5" t="s">
        <v>140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f>'BS '!I52</f>
        <v>859.49599999999998</v>
      </c>
      <c r="M5" s="14">
        <f>'BS '!J52</f>
        <v>692.101</v>
      </c>
      <c r="N5" s="14">
        <f>'BS '!K52</f>
        <v>866.71799999999996</v>
      </c>
    </row>
    <row r="6" spans="1:14" x14ac:dyDescent="0.2">
      <c r="B6" t="s">
        <v>139</v>
      </c>
      <c r="E6" s="14">
        <v>0</v>
      </c>
      <c r="F6" s="14">
        <v>0</v>
      </c>
      <c r="G6" s="14">
        <f>'BS '!D85</f>
        <v>166.71700000000001</v>
      </c>
      <c r="H6" s="14">
        <f>'BS '!E85</f>
        <v>201.60499999999999</v>
      </c>
      <c r="I6" s="14">
        <f>'BS '!F85</f>
        <v>252.49100000000001</v>
      </c>
      <c r="J6" s="14">
        <f>'BS '!G85</f>
        <v>247.99600000000001</v>
      </c>
      <c r="K6" s="14">
        <f>'BS '!H85</f>
        <v>263.202</v>
      </c>
      <c r="L6" s="14">
        <f>'BS '!I85</f>
        <v>413.411</v>
      </c>
      <c r="M6" s="14">
        <f>'BS '!J85</f>
        <v>479.53300000000002</v>
      </c>
      <c r="N6" s="14">
        <f>'BS '!K85</f>
        <v>333.67200000000003</v>
      </c>
    </row>
    <row r="7" spans="1:14" x14ac:dyDescent="0.2">
      <c r="B7" t="s">
        <v>138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</row>
    <row r="8" spans="1:14" x14ac:dyDescent="0.2">
      <c r="B8" t="s">
        <v>137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</row>
    <row r="9" spans="1:14" x14ac:dyDescent="0.2">
      <c r="B9" t="s">
        <v>136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</row>
    <row r="10" spans="1:14" x14ac:dyDescent="0.2">
      <c r="A10" t="s">
        <v>135</v>
      </c>
      <c r="E10" s="14">
        <f t="shared" ref="E10:N10" si="1">SUM(E4:E9)</f>
        <v>0</v>
      </c>
      <c r="F10" s="14">
        <f t="shared" si="1"/>
        <v>526.29</v>
      </c>
      <c r="G10" s="14">
        <f t="shared" si="1"/>
        <v>696.19299999999998</v>
      </c>
      <c r="H10" s="14">
        <f t="shared" si="1"/>
        <v>693.97199999999998</v>
      </c>
      <c r="I10" s="14">
        <f t="shared" si="1"/>
        <v>1440.893</v>
      </c>
      <c r="J10" s="14">
        <f t="shared" si="1"/>
        <v>1283.509</v>
      </c>
      <c r="K10" s="14">
        <f t="shared" si="1"/>
        <v>1307.066</v>
      </c>
      <c r="L10" s="14">
        <f t="shared" si="1"/>
        <v>2686.4070000000002</v>
      </c>
      <c r="M10" s="14">
        <f t="shared" si="1"/>
        <v>2192.4049999999997</v>
      </c>
      <c r="N10" s="14">
        <f t="shared" si="1"/>
        <v>2602.2139999999999</v>
      </c>
    </row>
    <row r="11" spans="1:14" x14ac:dyDescent="0.2">
      <c r="A11" t="s">
        <v>134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x14ac:dyDescent="0.2">
      <c r="B12" t="s">
        <v>133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</row>
    <row r="13" spans="1:14" x14ac:dyDescent="0.2">
      <c r="B13" t="s">
        <v>132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</row>
    <row r="14" spans="1:14" x14ac:dyDescent="0.2">
      <c r="B14" t="s">
        <v>131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</row>
    <row r="15" spans="1:14" x14ac:dyDescent="0.2">
      <c r="A15" t="s">
        <v>130</v>
      </c>
      <c r="E15" s="14">
        <f t="shared" ref="E15:N15" si="2">(E12-E13+E14)</f>
        <v>0</v>
      </c>
      <c r="F15" s="14">
        <f t="shared" si="2"/>
        <v>0</v>
      </c>
      <c r="G15" s="14">
        <f t="shared" si="2"/>
        <v>0</v>
      </c>
      <c r="H15" s="14">
        <f t="shared" si="2"/>
        <v>0</v>
      </c>
      <c r="I15" s="14">
        <f t="shared" si="2"/>
        <v>0</v>
      </c>
      <c r="J15" s="14">
        <f t="shared" si="2"/>
        <v>0</v>
      </c>
      <c r="K15" s="14">
        <f t="shared" si="2"/>
        <v>0</v>
      </c>
      <c r="L15" s="14">
        <f t="shared" si="2"/>
        <v>0</v>
      </c>
      <c r="M15" s="14">
        <f t="shared" si="2"/>
        <v>0</v>
      </c>
      <c r="N15" s="14">
        <f t="shared" si="2"/>
        <v>0</v>
      </c>
    </row>
    <row r="16" spans="1:14" x14ac:dyDescent="0.2">
      <c r="A16" t="s">
        <v>129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</row>
    <row r="17" spans="1:14" x14ac:dyDescent="0.2">
      <c r="A17" t="s">
        <v>128</v>
      </c>
      <c r="E17" s="14">
        <f t="shared" ref="E17:N17" si="3">SUM(E10+E15+E16)</f>
        <v>0</v>
      </c>
      <c r="F17" s="14">
        <f t="shared" si="3"/>
        <v>526.29</v>
      </c>
      <c r="G17" s="14">
        <f t="shared" si="3"/>
        <v>696.19299999999998</v>
      </c>
      <c r="H17" s="14">
        <f t="shared" si="3"/>
        <v>693.97199999999998</v>
      </c>
      <c r="I17" s="14">
        <f t="shared" si="3"/>
        <v>1440.893</v>
      </c>
      <c r="J17" s="14">
        <f t="shared" si="3"/>
        <v>1283.509</v>
      </c>
      <c r="K17" s="14">
        <f t="shared" si="3"/>
        <v>1307.066</v>
      </c>
      <c r="L17" s="14">
        <f t="shared" si="3"/>
        <v>2686.4070000000002</v>
      </c>
      <c r="M17" s="14">
        <f t="shared" si="3"/>
        <v>2192.4049999999997</v>
      </c>
      <c r="N17" s="14">
        <f t="shared" si="3"/>
        <v>2602.2139999999999</v>
      </c>
    </row>
    <row r="18" spans="1:14" x14ac:dyDescent="0.2"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x14ac:dyDescent="0.2">
      <c r="A19" t="s">
        <v>127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 x14ac:dyDescent="0.2">
      <c r="A20" t="s">
        <v>126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 x14ac:dyDescent="0.2">
      <c r="B21" t="s">
        <v>125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</row>
    <row r="22" spans="1:14" x14ac:dyDescent="0.2">
      <c r="B22" t="s">
        <v>124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</row>
    <row r="23" spans="1:14" x14ac:dyDescent="0.2">
      <c r="B23" t="s">
        <v>117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</row>
    <row r="24" spans="1:14" x14ac:dyDescent="0.2">
      <c r="B24" t="s">
        <v>123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</row>
    <row r="25" spans="1:14" x14ac:dyDescent="0.2">
      <c r="B25" t="s">
        <v>122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</row>
    <row r="26" spans="1:14" x14ac:dyDescent="0.2">
      <c r="B26" t="s">
        <v>121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</row>
    <row r="27" spans="1:14" x14ac:dyDescent="0.2">
      <c r="A27" t="s">
        <v>120</v>
      </c>
      <c r="E27" s="14">
        <f t="shared" ref="E27:N27" si="4">SUM(E21:E26)</f>
        <v>0</v>
      </c>
      <c r="F27" s="14">
        <f t="shared" si="4"/>
        <v>0</v>
      </c>
      <c r="G27" s="14">
        <f t="shared" si="4"/>
        <v>0</v>
      </c>
      <c r="H27" s="14">
        <f t="shared" si="4"/>
        <v>0</v>
      </c>
      <c r="I27" s="14">
        <f t="shared" si="4"/>
        <v>0</v>
      </c>
      <c r="J27" s="14">
        <f t="shared" si="4"/>
        <v>0</v>
      </c>
      <c r="K27" s="14">
        <f t="shared" si="4"/>
        <v>0</v>
      </c>
      <c r="L27" s="14">
        <f t="shared" si="4"/>
        <v>0</v>
      </c>
      <c r="M27" s="14">
        <f t="shared" si="4"/>
        <v>0</v>
      </c>
      <c r="N27" s="14">
        <f t="shared" si="4"/>
        <v>0</v>
      </c>
    </row>
    <row r="28" spans="1:14" x14ac:dyDescent="0.2">
      <c r="A28" t="s">
        <v>119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1:14" x14ac:dyDescent="0.2">
      <c r="B29" t="s">
        <v>118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</row>
    <row r="30" spans="1:14" x14ac:dyDescent="0.2">
      <c r="B30" t="s">
        <v>117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</row>
    <row r="31" spans="1:14" x14ac:dyDescent="0.2">
      <c r="B31" t="s">
        <v>116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</row>
    <row r="32" spans="1:14" x14ac:dyDescent="0.2">
      <c r="A32" t="s">
        <v>115</v>
      </c>
      <c r="E32" s="14">
        <f t="shared" ref="E32:N32" si="5">SUM(E29:E31)</f>
        <v>0</v>
      </c>
      <c r="F32" s="14">
        <f t="shared" si="5"/>
        <v>0</v>
      </c>
      <c r="G32" s="14">
        <f t="shared" si="5"/>
        <v>0</v>
      </c>
      <c r="H32" s="14">
        <f t="shared" si="5"/>
        <v>0</v>
      </c>
      <c r="I32" s="14">
        <f t="shared" si="5"/>
        <v>0</v>
      </c>
      <c r="J32" s="14">
        <f t="shared" si="5"/>
        <v>0</v>
      </c>
      <c r="K32" s="14">
        <f t="shared" si="5"/>
        <v>0</v>
      </c>
      <c r="L32" s="14">
        <f t="shared" si="5"/>
        <v>0</v>
      </c>
      <c r="M32" s="14">
        <v>1600</v>
      </c>
      <c r="N32" s="14">
        <v>2400</v>
      </c>
    </row>
    <row r="33" spans="1:18" x14ac:dyDescent="0.2">
      <c r="B33" t="s">
        <v>114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</row>
    <row r="34" spans="1:18" x14ac:dyDescent="0.2">
      <c r="B34" t="s">
        <v>113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</row>
    <row r="35" spans="1:18" x14ac:dyDescent="0.2">
      <c r="A35" t="s">
        <v>112</v>
      </c>
      <c r="E35" s="14">
        <f t="shared" ref="E35:N35" si="6">E27+SUM(E32:E34)</f>
        <v>0</v>
      </c>
      <c r="F35" s="14">
        <f t="shared" si="6"/>
        <v>0</v>
      </c>
      <c r="G35" s="14">
        <f t="shared" si="6"/>
        <v>0</v>
      </c>
      <c r="H35" s="14">
        <f t="shared" si="6"/>
        <v>0</v>
      </c>
      <c r="I35" s="14">
        <f t="shared" si="6"/>
        <v>0</v>
      </c>
      <c r="J35" s="14">
        <f t="shared" si="6"/>
        <v>0</v>
      </c>
      <c r="K35" s="14">
        <f t="shared" si="6"/>
        <v>0</v>
      </c>
      <c r="L35" s="14">
        <f t="shared" si="6"/>
        <v>0</v>
      </c>
      <c r="M35" s="14">
        <f t="shared" si="6"/>
        <v>1600</v>
      </c>
      <c r="N35" s="14">
        <f t="shared" si="6"/>
        <v>2400</v>
      </c>
    </row>
    <row r="36" spans="1:18" x14ac:dyDescent="0.2">
      <c r="A36" t="s">
        <v>111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spans="1:18" x14ac:dyDescent="0.2">
      <c r="B37" t="s">
        <v>110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</row>
    <row r="38" spans="1:18" x14ac:dyDescent="0.2">
      <c r="B38" t="s">
        <v>109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</row>
    <row r="39" spans="1:18" x14ac:dyDescent="0.2">
      <c r="B39" t="s">
        <v>108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</row>
    <row r="40" spans="1:18" x14ac:dyDescent="0.2">
      <c r="B40" t="s">
        <v>107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</row>
    <row r="41" spans="1:18" x14ac:dyDescent="0.2">
      <c r="A41" t="s">
        <v>106</v>
      </c>
      <c r="E41" s="14">
        <f t="shared" ref="E41:N41" si="7">SUM(E37:E40)</f>
        <v>0</v>
      </c>
      <c r="F41" s="14">
        <f t="shared" si="7"/>
        <v>0</v>
      </c>
      <c r="G41" s="14">
        <f t="shared" si="7"/>
        <v>0</v>
      </c>
      <c r="H41" s="14">
        <f t="shared" si="7"/>
        <v>0</v>
      </c>
      <c r="I41" s="14">
        <f t="shared" si="7"/>
        <v>0</v>
      </c>
      <c r="J41" s="14">
        <f t="shared" si="7"/>
        <v>0</v>
      </c>
      <c r="K41" s="14">
        <f t="shared" si="7"/>
        <v>0</v>
      </c>
      <c r="L41" s="14">
        <f t="shared" si="7"/>
        <v>0</v>
      </c>
      <c r="M41" s="14">
        <f t="shared" si="7"/>
        <v>0</v>
      </c>
      <c r="N41" s="14">
        <f t="shared" si="7"/>
        <v>0</v>
      </c>
    </row>
    <row r="42" spans="1:18" x14ac:dyDescent="0.2">
      <c r="A42" t="s">
        <v>105</v>
      </c>
      <c r="E42" s="14">
        <f t="shared" ref="E42:N42" si="8">E35+E41</f>
        <v>0</v>
      </c>
      <c r="F42" s="14">
        <f t="shared" si="8"/>
        <v>0</v>
      </c>
      <c r="G42" s="14">
        <f t="shared" si="8"/>
        <v>0</v>
      </c>
      <c r="H42" s="14">
        <f t="shared" si="8"/>
        <v>0</v>
      </c>
      <c r="I42" s="14">
        <f t="shared" si="8"/>
        <v>0</v>
      </c>
      <c r="J42" s="14">
        <f t="shared" si="8"/>
        <v>0</v>
      </c>
      <c r="K42" s="14">
        <f t="shared" si="8"/>
        <v>0</v>
      </c>
      <c r="L42" s="14">
        <f t="shared" si="8"/>
        <v>0</v>
      </c>
      <c r="M42" s="14">
        <f t="shared" si="8"/>
        <v>1600</v>
      </c>
      <c r="N42" s="14">
        <f t="shared" si="8"/>
        <v>2400</v>
      </c>
    </row>
    <row r="43" spans="1:18" x14ac:dyDescent="0.2"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 spans="1:18" x14ac:dyDescent="0.2">
      <c r="A44" s="15" t="s">
        <v>104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1:18" x14ac:dyDescent="0.2">
      <c r="A45" t="s">
        <v>47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1:18" x14ac:dyDescent="0.2">
      <c r="B46" t="s">
        <v>442</v>
      </c>
      <c r="E46" s="14">
        <f>'IS '!C52</f>
        <v>1370.126</v>
      </c>
      <c r="F46" s="14">
        <f>'IS '!D52</f>
        <v>1684.951</v>
      </c>
      <c r="G46" s="14">
        <f>'IS '!E52</f>
        <v>1845.1079999999999</v>
      </c>
      <c r="H46" s="14">
        <f>'IS '!F52</f>
        <v>2054.7710000000002</v>
      </c>
      <c r="I46" s="14">
        <f>'IS '!G52</f>
        <v>2362.3339999999998</v>
      </c>
      <c r="J46" s="14">
        <f>'IS '!H52</f>
        <v>2383.4940000000001</v>
      </c>
      <c r="K46" s="14">
        <f>'IS '!I52</f>
        <v>2144.8829999999998</v>
      </c>
      <c r="L46" s="14">
        <f>'IS '!J52</f>
        <v>2346.7579999999998</v>
      </c>
      <c r="M46" s="14">
        <f>'IS '!K52</f>
        <v>2285.8270000000002</v>
      </c>
      <c r="N46" s="14">
        <f>'IS '!L52</f>
        <v>2236.645</v>
      </c>
      <c r="P46" s="42">
        <f t="shared" ref="P46:Q46" si="9">L46/K46-1</f>
        <v>9.4119352897104491E-2</v>
      </c>
      <c r="Q46" s="42">
        <f t="shared" si="9"/>
        <v>-2.5963904245772107E-2</v>
      </c>
      <c r="R46" s="42">
        <f>N46/M46-1</f>
        <v>-2.1516063989094669E-2</v>
      </c>
    </row>
    <row r="47" spans="1:18" x14ac:dyDescent="0.2">
      <c r="A47" t="s">
        <v>22</v>
      </c>
      <c r="E47" s="14">
        <f>'IS '!C15</f>
        <v>850.20100000000002</v>
      </c>
      <c r="F47" s="14">
        <f>'IS '!D15</f>
        <v>1036.4939999999999</v>
      </c>
      <c r="G47" s="14">
        <f>'IS '!E15</f>
        <v>947.57</v>
      </c>
      <c r="H47" s="14">
        <f>'IS '!F15</f>
        <v>1003.6130000000001</v>
      </c>
      <c r="I47" s="14">
        <f>'IS '!G15</f>
        <v>1020.508</v>
      </c>
      <c r="J47" s="14">
        <f>'IS '!H15</f>
        <v>1137.633</v>
      </c>
      <c r="K47" s="14">
        <f>'IS '!I15</f>
        <v>1030.307</v>
      </c>
      <c r="L47" s="14">
        <f>'IS '!J15</f>
        <v>1146.7439999999999</v>
      </c>
      <c r="M47" s="14">
        <f>'IS '!K15</f>
        <v>801.255</v>
      </c>
      <c r="N47" s="14">
        <f>'IS '!L15</f>
        <v>121.461</v>
      </c>
    </row>
    <row r="48" spans="1:18" x14ac:dyDescent="0.2">
      <c r="A48" t="s">
        <v>103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 spans="1:14" x14ac:dyDescent="0.2">
      <c r="B49" t="s">
        <v>102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</row>
    <row r="50" spans="1:14" x14ac:dyDescent="0.2">
      <c r="B50" t="s">
        <v>101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</row>
    <row r="51" spans="1:14" x14ac:dyDescent="0.2">
      <c r="B51" t="s">
        <v>100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</row>
    <row r="52" spans="1:14" x14ac:dyDescent="0.2">
      <c r="B52" t="s">
        <v>99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</row>
    <row r="53" spans="1:14" x14ac:dyDescent="0.2">
      <c r="B53" t="s">
        <v>98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</row>
    <row r="54" spans="1:14" x14ac:dyDescent="0.2">
      <c r="B54" t="s">
        <v>440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</row>
    <row r="55" spans="1:14" x14ac:dyDescent="0.2">
      <c r="B55" t="s">
        <v>97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</row>
    <row r="56" spans="1:14" x14ac:dyDescent="0.2">
      <c r="B56" t="s">
        <v>96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</row>
    <row r="57" spans="1:14" x14ac:dyDescent="0.2">
      <c r="A57" t="s">
        <v>95</v>
      </c>
      <c r="E57" s="14">
        <f>'IS '!C14</f>
        <v>519.92499999999995</v>
      </c>
      <c r="F57" s="14">
        <f>'IS '!D14</f>
        <v>648.45699999999999</v>
      </c>
      <c r="G57" s="14">
        <f>'IS '!E14</f>
        <v>897.53800000000001</v>
      </c>
      <c r="H57" s="14">
        <f>'IS '!F14</f>
        <v>1051.1579999999999</v>
      </c>
      <c r="I57" s="14">
        <f>'IS '!G14</f>
        <v>1341.826</v>
      </c>
      <c r="J57" s="14">
        <f>'IS '!H14</f>
        <v>1245.8609999999999</v>
      </c>
      <c r="K57" s="14">
        <f>'IS '!I14</f>
        <v>1114.576</v>
      </c>
      <c r="L57" s="14">
        <f>'IS '!J14</f>
        <v>1200.0140000000001</v>
      </c>
      <c r="M57" s="14">
        <f>'IS '!K14</f>
        <v>1484.5719999999999</v>
      </c>
      <c r="N57" s="14">
        <f>'IS '!L14</f>
        <v>2200.5</v>
      </c>
    </row>
    <row r="58" spans="1:14" x14ac:dyDescent="0.2">
      <c r="A58" t="s">
        <v>94</v>
      </c>
      <c r="E58" s="14">
        <f t="shared" ref="E58:N58" si="10">E46-E57</f>
        <v>850.20100000000002</v>
      </c>
      <c r="F58" s="14">
        <f t="shared" si="10"/>
        <v>1036.4940000000001</v>
      </c>
      <c r="G58" s="14">
        <f t="shared" si="10"/>
        <v>947.56999999999994</v>
      </c>
      <c r="H58" s="14">
        <f t="shared" si="10"/>
        <v>1003.6130000000003</v>
      </c>
      <c r="I58" s="14">
        <f t="shared" si="10"/>
        <v>1020.5079999999998</v>
      </c>
      <c r="J58" s="14">
        <f t="shared" si="10"/>
        <v>1137.6330000000003</v>
      </c>
      <c r="K58" s="14">
        <f t="shared" si="10"/>
        <v>1030.3069999999998</v>
      </c>
      <c r="L58" s="14">
        <f t="shared" si="10"/>
        <v>1146.7439999999997</v>
      </c>
      <c r="M58" s="14">
        <f t="shared" si="10"/>
        <v>801.25500000000034</v>
      </c>
      <c r="N58" s="14">
        <f t="shared" si="10"/>
        <v>36.144999999999982</v>
      </c>
    </row>
    <row r="59" spans="1:14" x14ac:dyDescent="0.2">
      <c r="A59" t="s">
        <v>93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 spans="1:14" x14ac:dyDescent="0.2">
      <c r="B60" t="s">
        <v>92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</row>
    <row r="61" spans="1:14" x14ac:dyDescent="0.2">
      <c r="B61" t="s">
        <v>91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</row>
    <row r="62" spans="1:14" x14ac:dyDescent="0.2">
      <c r="B62" t="s">
        <v>90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</row>
    <row r="63" spans="1:14" x14ac:dyDescent="0.2">
      <c r="A63" t="s">
        <v>89</v>
      </c>
      <c r="D63" s="14"/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</row>
    <row r="64" spans="1:14" x14ac:dyDescent="0.2">
      <c r="A64" t="s">
        <v>88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</row>
    <row r="65" spans="1:14" x14ac:dyDescent="0.2">
      <c r="A65" t="s">
        <v>87</v>
      </c>
      <c r="E65" s="14">
        <f t="shared" ref="E65:N65" si="11">E58-E63+E64</f>
        <v>850.20100000000002</v>
      </c>
      <c r="F65" s="14">
        <f t="shared" si="11"/>
        <v>1036.4940000000001</v>
      </c>
      <c r="G65" s="14">
        <f t="shared" si="11"/>
        <v>947.56999999999994</v>
      </c>
      <c r="H65" s="14">
        <f t="shared" si="11"/>
        <v>1003.6130000000003</v>
      </c>
      <c r="I65" s="14">
        <f t="shared" si="11"/>
        <v>1020.5079999999998</v>
      </c>
      <c r="J65" s="14">
        <f t="shared" si="11"/>
        <v>1137.6330000000003</v>
      </c>
      <c r="K65" s="14">
        <f t="shared" si="11"/>
        <v>1030.3069999999998</v>
      </c>
      <c r="L65" s="14">
        <f t="shared" si="11"/>
        <v>1146.7439999999997</v>
      </c>
      <c r="M65" s="14">
        <f t="shared" si="11"/>
        <v>801.25500000000034</v>
      </c>
      <c r="N65" s="14">
        <f t="shared" si="11"/>
        <v>36.144999999999982</v>
      </c>
    </row>
    <row r="66" spans="1:14" x14ac:dyDescent="0.2">
      <c r="A66" t="s">
        <v>86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1:14" x14ac:dyDescent="0.2">
      <c r="B67" t="s">
        <v>85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</row>
    <row r="68" spans="1:14" x14ac:dyDescent="0.2">
      <c r="B68" t="s">
        <v>84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</row>
    <row r="69" spans="1:14" x14ac:dyDescent="0.2">
      <c r="B69" t="s">
        <v>83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</row>
    <row r="70" spans="1:14" x14ac:dyDescent="0.2">
      <c r="A70" t="s">
        <v>82</v>
      </c>
      <c r="E70" s="14">
        <f>'IS '!C16</f>
        <v>205.511</v>
      </c>
      <c r="F70" s="14">
        <f>'IS '!D16</f>
        <v>311.89100000000002</v>
      </c>
      <c r="G70" s="14">
        <f>'IS '!E16</f>
        <v>337.5</v>
      </c>
      <c r="H70" s="14">
        <f>'IS '!F16</f>
        <v>322.36700000000002</v>
      </c>
      <c r="I70" s="14">
        <f>'IS '!G16</f>
        <v>510.02600000000001</v>
      </c>
      <c r="J70" s="14">
        <f>'IS '!H16</f>
        <v>411.29500000000002</v>
      </c>
      <c r="K70" s="14">
        <f>'IS '!I16</f>
        <v>399.43400000000003</v>
      </c>
      <c r="L70" s="14">
        <f>'IS '!J16</f>
        <v>417.24299999999999</v>
      </c>
      <c r="M70" s="14">
        <f>'IS '!K16</f>
        <v>332.31099999999998</v>
      </c>
      <c r="N70" s="14">
        <f>'IS '!L16</f>
        <v>270.26</v>
      </c>
    </row>
    <row r="71" spans="1:14" x14ac:dyDescent="0.2">
      <c r="A71" t="s">
        <v>441</v>
      </c>
      <c r="E71" s="14">
        <f>'IS '!C22</f>
        <v>42.478999999999999</v>
      </c>
      <c r="F71" s="14">
        <f>'IS '!D22</f>
        <v>59.423999999999999</v>
      </c>
      <c r="G71" s="14">
        <f>'IS '!E22</f>
        <v>41.924999999999997</v>
      </c>
      <c r="H71" s="14">
        <f>'IS '!F22</f>
        <v>43.582999999999998</v>
      </c>
      <c r="I71" s="14">
        <f>'IS '!G22</f>
        <v>71.843000000000004</v>
      </c>
      <c r="J71" s="14">
        <f>'IS '!H22</f>
        <v>74.099000000000004</v>
      </c>
      <c r="K71" s="14">
        <f>'IS '!I22</f>
        <v>55.155000000000001</v>
      </c>
      <c r="L71" s="14">
        <f>'IS '!J22</f>
        <v>57.947000000000003</v>
      </c>
      <c r="M71" s="14">
        <f>'IS '!K22</f>
        <v>67.040999999999997</v>
      </c>
      <c r="N71" s="14">
        <f>'IS '!L22</f>
        <v>52.25</v>
      </c>
    </row>
    <row r="72" spans="1:14" x14ac:dyDescent="0.2">
      <c r="A72" t="s">
        <v>46</v>
      </c>
      <c r="E72" s="14">
        <f t="shared" ref="E72:M72" si="12">E47-E70-E71</f>
        <v>602.21100000000001</v>
      </c>
      <c r="F72" s="14">
        <f t="shared" si="12"/>
        <v>665.17899999999986</v>
      </c>
      <c r="G72" s="14">
        <f t="shared" si="12"/>
        <v>568.1450000000001</v>
      </c>
      <c r="H72" s="14">
        <f t="shared" si="12"/>
        <v>637.66300000000012</v>
      </c>
      <c r="I72" s="14">
        <f t="shared" si="12"/>
        <v>438.63900000000001</v>
      </c>
      <c r="J72" s="14">
        <f t="shared" si="12"/>
        <v>652.23899999999992</v>
      </c>
      <c r="K72" s="14">
        <f t="shared" si="12"/>
        <v>575.71800000000007</v>
      </c>
      <c r="L72" s="14">
        <f t="shared" si="12"/>
        <v>671.55399999999997</v>
      </c>
      <c r="M72" s="14">
        <f t="shared" si="12"/>
        <v>401.90300000000002</v>
      </c>
      <c r="N72" s="14">
        <f>N47-N70-N71</f>
        <v>-201.04899999999998</v>
      </c>
    </row>
    <row r="73" spans="1:14" x14ac:dyDescent="0.2">
      <c r="A73" t="s">
        <v>81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</row>
    <row r="74" spans="1:14" x14ac:dyDescent="0.2">
      <c r="A74" t="s">
        <v>80</v>
      </c>
      <c r="E74" s="14">
        <f t="shared" ref="E74:N74" si="13">E72-E73</f>
        <v>602.21100000000001</v>
      </c>
      <c r="F74" s="14">
        <f t="shared" si="13"/>
        <v>665.17899999999986</v>
      </c>
      <c r="G74" s="14">
        <f t="shared" si="13"/>
        <v>568.1450000000001</v>
      </c>
      <c r="H74" s="14">
        <f t="shared" si="13"/>
        <v>637.66300000000012</v>
      </c>
      <c r="I74" s="14">
        <f t="shared" si="13"/>
        <v>438.63900000000001</v>
      </c>
      <c r="J74" s="14">
        <f t="shared" si="13"/>
        <v>652.23899999999992</v>
      </c>
      <c r="K74" s="14">
        <f t="shared" si="13"/>
        <v>575.71800000000007</v>
      </c>
      <c r="L74" s="14">
        <f t="shared" si="13"/>
        <v>671.55399999999997</v>
      </c>
      <c r="M74" s="14">
        <f t="shared" si="13"/>
        <v>401.90300000000002</v>
      </c>
      <c r="N74" s="14">
        <f t="shared" si="13"/>
        <v>-201.04899999999998</v>
      </c>
    </row>
    <row r="75" spans="1:14" x14ac:dyDescent="0.2">
      <c r="A75" t="s">
        <v>79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</row>
    <row r="76" spans="1:14" x14ac:dyDescent="0.2">
      <c r="A76" t="s">
        <v>78</v>
      </c>
      <c r="E76" s="14">
        <f t="shared" ref="E76:N76" si="14">E74-E75</f>
        <v>602.21100000000001</v>
      </c>
      <c r="F76" s="14">
        <f t="shared" si="14"/>
        <v>665.17899999999986</v>
      </c>
      <c r="G76" s="14">
        <f t="shared" si="14"/>
        <v>568.1450000000001</v>
      </c>
      <c r="H76" s="14">
        <f t="shared" si="14"/>
        <v>637.66300000000012</v>
      </c>
      <c r="I76" s="14">
        <f t="shared" si="14"/>
        <v>438.63900000000001</v>
      </c>
      <c r="J76" s="14">
        <f t="shared" si="14"/>
        <v>652.23899999999992</v>
      </c>
      <c r="K76" s="14">
        <f t="shared" si="14"/>
        <v>575.71800000000007</v>
      </c>
      <c r="L76" s="14">
        <f t="shared" si="14"/>
        <v>671.55399999999997</v>
      </c>
      <c r="M76" s="14">
        <f t="shared" si="14"/>
        <v>401.90300000000002</v>
      </c>
      <c r="N76" s="14">
        <f t="shared" si="14"/>
        <v>-201.04899999999998</v>
      </c>
    </row>
    <row r="77" spans="1:14" x14ac:dyDescent="0.2">
      <c r="A77" t="s">
        <v>77</v>
      </c>
      <c r="E77" s="14">
        <f>'IS '!C24</f>
        <v>30.2</v>
      </c>
      <c r="F77" s="14" t="str">
        <f>'IS '!D24</f>
        <v>—</v>
      </c>
      <c r="G77" s="14">
        <f>'IS '!E24</f>
        <v>26.2</v>
      </c>
      <c r="H77" s="14">
        <f>'IS '!F24</f>
        <v>29.8</v>
      </c>
      <c r="I77" s="14">
        <f>'IS '!G24</f>
        <v>20.7</v>
      </c>
      <c r="J77" s="14">
        <f>'IS '!H24</f>
        <v>30.7</v>
      </c>
      <c r="K77" s="14">
        <f>'IS '!I24</f>
        <v>27.1</v>
      </c>
      <c r="L77" s="14">
        <f>'IS '!J24</f>
        <v>31.5</v>
      </c>
      <c r="M77" s="14">
        <f>'IS '!K24</f>
        <v>18.7</v>
      </c>
      <c r="N77" s="14">
        <f>'IS '!L24</f>
        <v>-9.3000000000000007</v>
      </c>
    </row>
    <row r="78" spans="1:14" x14ac:dyDescent="0.2">
      <c r="A78" t="s">
        <v>76</v>
      </c>
      <c r="E78" s="14">
        <f t="shared" ref="E78:N78" si="15">IFERROR(E82/E77,"-")</f>
        <v>0</v>
      </c>
      <c r="F78" s="14" t="str">
        <f t="shared" si="15"/>
        <v>-</v>
      </c>
      <c r="G78" s="14">
        <f t="shared" si="15"/>
        <v>0</v>
      </c>
      <c r="H78" s="14">
        <f t="shared" si="15"/>
        <v>0</v>
      </c>
      <c r="I78" s="14">
        <f t="shared" si="15"/>
        <v>0</v>
      </c>
      <c r="J78" s="14">
        <f t="shared" si="15"/>
        <v>0</v>
      </c>
      <c r="K78" s="14">
        <f t="shared" si="15"/>
        <v>0</v>
      </c>
      <c r="L78" s="14">
        <f t="shared" si="15"/>
        <v>0</v>
      </c>
      <c r="M78" s="14">
        <f t="shared" si="15"/>
        <v>0</v>
      </c>
      <c r="N78" s="14">
        <f t="shared" si="15"/>
        <v>0</v>
      </c>
    </row>
    <row r="79" spans="1:14" x14ac:dyDescent="0.2">
      <c r="A79" t="s">
        <v>75</v>
      </c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spans="1:14" x14ac:dyDescent="0.2">
      <c r="B80" t="s">
        <v>74</v>
      </c>
      <c r="E80" s="14">
        <f>'BS '!B43</f>
        <v>2167.54</v>
      </c>
      <c r="F80" s="14">
        <f>'BS '!C43</f>
        <v>2184.9016999999999</v>
      </c>
      <c r="G80" s="14">
        <f>'BS '!D43</f>
        <v>2134.7638999999999</v>
      </c>
      <c r="H80" s="14">
        <f>'BS '!E43</f>
        <v>2144.0452</v>
      </c>
      <c r="I80" s="14">
        <f>'BS '!F43</f>
        <v>2124.991</v>
      </c>
      <c r="J80" s="14">
        <f>'BS '!G43</f>
        <v>2124.991</v>
      </c>
      <c r="K80" s="14">
        <f>'BS '!H43</f>
        <v>2129.4740000000002</v>
      </c>
      <c r="L80" s="14">
        <f>'BS '!I43</f>
        <v>2134.8225000000002</v>
      </c>
      <c r="M80" s="14">
        <f>'BS '!J43</f>
        <v>2145.1241</v>
      </c>
      <c r="N80" s="14">
        <f>'BS '!K43</f>
        <v>2163.3870000000002</v>
      </c>
    </row>
    <row r="81" spans="1:14" x14ac:dyDescent="0.2">
      <c r="B81" t="s">
        <v>73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</row>
    <row r="82" spans="1:14" x14ac:dyDescent="0.2">
      <c r="B82" t="s">
        <v>72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</row>
    <row r="83" spans="1:14" x14ac:dyDescent="0.2">
      <c r="B83" t="s">
        <v>71</v>
      </c>
      <c r="E83" s="6">
        <f t="shared" ref="E83:N83" si="16">IFERROR(E67/E65,"-")</f>
        <v>0</v>
      </c>
      <c r="F83" s="6">
        <f t="shared" si="16"/>
        <v>0</v>
      </c>
      <c r="G83" s="6">
        <f t="shared" si="16"/>
        <v>0</v>
      </c>
      <c r="H83" s="6">
        <f t="shared" si="16"/>
        <v>0</v>
      </c>
      <c r="I83" s="6">
        <f t="shared" si="16"/>
        <v>0</v>
      </c>
      <c r="J83" s="6">
        <f t="shared" si="16"/>
        <v>0</v>
      </c>
      <c r="K83" s="6">
        <f t="shared" si="16"/>
        <v>0</v>
      </c>
      <c r="L83" s="6">
        <f t="shared" si="16"/>
        <v>0</v>
      </c>
      <c r="M83" s="6">
        <f t="shared" si="16"/>
        <v>0</v>
      </c>
      <c r="N83" s="6">
        <f t="shared" si="16"/>
        <v>0</v>
      </c>
    </row>
    <row r="84" spans="1:14" x14ac:dyDescent="0.2"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">
      <c r="A85" t="s">
        <v>70</v>
      </c>
      <c r="E85">
        <f t="shared" ref="E85:N85" si="17">E44</f>
        <v>0</v>
      </c>
      <c r="F85">
        <f t="shared" si="17"/>
        <v>0</v>
      </c>
      <c r="G85">
        <f t="shared" si="17"/>
        <v>0</v>
      </c>
      <c r="H85">
        <f t="shared" si="17"/>
        <v>0</v>
      </c>
      <c r="I85">
        <f t="shared" si="17"/>
        <v>0</v>
      </c>
      <c r="J85">
        <f t="shared" si="17"/>
        <v>0</v>
      </c>
      <c r="K85">
        <f t="shared" si="17"/>
        <v>0</v>
      </c>
      <c r="L85">
        <f t="shared" si="17"/>
        <v>0</v>
      </c>
      <c r="M85">
        <f t="shared" si="17"/>
        <v>0</v>
      </c>
      <c r="N85">
        <f t="shared" si="17"/>
        <v>0</v>
      </c>
    </row>
    <row r="86" spans="1:14" x14ac:dyDescent="0.2">
      <c r="A86" t="s">
        <v>69</v>
      </c>
    </row>
    <row r="87" spans="1:14" x14ac:dyDescent="0.2">
      <c r="B87" t="s">
        <v>68</v>
      </c>
      <c r="E87" s="12" t="str">
        <f t="shared" ref="E87:N87" si="18">IFERROR(E10/E27,"-")</f>
        <v>-</v>
      </c>
      <c r="F87" s="12" t="str">
        <f t="shared" si="18"/>
        <v>-</v>
      </c>
      <c r="G87" s="12" t="str">
        <f t="shared" si="18"/>
        <v>-</v>
      </c>
      <c r="H87" s="12" t="str">
        <f t="shared" si="18"/>
        <v>-</v>
      </c>
      <c r="I87" s="12" t="str">
        <f t="shared" si="18"/>
        <v>-</v>
      </c>
      <c r="J87" s="12" t="str">
        <f t="shared" si="18"/>
        <v>-</v>
      </c>
      <c r="K87" s="12" t="str">
        <f t="shared" si="18"/>
        <v>-</v>
      </c>
      <c r="L87" s="12" t="str">
        <f t="shared" si="18"/>
        <v>-</v>
      </c>
      <c r="M87" s="12" t="str">
        <f t="shared" si="18"/>
        <v>-</v>
      </c>
      <c r="N87" s="12" t="str">
        <f t="shared" si="18"/>
        <v>-</v>
      </c>
    </row>
    <row r="88" spans="1:14" x14ac:dyDescent="0.2">
      <c r="B88" t="s">
        <v>67</v>
      </c>
      <c r="E88" s="12" t="str">
        <f t="shared" ref="E88:N88" si="19">IFERROR(((E10-E7)/E27),"-")</f>
        <v>-</v>
      </c>
      <c r="F88" s="12" t="str">
        <f t="shared" si="19"/>
        <v>-</v>
      </c>
      <c r="G88" s="12" t="str">
        <f t="shared" si="19"/>
        <v>-</v>
      </c>
      <c r="H88" s="12" t="str">
        <f t="shared" si="19"/>
        <v>-</v>
      </c>
      <c r="I88" s="12" t="str">
        <f t="shared" si="19"/>
        <v>-</v>
      </c>
      <c r="J88" s="12" t="str">
        <f t="shared" si="19"/>
        <v>-</v>
      </c>
      <c r="K88" s="12" t="str">
        <f t="shared" si="19"/>
        <v>-</v>
      </c>
      <c r="L88" s="12" t="str">
        <f t="shared" si="19"/>
        <v>-</v>
      </c>
      <c r="M88" s="12" t="str">
        <f t="shared" si="19"/>
        <v>-</v>
      </c>
      <c r="N88" s="12" t="str">
        <f t="shared" si="19"/>
        <v>-</v>
      </c>
    </row>
    <row r="89" spans="1:14" x14ac:dyDescent="0.2">
      <c r="A89" t="s">
        <v>66</v>
      </c>
    </row>
    <row r="90" spans="1:14" x14ac:dyDescent="0.2">
      <c r="B90" t="s">
        <v>65</v>
      </c>
      <c r="E90" s="12" t="str">
        <f>IFERROR(E6/(#REF!/360),"-")</f>
        <v>-</v>
      </c>
      <c r="F90" s="12" t="str">
        <f>IFERROR(F6/(#REF!/360),"-")</f>
        <v>-</v>
      </c>
      <c r="G90" s="12" t="str">
        <f>IFERROR(G6/(#REF!/360),"-")</f>
        <v>-</v>
      </c>
      <c r="H90" s="12" t="str">
        <f>IFERROR(H6/(#REF!/360),"-")</f>
        <v>-</v>
      </c>
      <c r="I90" s="12" t="str">
        <f>IFERROR(I6/(#REF!/360),"-")</f>
        <v>-</v>
      </c>
      <c r="J90" s="12" t="str">
        <f>IFERROR(J6/(#REF!/360),"-")</f>
        <v>-</v>
      </c>
      <c r="K90" s="12" t="str">
        <f>IFERROR(K6/(#REF!/360),"-")</f>
        <v>-</v>
      </c>
      <c r="L90" s="12" t="str">
        <f>IFERROR(L6/(#REF!/360),"-")</f>
        <v>-</v>
      </c>
      <c r="M90" s="12" t="str">
        <f>IFERROR(M6/(#REF!/360),"-")</f>
        <v>-</v>
      </c>
      <c r="N90" s="12" t="str">
        <f>IFERROR(N6/(#REF!/360),"-")</f>
        <v>-</v>
      </c>
    </row>
    <row r="91" spans="1:14" x14ac:dyDescent="0.2">
      <c r="B91" t="s">
        <v>64</v>
      </c>
      <c r="E91" s="12" t="s">
        <v>43</v>
      </c>
      <c r="F91" s="12" t="str">
        <f>IFERROR(#REF!/((E7+F7)/2),"-")</f>
        <v>-</v>
      </c>
      <c r="G91" s="12" t="str">
        <f>IFERROR(#REF!/((F7+G7)/2),"-")</f>
        <v>-</v>
      </c>
      <c r="H91" s="12" t="str">
        <f>IFERROR(#REF!/((G7+H7)/2),"-")</f>
        <v>-</v>
      </c>
      <c r="I91" s="12" t="str">
        <f>IFERROR(#REF!/((H7+I7)/2),"-")</f>
        <v>-</v>
      </c>
      <c r="J91" s="12" t="str">
        <f>IFERROR(#REF!/((I7+J7)/2),"-")</f>
        <v>-</v>
      </c>
      <c r="K91" s="12" t="str">
        <f>IFERROR(#REF!/((J7+K7)/2),"-")</f>
        <v>-</v>
      </c>
      <c r="L91" s="12" t="str">
        <f>IFERROR(#REF!/((K7+L7)/2),"-")</f>
        <v>-</v>
      </c>
      <c r="M91" s="12" t="str">
        <f>IFERROR(#REF!/((L7+M7)/2),"-")</f>
        <v>-</v>
      </c>
      <c r="N91" s="12" t="str">
        <f>IFERROR(#REF!/((M7+N7)/2),"-")</f>
        <v>-</v>
      </c>
    </row>
    <row r="92" spans="1:14" x14ac:dyDescent="0.2">
      <c r="B92" t="s">
        <v>63</v>
      </c>
      <c r="E92" s="12" t="str">
        <f t="shared" ref="E92:N92" si="20">IFERROR(E46/E15,"-")</f>
        <v>-</v>
      </c>
      <c r="F92" s="12" t="str">
        <f t="shared" si="20"/>
        <v>-</v>
      </c>
      <c r="G92" s="12" t="str">
        <f t="shared" si="20"/>
        <v>-</v>
      </c>
      <c r="H92" s="12" t="str">
        <f t="shared" si="20"/>
        <v>-</v>
      </c>
      <c r="I92" s="12" t="str">
        <f t="shared" si="20"/>
        <v>-</v>
      </c>
      <c r="J92" s="12" t="str">
        <f t="shared" si="20"/>
        <v>-</v>
      </c>
      <c r="K92" s="12" t="str">
        <f t="shared" si="20"/>
        <v>-</v>
      </c>
      <c r="L92" s="12" t="str">
        <f t="shared" si="20"/>
        <v>-</v>
      </c>
      <c r="M92" s="12" t="str">
        <f t="shared" si="20"/>
        <v>-</v>
      </c>
      <c r="N92" s="12" t="str">
        <f t="shared" si="20"/>
        <v>-</v>
      </c>
    </row>
    <row r="93" spans="1:14" x14ac:dyDescent="0.2">
      <c r="B93" t="s">
        <v>62</v>
      </c>
      <c r="E93" s="12" t="str">
        <f t="shared" ref="E93:N93" si="21">IFERROR(E46/E17,"-")</f>
        <v>-</v>
      </c>
      <c r="F93" s="12">
        <f t="shared" si="21"/>
        <v>3.2015637766250551</v>
      </c>
      <c r="G93" s="12">
        <f t="shared" si="21"/>
        <v>2.6502823211379605</v>
      </c>
      <c r="H93" s="12">
        <f t="shared" si="21"/>
        <v>2.9608845890035913</v>
      </c>
      <c r="I93" s="12">
        <f t="shared" si="21"/>
        <v>1.6394930088493731</v>
      </c>
      <c r="J93" s="12">
        <f t="shared" si="21"/>
        <v>1.8570138581030597</v>
      </c>
      <c r="K93" s="12">
        <f t="shared" si="21"/>
        <v>1.64099058502019</v>
      </c>
      <c r="L93" s="12">
        <f t="shared" si="21"/>
        <v>0.87356755696363197</v>
      </c>
      <c r="M93" s="12">
        <f t="shared" si="21"/>
        <v>1.0426116525003366</v>
      </c>
      <c r="N93" s="12">
        <f t="shared" si="21"/>
        <v>0.85951616584954194</v>
      </c>
    </row>
    <row r="94" spans="1:14" x14ac:dyDescent="0.2">
      <c r="A94" t="s">
        <v>61</v>
      </c>
    </row>
    <row r="95" spans="1:14" x14ac:dyDescent="0.2">
      <c r="B95" t="s">
        <v>60</v>
      </c>
      <c r="E95" s="6" t="str">
        <f t="shared" ref="E95:N95" si="22">IFERROR(E35/E17,"-")</f>
        <v>-</v>
      </c>
      <c r="F95" s="6">
        <f t="shared" si="22"/>
        <v>0</v>
      </c>
      <c r="G95" s="6">
        <f t="shared" si="22"/>
        <v>0</v>
      </c>
      <c r="H95" s="6">
        <f t="shared" si="22"/>
        <v>0</v>
      </c>
      <c r="I95" s="6">
        <f t="shared" si="22"/>
        <v>0</v>
      </c>
      <c r="J95" s="6">
        <f t="shared" si="22"/>
        <v>0</v>
      </c>
      <c r="K95" s="6">
        <f t="shared" si="22"/>
        <v>0</v>
      </c>
      <c r="L95" s="6">
        <f t="shared" si="22"/>
        <v>0</v>
      </c>
      <c r="M95" s="6">
        <f t="shared" si="22"/>
        <v>0.72979216887390796</v>
      </c>
      <c r="N95" s="6">
        <f t="shared" si="22"/>
        <v>0.92229155634394411</v>
      </c>
    </row>
    <row r="96" spans="1:14" x14ac:dyDescent="0.2">
      <c r="B96" t="s">
        <v>59</v>
      </c>
      <c r="E96" s="6" t="str">
        <f t="shared" ref="E96:N96" si="23">IFERROR(E35/E41,"-")</f>
        <v>-</v>
      </c>
      <c r="F96" s="6" t="str">
        <f t="shared" si="23"/>
        <v>-</v>
      </c>
      <c r="G96" s="6" t="str">
        <f t="shared" si="23"/>
        <v>-</v>
      </c>
      <c r="H96" s="6" t="str">
        <f t="shared" si="23"/>
        <v>-</v>
      </c>
      <c r="I96" s="6" t="str">
        <f t="shared" si="23"/>
        <v>-</v>
      </c>
      <c r="J96" s="6" t="str">
        <f t="shared" si="23"/>
        <v>-</v>
      </c>
      <c r="K96" s="6" t="str">
        <f t="shared" si="23"/>
        <v>-</v>
      </c>
      <c r="L96" s="6" t="str">
        <f t="shared" si="23"/>
        <v>-</v>
      </c>
      <c r="M96" s="6" t="str">
        <f t="shared" si="23"/>
        <v>-</v>
      </c>
      <c r="N96" s="6" t="str">
        <f t="shared" si="23"/>
        <v>-</v>
      </c>
    </row>
    <row r="97" spans="1:14" x14ac:dyDescent="0.2">
      <c r="B97" t="s">
        <v>58</v>
      </c>
      <c r="E97" s="12" t="str">
        <f t="shared" ref="E97:N97" si="24">IFERROR((E58+E64)/E63,"-")</f>
        <v>-</v>
      </c>
      <c r="F97" s="12" t="str">
        <f t="shared" si="24"/>
        <v>-</v>
      </c>
      <c r="G97" s="12" t="str">
        <f t="shared" si="24"/>
        <v>-</v>
      </c>
      <c r="H97" s="12" t="str">
        <f t="shared" si="24"/>
        <v>-</v>
      </c>
      <c r="I97" s="12" t="str">
        <f t="shared" si="24"/>
        <v>-</v>
      </c>
      <c r="J97" s="12" t="str">
        <f t="shared" si="24"/>
        <v>-</v>
      </c>
      <c r="K97" s="12" t="str">
        <f t="shared" si="24"/>
        <v>-</v>
      </c>
      <c r="L97" s="12" t="str">
        <f t="shared" si="24"/>
        <v>-</v>
      </c>
      <c r="M97" s="12" t="str">
        <f t="shared" si="24"/>
        <v>-</v>
      </c>
      <c r="N97" s="12" t="str">
        <f t="shared" si="24"/>
        <v>-</v>
      </c>
    </row>
    <row r="98" spans="1:14" x14ac:dyDescent="0.2">
      <c r="A98" t="s">
        <v>57</v>
      </c>
    </row>
    <row r="99" spans="1:14" x14ac:dyDescent="0.2">
      <c r="B99" t="s">
        <v>56</v>
      </c>
      <c r="E99" s="6">
        <f t="shared" ref="E99:N99" si="25">IFERROR(E47/E46,"-")</f>
        <v>0.62052760111113869</v>
      </c>
      <c r="F99" s="6">
        <f t="shared" si="25"/>
        <v>0.61514785889916079</v>
      </c>
      <c r="G99" s="6">
        <f t="shared" si="25"/>
        <v>0.51355801394823508</v>
      </c>
      <c r="H99" s="6">
        <f t="shared" si="25"/>
        <v>0.48843058423542085</v>
      </c>
      <c r="I99" s="6">
        <f t="shared" si="25"/>
        <v>0.4319914118833324</v>
      </c>
      <c r="J99" s="6">
        <f t="shared" si="25"/>
        <v>0.47729635568623202</v>
      </c>
      <c r="K99" s="6">
        <f t="shared" si="25"/>
        <v>0.48035580495532859</v>
      </c>
      <c r="L99" s="6">
        <f t="shared" si="25"/>
        <v>0.48865029969004048</v>
      </c>
      <c r="M99" s="6">
        <f t="shared" si="25"/>
        <v>0.35053177690175147</v>
      </c>
      <c r="N99" s="6">
        <f t="shared" si="25"/>
        <v>5.4304996993264465E-2</v>
      </c>
    </row>
    <row r="100" spans="1:14" x14ac:dyDescent="0.2">
      <c r="B100" t="s">
        <v>55</v>
      </c>
      <c r="E100" s="6">
        <f t="shared" ref="E100:N100" si="26">IFERROR(E58/E46,"-")</f>
        <v>0.62052760111113869</v>
      </c>
      <c r="F100" s="6">
        <f t="shared" si="26"/>
        <v>0.6151478588991609</v>
      </c>
      <c r="G100" s="6">
        <f t="shared" si="26"/>
        <v>0.51355801394823497</v>
      </c>
      <c r="H100" s="6">
        <f t="shared" si="26"/>
        <v>0.48843058423542096</v>
      </c>
      <c r="I100" s="6">
        <f t="shared" si="26"/>
        <v>0.43199141188333229</v>
      </c>
      <c r="J100" s="6">
        <f t="shared" si="26"/>
        <v>0.47729635568623213</v>
      </c>
      <c r="K100" s="6">
        <f t="shared" si="26"/>
        <v>0.48035580495532854</v>
      </c>
      <c r="L100" s="6">
        <f t="shared" si="26"/>
        <v>0.48865029969004037</v>
      </c>
      <c r="M100" s="6">
        <f t="shared" si="26"/>
        <v>0.35053177690175163</v>
      </c>
      <c r="N100" s="6">
        <f t="shared" si="26"/>
        <v>1.616036518982672E-2</v>
      </c>
    </row>
    <row r="101" spans="1:14" x14ac:dyDescent="0.2">
      <c r="B101" t="s">
        <v>54</v>
      </c>
      <c r="E101" s="6">
        <f t="shared" ref="E101:N101" si="27">IFERROR(E72/E46,"-")</f>
        <v>0.43952964909796621</v>
      </c>
      <c r="F101" s="6">
        <f t="shared" si="27"/>
        <v>0.39477646530967359</v>
      </c>
      <c r="G101" s="6">
        <f t="shared" si="27"/>
        <v>0.30791964481211948</v>
      </c>
      <c r="H101" s="6">
        <f t="shared" si="27"/>
        <v>0.31033287894368766</v>
      </c>
      <c r="I101" s="6">
        <f t="shared" si="27"/>
        <v>0.18568034833347022</v>
      </c>
      <c r="J101" s="6">
        <f t="shared" si="27"/>
        <v>0.27364826594906466</v>
      </c>
      <c r="K101" s="6">
        <f t="shared" si="27"/>
        <v>0.26841464079858907</v>
      </c>
      <c r="L101" s="6">
        <f t="shared" si="27"/>
        <v>0.28616244197313911</v>
      </c>
      <c r="M101" s="6">
        <f t="shared" si="27"/>
        <v>0.17582389218431665</v>
      </c>
      <c r="N101" s="6">
        <f t="shared" si="27"/>
        <v>-8.9888650188116564E-2</v>
      </c>
    </row>
    <row r="102" spans="1:14" x14ac:dyDescent="0.2">
      <c r="B102" t="s">
        <v>53</v>
      </c>
      <c r="E102" s="6" t="str">
        <f t="shared" ref="E102:N102" si="28">IFERROR(E72/E17,"-")</f>
        <v>-</v>
      </c>
      <c r="F102" s="6">
        <f t="shared" si="28"/>
        <v>1.2639020311995286</v>
      </c>
      <c r="G102" s="6">
        <f t="shared" si="28"/>
        <v>0.81607399097664024</v>
      </c>
      <c r="H102" s="6">
        <f t="shared" si="28"/>
        <v>0.91885983872548194</v>
      </c>
      <c r="I102" s="6">
        <f t="shared" si="28"/>
        <v>0.30442163297344077</v>
      </c>
      <c r="J102" s="6">
        <f t="shared" si="28"/>
        <v>0.50816862211328473</v>
      </c>
      <c r="K102" s="6">
        <f t="shared" si="28"/>
        <v>0.44046589843206085</v>
      </c>
      <c r="L102" s="6">
        <f t="shared" si="28"/>
        <v>0.24998222532922224</v>
      </c>
      <c r="M102" s="6">
        <f t="shared" si="28"/>
        <v>0.18331603877933139</v>
      </c>
      <c r="N102" s="6">
        <f t="shared" si="28"/>
        <v>-7.7260747963080662E-2</v>
      </c>
    </row>
    <row r="103" spans="1:14" x14ac:dyDescent="0.2">
      <c r="B103" t="s">
        <v>52</v>
      </c>
      <c r="E103" s="6" t="str">
        <f t="shared" ref="E103:N103" si="29">IFERROR((E72/(E41-E39)),"-")</f>
        <v>-</v>
      </c>
      <c r="F103" s="6" t="str">
        <f t="shared" si="29"/>
        <v>-</v>
      </c>
      <c r="G103" s="6" t="str">
        <f t="shared" si="29"/>
        <v>-</v>
      </c>
      <c r="H103" s="6" t="str">
        <f t="shared" si="29"/>
        <v>-</v>
      </c>
      <c r="I103" s="6" t="str">
        <f t="shared" si="29"/>
        <v>-</v>
      </c>
      <c r="J103" s="6" t="str">
        <f t="shared" si="29"/>
        <v>-</v>
      </c>
      <c r="K103" s="6" t="str">
        <f t="shared" si="29"/>
        <v>-</v>
      </c>
      <c r="L103" s="6" t="str">
        <f t="shared" si="29"/>
        <v>-</v>
      </c>
      <c r="M103" s="6" t="str">
        <f t="shared" si="29"/>
        <v>-</v>
      </c>
      <c r="N103" s="6" t="str">
        <f t="shared" si="29"/>
        <v>-</v>
      </c>
    </row>
    <row r="104" spans="1:14" x14ac:dyDescent="0.2">
      <c r="B104" t="s">
        <v>51</v>
      </c>
      <c r="E104" s="13">
        <f t="shared" ref="E104:N104" si="30">IFERROR(E74/E80,"-")</f>
        <v>0.27783155097483786</v>
      </c>
      <c r="F104" s="13">
        <f t="shared" si="30"/>
        <v>0.30444344475543222</v>
      </c>
      <c r="G104" s="13">
        <f t="shared" si="30"/>
        <v>0.26613950142214793</v>
      </c>
      <c r="H104" s="13">
        <f t="shared" si="30"/>
        <v>0.2974111739808471</v>
      </c>
      <c r="I104" s="13">
        <f t="shared" si="30"/>
        <v>0.20641922718731515</v>
      </c>
      <c r="J104" s="13">
        <f t="shared" si="30"/>
        <v>0.30693729996974101</v>
      </c>
      <c r="K104" s="13">
        <f t="shared" si="30"/>
        <v>0.27035690503852128</v>
      </c>
      <c r="L104" s="13">
        <f t="shared" si="30"/>
        <v>0.31457135195080616</v>
      </c>
      <c r="M104" s="13">
        <f t="shared" si="30"/>
        <v>0.18735652636600372</v>
      </c>
      <c r="N104" s="13">
        <f t="shared" si="30"/>
        <v>-9.2932517390554706E-2</v>
      </c>
    </row>
    <row r="105" spans="1:14" x14ac:dyDescent="0.2">
      <c r="B105" t="s">
        <v>50</v>
      </c>
      <c r="E105" s="12">
        <f t="shared" ref="E105:N105" si="31">IFERROR(E82/E77,"-")</f>
        <v>0</v>
      </c>
      <c r="F105" s="12" t="str">
        <f t="shared" si="31"/>
        <v>-</v>
      </c>
      <c r="G105" s="12">
        <f t="shared" si="31"/>
        <v>0</v>
      </c>
      <c r="H105" s="12">
        <f t="shared" si="31"/>
        <v>0</v>
      </c>
      <c r="I105" s="12">
        <f t="shared" si="31"/>
        <v>0</v>
      </c>
      <c r="J105" s="12">
        <f t="shared" si="31"/>
        <v>0</v>
      </c>
      <c r="K105" s="12">
        <f t="shared" si="31"/>
        <v>0</v>
      </c>
      <c r="L105" s="12">
        <f t="shared" si="31"/>
        <v>0</v>
      </c>
      <c r="M105" s="12">
        <f t="shared" si="31"/>
        <v>0</v>
      </c>
      <c r="N105" s="12">
        <f t="shared" si="31"/>
        <v>0</v>
      </c>
    </row>
    <row r="106" spans="1:14" x14ac:dyDescent="0.2">
      <c r="B106" t="s">
        <v>49</v>
      </c>
      <c r="E106" s="12" t="str">
        <f t="shared" ref="E106:N106" si="32">IFERROR(E82/((E41-E39)/E80),"-")</f>
        <v>-</v>
      </c>
      <c r="F106" s="12" t="str">
        <f t="shared" si="32"/>
        <v>-</v>
      </c>
      <c r="G106" s="12" t="str">
        <f t="shared" si="32"/>
        <v>-</v>
      </c>
      <c r="H106" s="12" t="str">
        <f t="shared" si="32"/>
        <v>-</v>
      </c>
      <c r="I106" s="12" t="str">
        <f t="shared" si="32"/>
        <v>-</v>
      </c>
      <c r="J106" s="12" t="str">
        <f t="shared" si="32"/>
        <v>-</v>
      </c>
      <c r="K106" s="12" t="str">
        <f t="shared" si="32"/>
        <v>-</v>
      </c>
      <c r="L106" s="12" t="str">
        <f t="shared" si="32"/>
        <v>-</v>
      </c>
      <c r="M106" s="12" t="str">
        <f t="shared" si="32"/>
        <v>-</v>
      </c>
      <c r="N106" s="12" t="str">
        <f t="shared" si="32"/>
        <v>-</v>
      </c>
    </row>
    <row r="107" spans="1:14" x14ac:dyDescent="0.2">
      <c r="A107" t="s">
        <v>48</v>
      </c>
    </row>
    <row r="108" spans="1:14" x14ac:dyDescent="0.2">
      <c r="B108" t="s">
        <v>47</v>
      </c>
      <c r="E108" t="s">
        <v>43</v>
      </c>
      <c r="F108" s="6">
        <f t="shared" ref="F108:N108" si="33">IFERROR((F46/E46)-1,"-")</f>
        <v>0.22977813719322171</v>
      </c>
      <c r="G108" s="6">
        <f t="shared" si="33"/>
        <v>9.505142879525863E-2</v>
      </c>
      <c r="H108" s="6">
        <f t="shared" si="33"/>
        <v>0.11363183076546202</v>
      </c>
      <c r="I108" s="6">
        <f t="shared" si="33"/>
        <v>0.14968237336423362</v>
      </c>
      <c r="J108" s="6">
        <f t="shared" si="33"/>
        <v>8.9572431332742841E-3</v>
      </c>
      <c r="K108" s="6">
        <f t="shared" si="33"/>
        <v>-0.10010975483890472</v>
      </c>
      <c r="L108" s="6">
        <f t="shared" si="33"/>
        <v>9.4119352897104491E-2</v>
      </c>
      <c r="M108" s="6">
        <f t="shared" si="33"/>
        <v>-2.5963904245772107E-2</v>
      </c>
      <c r="N108" s="6">
        <f t="shared" si="33"/>
        <v>-2.1516063989094669E-2</v>
      </c>
    </row>
    <row r="109" spans="1:14" x14ac:dyDescent="0.2">
      <c r="B109" t="s">
        <v>46</v>
      </c>
      <c r="E109" t="s">
        <v>43</v>
      </c>
      <c r="F109" s="6">
        <f t="shared" ref="F109:N109" si="34">IFERROR((F72/E72)-1,"-")</f>
        <v>0.10456135806220712</v>
      </c>
      <c r="G109" s="6">
        <f t="shared" si="34"/>
        <v>-0.14587652346210533</v>
      </c>
      <c r="H109" s="6">
        <f t="shared" si="34"/>
        <v>0.12235960890265685</v>
      </c>
      <c r="I109" s="6">
        <f t="shared" si="34"/>
        <v>-0.31211470635743344</v>
      </c>
      <c r="J109" s="6">
        <f t="shared" si="34"/>
        <v>0.4869608037588995</v>
      </c>
      <c r="K109" s="6">
        <f t="shared" si="34"/>
        <v>-0.1173204914149566</v>
      </c>
      <c r="L109" s="6">
        <f t="shared" si="34"/>
        <v>0.16646344217134068</v>
      </c>
      <c r="M109" s="6">
        <f t="shared" si="34"/>
        <v>-0.4015328625843938</v>
      </c>
      <c r="N109" s="6">
        <f t="shared" si="34"/>
        <v>-1.5002425958502426</v>
      </c>
    </row>
    <row r="110" spans="1:14" x14ac:dyDescent="0.2">
      <c r="B110" t="s">
        <v>45</v>
      </c>
      <c r="E110" t="s">
        <v>43</v>
      </c>
      <c r="F110" s="6" t="str">
        <f t="shared" ref="F110:N110" si="35">IFERROR((F77/E77)-1,"-")</f>
        <v>-</v>
      </c>
      <c r="G110" s="6" t="str">
        <f t="shared" si="35"/>
        <v>-</v>
      </c>
      <c r="H110" s="6">
        <f t="shared" si="35"/>
        <v>0.13740458015267176</v>
      </c>
      <c r="I110" s="6">
        <f t="shared" si="35"/>
        <v>-0.30536912751677858</v>
      </c>
      <c r="J110" s="6">
        <f t="shared" si="35"/>
        <v>0.48309178743961345</v>
      </c>
      <c r="K110" s="6">
        <f t="shared" si="35"/>
        <v>-0.11726384364820841</v>
      </c>
      <c r="L110" s="6">
        <f t="shared" si="35"/>
        <v>0.16236162361623618</v>
      </c>
      <c r="M110" s="6">
        <f t="shared" si="35"/>
        <v>-0.40634920634920635</v>
      </c>
      <c r="N110" s="6">
        <f t="shared" si="35"/>
        <v>-1.4973262032085561</v>
      </c>
    </row>
    <row r="111" spans="1:14" x14ac:dyDescent="0.2">
      <c r="B111" t="s">
        <v>44</v>
      </c>
      <c r="E111" t="s">
        <v>43</v>
      </c>
      <c r="F111" s="6" t="str">
        <f t="shared" ref="F111:N111" si="36">IFERROR((F75/E75)-1,"-")</f>
        <v>-</v>
      </c>
      <c r="G111" s="6" t="str">
        <f t="shared" si="36"/>
        <v>-</v>
      </c>
      <c r="H111" s="6" t="str">
        <f t="shared" si="36"/>
        <v>-</v>
      </c>
      <c r="I111" s="6" t="str">
        <f t="shared" si="36"/>
        <v>-</v>
      </c>
      <c r="J111" s="6" t="str">
        <f t="shared" si="36"/>
        <v>-</v>
      </c>
      <c r="K111" s="6" t="str">
        <f t="shared" si="36"/>
        <v>-</v>
      </c>
      <c r="L111" s="6" t="str">
        <f t="shared" si="36"/>
        <v>-</v>
      </c>
      <c r="M111" s="6" t="str">
        <f t="shared" si="36"/>
        <v>-</v>
      </c>
      <c r="N111" s="6" t="str">
        <f t="shared" si="36"/>
        <v>-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76C0-FAF5-2641-8570-D298FC651ED9}">
  <dimension ref="A1:N54"/>
  <sheetViews>
    <sheetView tabSelected="1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E36" sqref="E36"/>
    </sheetView>
  </sheetViews>
  <sheetFormatPr baseColWidth="10" defaultRowHeight="16" x14ac:dyDescent="0.2"/>
  <cols>
    <col min="1" max="1" width="24.33203125" customWidth="1"/>
    <col min="3" max="4" width="15.6640625" bestFit="1" customWidth="1"/>
    <col min="5" max="7" width="16.83203125" bestFit="1" customWidth="1"/>
  </cols>
  <sheetData>
    <row r="1" spans="1:14" x14ac:dyDescent="0.2">
      <c r="C1">
        <v>2019</v>
      </c>
      <c r="D1">
        <f>C1+1</f>
        <v>2020</v>
      </c>
      <c r="E1">
        <f t="shared" ref="E1:G1" si="0">D1+1</f>
        <v>2021</v>
      </c>
      <c r="F1">
        <f t="shared" si="0"/>
        <v>2022</v>
      </c>
      <c r="G1">
        <f t="shared" si="0"/>
        <v>2023</v>
      </c>
    </row>
    <row r="2" spans="1:14" x14ac:dyDescent="0.2">
      <c r="A2" s="25" t="s">
        <v>33</v>
      </c>
      <c r="C2" s="1">
        <f>'BS '!G21</f>
        <v>6289.6490000000003</v>
      </c>
      <c r="D2" s="1">
        <f>'BS '!H21</f>
        <v>7436.6289999999999</v>
      </c>
      <c r="E2" s="1">
        <f>'BS '!I21</f>
        <v>10553.439</v>
      </c>
      <c r="F2" s="1">
        <f>'BS '!J21</f>
        <v>11250.446</v>
      </c>
      <c r="G2" s="1">
        <f>'BS '!K21</f>
        <v>13190.206</v>
      </c>
    </row>
    <row r="3" spans="1:14" x14ac:dyDescent="0.2">
      <c r="A3" s="25" t="s">
        <v>529</v>
      </c>
      <c r="C3" s="1">
        <f t="shared" ref="C3:G3" si="1">C2-C4</f>
        <v>1322.8640000000005</v>
      </c>
      <c r="D3" s="1">
        <f t="shared" si="1"/>
        <v>1787.0680000000002</v>
      </c>
      <c r="E3" s="1">
        <f t="shared" si="1"/>
        <v>3172.6710000000003</v>
      </c>
      <c r="F3" s="1">
        <f t="shared" si="1"/>
        <v>3222.6059999999998</v>
      </c>
      <c r="G3" s="1">
        <f t="shared" si="1"/>
        <v>3563.9050000000007</v>
      </c>
      <c r="J3" s="2"/>
      <c r="K3" s="2"/>
      <c r="L3" s="2"/>
      <c r="M3" s="2">
        <f t="shared" ref="J3:M3" si="2">F43/F3</f>
        <v>0.24776562819035278</v>
      </c>
      <c r="N3" s="2">
        <f>G43/G3</f>
        <v>3.5798653443343681E-2</v>
      </c>
    </row>
    <row r="4" spans="1:14" x14ac:dyDescent="0.2">
      <c r="A4" s="25" t="s">
        <v>530</v>
      </c>
      <c r="C4" s="1">
        <f>'BS '!G22</f>
        <v>4966.7849999999999</v>
      </c>
      <c r="D4" s="1">
        <f>'BS '!H22</f>
        <v>5649.5609999999997</v>
      </c>
      <c r="E4" s="1">
        <f>'BS '!I22</f>
        <v>7380.768</v>
      </c>
      <c r="F4" s="1">
        <f>'BS '!J22</f>
        <v>8027.84</v>
      </c>
      <c r="G4" s="1">
        <f>'BS '!K22</f>
        <v>9626.3009999999995</v>
      </c>
    </row>
    <row r="5" spans="1:14" x14ac:dyDescent="0.2">
      <c r="A5" s="25" t="s">
        <v>548</v>
      </c>
      <c r="C5" s="1">
        <f>C2-'BS '!G9</f>
        <v>6189.9780000000001</v>
      </c>
      <c r="D5" s="1">
        <f>D2-'BS '!H9</f>
        <v>7342.4</v>
      </c>
      <c r="E5" s="1">
        <f>E2-'BS '!I9</f>
        <v>10380.617</v>
      </c>
      <c r="F5" s="1">
        <f>F2-'BS '!J9</f>
        <v>11133.684999999999</v>
      </c>
      <c r="G5" s="1">
        <f>G2-'BS '!K9</f>
        <v>13085.394</v>
      </c>
    </row>
    <row r="6" spans="1:14" x14ac:dyDescent="0.2">
      <c r="A6" s="25"/>
      <c r="C6" s="12"/>
      <c r="D6" s="12"/>
      <c r="E6" s="12"/>
      <c r="F6" s="12"/>
      <c r="G6" s="12"/>
    </row>
    <row r="7" spans="1:14" x14ac:dyDescent="0.2">
      <c r="A7" s="25" t="s">
        <v>549</v>
      </c>
      <c r="C7" s="12">
        <f>'IS '!H48</f>
        <v>923.81399999999996</v>
      </c>
      <c r="D7" s="12">
        <f>'IS '!I48</f>
        <v>850.96400000000006</v>
      </c>
      <c r="E7" s="12">
        <f>'IS '!J48</f>
        <v>1119.1079999999999</v>
      </c>
      <c r="F7" s="12">
        <f>'IS '!K48</f>
        <v>1376.6780000000001</v>
      </c>
      <c r="G7" s="12">
        <f>'IS '!L48</f>
        <v>1690.43</v>
      </c>
    </row>
    <row r="8" spans="1:14" x14ac:dyDescent="0.2">
      <c r="A8" s="25" t="s">
        <v>550</v>
      </c>
      <c r="C8" s="12" t="e">
        <f>'BS '!G61-'BS '!F61+'Credit '!C45+'CFS '!H36</f>
        <v>#VALUE!</v>
      </c>
      <c r="D8" s="12" t="e">
        <f>'BS '!H61-'BS '!G61+'Credit '!D45+'CFS '!I36</f>
        <v>#VALUE!</v>
      </c>
      <c r="E8" s="12" t="e">
        <f>'BS '!I61-'BS '!H61+'Credit '!E45+'CFS '!J36</f>
        <v>#VALUE!</v>
      </c>
      <c r="F8" s="12">
        <f>'BS '!J61-'BS '!I61+'Credit '!F45+'CFS '!K36</f>
        <v>36.473000000000013</v>
      </c>
      <c r="G8" s="12">
        <f>'BS '!K61-'BS '!J61+'Credit '!G45+'CFS '!L36</f>
        <v>-93.685000000000031</v>
      </c>
    </row>
    <row r="9" spans="1:14" x14ac:dyDescent="0.2">
      <c r="A9" s="25" t="s">
        <v>551</v>
      </c>
      <c r="C9" s="12" t="str">
        <f>'CFS '!H37</f>
        <v>—</v>
      </c>
      <c r="D9" s="12" t="str">
        <f>'CFS '!I37</f>
        <v>—</v>
      </c>
      <c r="E9" s="12">
        <f>'CFS '!J37</f>
        <v>-112.908</v>
      </c>
      <c r="F9" s="12">
        <f>'CFS '!K37</f>
        <v>-71.52</v>
      </c>
      <c r="G9" s="12">
        <f>'CFS '!L37</f>
        <v>-26.052</v>
      </c>
    </row>
    <row r="10" spans="1:14" x14ac:dyDescent="0.2">
      <c r="A10" s="25" t="s">
        <v>552</v>
      </c>
      <c r="C10" s="12"/>
      <c r="D10" s="12"/>
      <c r="E10" s="12"/>
      <c r="F10" s="12"/>
      <c r="G10" s="12"/>
    </row>
    <row r="11" spans="1:14" x14ac:dyDescent="0.2">
      <c r="A11" s="25"/>
      <c r="C11" s="12"/>
      <c r="D11" s="12"/>
      <c r="E11" s="12"/>
      <c r="F11" s="12"/>
      <c r="G11" s="12"/>
    </row>
    <row r="12" spans="1:14" x14ac:dyDescent="0.2">
      <c r="A12" s="25"/>
      <c r="C12" s="12"/>
      <c r="D12" s="12"/>
      <c r="E12" s="12"/>
      <c r="F12" s="12"/>
      <c r="G12" s="12"/>
    </row>
    <row r="13" spans="1:14" x14ac:dyDescent="0.2">
      <c r="A13" s="25"/>
      <c r="C13" s="12"/>
      <c r="D13" s="12"/>
      <c r="E13" s="12"/>
      <c r="F13" s="12"/>
      <c r="G13" s="12"/>
    </row>
    <row r="14" spans="1:14" x14ac:dyDescent="0.2">
      <c r="A14" s="25"/>
      <c r="C14" s="12"/>
      <c r="D14" s="12"/>
      <c r="E14" s="12"/>
      <c r="F14" s="12"/>
      <c r="G14" s="12"/>
    </row>
    <row r="15" spans="1:14" x14ac:dyDescent="0.2">
      <c r="A15" s="25"/>
      <c r="C15" s="12"/>
      <c r="D15" s="12"/>
      <c r="E15" s="12"/>
      <c r="F15" s="12"/>
      <c r="G15" s="12"/>
    </row>
    <row r="16" spans="1:14" x14ac:dyDescent="0.2">
      <c r="A16" s="25"/>
      <c r="C16" s="12"/>
      <c r="D16" s="12"/>
      <c r="E16" s="12"/>
      <c r="F16" s="12"/>
      <c r="G16" s="12"/>
    </row>
    <row r="17" spans="1:7" x14ac:dyDescent="0.2">
      <c r="A17" s="25" t="s">
        <v>531</v>
      </c>
      <c r="C17" s="12" t="e">
        <f t="shared" ref="C17:G17" si="3">C2/B43</f>
        <v>#VALUE!</v>
      </c>
      <c r="D17" s="12" t="e">
        <f t="shared" si="3"/>
        <v>#VALUE!</v>
      </c>
      <c r="E17" s="12" t="e">
        <f t="shared" si="3"/>
        <v>#VALUE!</v>
      </c>
      <c r="F17" s="12" t="e">
        <f t="shared" si="3"/>
        <v>#VALUE!</v>
      </c>
      <c r="G17" s="12">
        <f>G2/F43</f>
        <v>16.519743854037383</v>
      </c>
    </row>
    <row r="18" spans="1:7" x14ac:dyDescent="0.2">
      <c r="A18" s="25" t="s">
        <v>35</v>
      </c>
      <c r="C18" s="12" t="e">
        <f t="shared" ref="C18:G18" si="4">C5/C43</f>
        <v>#VALUE!</v>
      </c>
      <c r="D18" s="12" t="e">
        <f t="shared" si="4"/>
        <v>#VALUE!</v>
      </c>
      <c r="E18" s="12" t="e">
        <f t="shared" si="4"/>
        <v>#VALUE!</v>
      </c>
      <c r="F18" s="12">
        <f t="shared" si="4"/>
        <v>13.944105524321468</v>
      </c>
      <c r="G18" s="12">
        <f>G5/G43</f>
        <v>102.56377417054014</v>
      </c>
    </row>
    <row r="19" spans="1:7" x14ac:dyDescent="0.2">
      <c r="A19" s="25"/>
      <c r="C19" s="12"/>
      <c r="D19" s="12"/>
      <c r="E19" s="12"/>
      <c r="F19" s="12"/>
      <c r="G19" s="12"/>
    </row>
    <row r="20" spans="1:7" x14ac:dyDescent="0.2">
      <c r="A20" s="25" t="s">
        <v>532</v>
      </c>
      <c r="C20" s="12"/>
      <c r="D20" s="12"/>
      <c r="E20" s="12"/>
      <c r="F20" s="12"/>
      <c r="G20" s="12">
        <f>G2/G44</f>
        <v>108.59622430245119</v>
      </c>
    </row>
    <row r="21" spans="1:7" x14ac:dyDescent="0.2">
      <c r="A21" s="25" t="s">
        <v>533</v>
      </c>
      <c r="C21" s="12"/>
      <c r="D21" s="12"/>
      <c r="E21" s="12"/>
      <c r="F21" s="12"/>
      <c r="G21" s="12">
        <f>G5/G44</f>
        <v>107.73329710771378</v>
      </c>
    </row>
    <row r="22" spans="1:7" x14ac:dyDescent="0.2">
      <c r="A22" s="25"/>
      <c r="C22" s="12"/>
      <c r="D22" s="12"/>
      <c r="E22" s="12"/>
      <c r="F22" s="12"/>
      <c r="G22" s="12"/>
    </row>
    <row r="23" spans="1:7" x14ac:dyDescent="0.2">
      <c r="A23" s="25" t="s">
        <v>534</v>
      </c>
      <c r="C23" s="12"/>
      <c r="D23" s="12"/>
      <c r="E23" s="12"/>
      <c r="F23" s="12"/>
      <c r="G23" s="12">
        <f>G43/G7</f>
        <v>7.5473696041835375E-2</v>
      </c>
    </row>
    <row r="24" spans="1:7" x14ac:dyDescent="0.2">
      <c r="A24" s="25"/>
      <c r="C24" s="12"/>
      <c r="D24" s="12"/>
      <c r="E24" s="12"/>
      <c r="F24" s="12"/>
      <c r="G24" s="12"/>
    </row>
    <row r="25" spans="1:7" x14ac:dyDescent="0.2">
      <c r="A25" s="25" t="s">
        <v>535</v>
      </c>
      <c r="C25" s="12"/>
      <c r="D25" s="12"/>
      <c r="E25" s="12"/>
      <c r="F25" s="12"/>
      <c r="G25" s="12"/>
    </row>
    <row r="26" spans="1:7" x14ac:dyDescent="0.2">
      <c r="A26" s="25" t="s">
        <v>536</v>
      </c>
      <c r="C26" s="12"/>
      <c r="D26" s="12"/>
      <c r="E26" s="12"/>
      <c r="F26" s="12"/>
      <c r="G26" s="12"/>
    </row>
    <row r="27" spans="1:7" x14ac:dyDescent="0.2">
      <c r="A27" s="25"/>
      <c r="C27" s="12"/>
      <c r="D27" s="12"/>
      <c r="E27" s="12"/>
      <c r="F27" s="12"/>
      <c r="G27" s="12"/>
    </row>
    <row r="28" spans="1:7" x14ac:dyDescent="0.2">
      <c r="A28" s="25"/>
      <c r="C28" s="12"/>
      <c r="D28" s="12"/>
      <c r="E28" s="12"/>
      <c r="F28" s="12"/>
      <c r="G28" s="12"/>
    </row>
    <row r="29" spans="1:7" x14ac:dyDescent="0.2">
      <c r="A29" s="25"/>
      <c r="C29" s="12"/>
      <c r="D29" s="12"/>
      <c r="E29" s="12"/>
      <c r="F29" s="12"/>
      <c r="G29" s="12"/>
    </row>
    <row r="30" spans="1:7" x14ac:dyDescent="0.2">
      <c r="A30" s="25"/>
      <c r="C30" s="12"/>
      <c r="D30" s="12"/>
      <c r="E30" s="12"/>
      <c r="F30" s="12"/>
      <c r="G30" s="12"/>
    </row>
    <row r="31" spans="1:7" x14ac:dyDescent="0.2">
      <c r="A31" s="25" t="s">
        <v>537</v>
      </c>
      <c r="C31" s="12">
        <f>'BS '!G36/'BS '!G12</f>
        <v>0.42352779433916699</v>
      </c>
      <c r="D31" s="12">
        <f>'BS '!H36/'BS '!H12</f>
        <v>0.39174674398147258</v>
      </c>
      <c r="E31" s="12">
        <f>'BS '!I36/'BS '!I12</f>
        <v>0.34285141058147667</v>
      </c>
      <c r="F31" s="12">
        <f>'BS '!J36/'BS '!J12</f>
        <v>0.33463235548077969</v>
      </c>
      <c r="G31" s="12">
        <f>'BS '!K36/'BS '!K12</f>
        <v>0.27166543383655922</v>
      </c>
    </row>
    <row r="32" spans="1:7" x14ac:dyDescent="0.2">
      <c r="A32" s="25" t="s">
        <v>538</v>
      </c>
      <c r="C32" s="12">
        <f>C4/'BS '!G36</f>
        <v>1.0748439277237338</v>
      </c>
      <c r="D32" s="12">
        <f>D4/'BS '!H36</f>
        <v>1.179553471956599</v>
      </c>
      <c r="E32" s="12">
        <f>E4/'BS '!I36</f>
        <v>1.3404949725771984</v>
      </c>
      <c r="F32" s="12">
        <f>F4/'BS '!J36</f>
        <v>1.4188050199976316</v>
      </c>
      <c r="G32" s="12">
        <f>G4/'BS '!K36</f>
        <v>1.9566105800012437</v>
      </c>
    </row>
    <row r="33" spans="1:7" x14ac:dyDescent="0.2">
      <c r="A33" s="25" t="s">
        <v>539</v>
      </c>
      <c r="C33" s="12">
        <f>C4/('Credit '!C4+'BS '!G36)</f>
        <v>0.51803603796981579</v>
      </c>
      <c r="D33" s="12">
        <f>D4/('Credit '!D4+'BS '!H36)</f>
        <v>0.5411904259901944</v>
      </c>
      <c r="E33" s="12">
        <f>E4/('Credit '!E4+'BS '!I36)</f>
        <v>0.57273994957619323</v>
      </c>
      <c r="F33" s="12">
        <f>F4/('Credit '!F4+'BS '!J36)</f>
        <v>0.58657271184223891</v>
      </c>
      <c r="G33" s="12">
        <f>G4/('Credit '!G4+'BS '!K36)</f>
        <v>0.66177486924924034</v>
      </c>
    </row>
    <row r="34" spans="1:7" x14ac:dyDescent="0.2">
      <c r="A34" s="25" t="s">
        <v>540</v>
      </c>
      <c r="C34" s="12">
        <f>C4/'BS '!G12</f>
        <v>0.45522627796768006</v>
      </c>
      <c r="D34" s="12">
        <f>D4/'BS '!H12</f>
        <v>0.46208623199103888</v>
      </c>
      <c r="E34" s="12">
        <f>E4/'BS '!I12</f>
        <v>0.45959059222547033</v>
      </c>
      <c r="F34" s="12">
        <f>F4/'BS '!J12</f>
        <v>0.47477806580976228</v>
      </c>
      <c r="G34" s="12">
        <f>G4/'BS '!K12</f>
        <v>0.53154346206523961</v>
      </c>
    </row>
    <row r="35" spans="1:7" x14ac:dyDescent="0.2">
      <c r="A35" s="25"/>
      <c r="C35" s="12"/>
      <c r="D35" s="12"/>
      <c r="E35" s="12"/>
      <c r="F35" s="12"/>
      <c r="G35" s="12"/>
    </row>
    <row r="36" spans="1:7" x14ac:dyDescent="0.2">
      <c r="A36" s="25" t="s">
        <v>541</v>
      </c>
      <c r="C36" s="12">
        <f>C2/'BS '!G36</f>
        <v>1.3611201280433229</v>
      </c>
      <c r="D36" s="12">
        <f>D2/'BS '!H36</f>
        <v>1.5526695891243818</v>
      </c>
      <c r="E36" s="12">
        <f>E2/'BS '!I36</f>
        <v>1.9167154316326074</v>
      </c>
      <c r="F36" s="12">
        <f>F2/'BS '!J36</f>
        <v>1.9883541851870834</v>
      </c>
      <c r="G36" s="12">
        <f>G2/'BS '!K36</f>
        <v>2.6809982995540951</v>
      </c>
    </row>
    <row r="37" spans="1:7" x14ac:dyDescent="0.2">
      <c r="A37" s="25" t="s">
        <v>542</v>
      </c>
      <c r="C37" s="12">
        <f>C2/(C2+'BS '!G36)</f>
        <v>0.57647220566083313</v>
      </c>
      <c r="D37" s="12">
        <f>D2/(D2+'BS '!H36)</f>
        <v>0.60825325601852742</v>
      </c>
      <c r="E37" s="12">
        <f>E2/(E2+'BS '!I36)</f>
        <v>0.65714858941852339</v>
      </c>
      <c r="F37" s="12">
        <f>F2/(F2+'BS '!J36)</f>
        <v>0.66536764451922015</v>
      </c>
      <c r="G37" s="12">
        <f>G2/(G2+'BS '!K36)</f>
        <v>0.72833456616344083</v>
      </c>
    </row>
    <row r="38" spans="1:7" x14ac:dyDescent="0.2">
      <c r="A38" s="25" t="s">
        <v>543</v>
      </c>
      <c r="C38" s="12">
        <f>C2/'BS '!G12</f>
        <v>0.57647220566083313</v>
      </c>
      <c r="D38" s="12">
        <f>D2/'BS '!H12</f>
        <v>0.60825325601852742</v>
      </c>
      <c r="E38" s="12">
        <f>E2/'BS '!I12</f>
        <v>0.65714858941852339</v>
      </c>
      <c r="F38" s="12">
        <f>F2/'BS '!J12</f>
        <v>0.66536764451922015</v>
      </c>
      <c r="G38" s="12">
        <f>G2/'BS '!K12</f>
        <v>0.72833456616344083</v>
      </c>
    </row>
    <row r="39" spans="1:7" x14ac:dyDescent="0.2">
      <c r="A39" s="25"/>
    </row>
    <row r="40" spans="1:7" x14ac:dyDescent="0.2">
      <c r="A40" s="25" t="s">
        <v>544</v>
      </c>
      <c r="C40" s="41">
        <f>C5/'BS '!G36</f>
        <v>1.3395506884319541</v>
      </c>
      <c r="D40" s="41">
        <f>D5/'BS '!H36</f>
        <v>1.5329958225947349</v>
      </c>
      <c r="E40" s="41">
        <f>E5/'BS '!I36</f>
        <v>1.8853275026053387</v>
      </c>
      <c r="F40" s="41">
        <f>F5/'BS '!J36</f>
        <v>1.9677183612369369</v>
      </c>
      <c r="G40" s="41">
        <f>G5/'BS '!K36</f>
        <v>2.6596945538981998</v>
      </c>
    </row>
    <row r="41" spans="1:7" x14ac:dyDescent="0.2">
      <c r="A41" s="25" t="s">
        <v>545</v>
      </c>
      <c r="C41" s="41">
        <f>C5/(C2+'BS '!G36)</f>
        <v>0.56733694847709826</v>
      </c>
      <c r="D41" s="41">
        <f>D5/(D2+'BS '!H36)</f>
        <v>0.60054612203868651</v>
      </c>
      <c r="E41" s="41">
        <f>E5/(E2+'BS '!I36)</f>
        <v>0.64638719367629294</v>
      </c>
      <c r="F41" s="41">
        <f>F5/(F2+'BS '!J36)</f>
        <v>0.65846223014349592</v>
      </c>
      <c r="G41" s="41">
        <f>G5/(G2+'BS '!K36)</f>
        <v>0.72254707485748826</v>
      </c>
    </row>
    <row r="42" spans="1:7" x14ac:dyDescent="0.2">
      <c r="A42" s="25"/>
    </row>
    <row r="43" spans="1:7" x14ac:dyDescent="0.2">
      <c r="A43" s="25" t="s">
        <v>23</v>
      </c>
      <c r="B43" s="40" t="e">
        <f t="shared" ref="B43:F43" si="5">B44+B45+B46</f>
        <v>#VALUE!</v>
      </c>
      <c r="C43" s="40" t="e">
        <f t="shared" si="5"/>
        <v>#VALUE!</v>
      </c>
      <c r="D43" s="40" t="e">
        <f t="shared" si="5"/>
        <v>#VALUE!</v>
      </c>
      <c r="E43" s="40" t="e">
        <f t="shared" si="5"/>
        <v>#VALUE!</v>
      </c>
      <c r="F43" s="40">
        <f t="shared" si="5"/>
        <v>798.45099999999991</v>
      </c>
      <c r="G43" s="40">
        <f>G44+G45+G46</f>
        <v>127.58299999999979</v>
      </c>
    </row>
    <row r="44" spans="1:7" x14ac:dyDescent="0.2">
      <c r="A44" s="25" t="s">
        <v>28</v>
      </c>
      <c r="B44" s="40">
        <f>'IS '!G7-'IS '!G14</f>
        <v>1020.5079999999998</v>
      </c>
      <c r="C44" s="40">
        <f>'IS '!H7-'IS '!H14</f>
        <v>1137.6329999999998</v>
      </c>
      <c r="D44" s="40">
        <f>'IS '!I7-'IS '!I14</f>
        <v>1030.3069999999998</v>
      </c>
      <c r="E44" s="40">
        <f>'IS '!J7-'IS '!J14</f>
        <v>1146.7439999999997</v>
      </c>
      <c r="F44" s="40">
        <f>'IS '!K7-'IS '!K14</f>
        <v>801.25499999999988</v>
      </c>
      <c r="G44" s="40">
        <f>'IS '!L7-'IS '!L14</f>
        <v>121.46099999999979</v>
      </c>
    </row>
    <row r="45" spans="1:7" x14ac:dyDescent="0.2">
      <c r="A45" s="25" t="s">
        <v>546</v>
      </c>
      <c r="B45" t="e">
        <f>'BS '!F104-'BS '!E104</f>
        <v>#VALUE!</v>
      </c>
      <c r="C45" t="e">
        <f>'BS '!G104-'BS '!F104</f>
        <v>#VALUE!</v>
      </c>
      <c r="D45" t="e">
        <f>'BS '!H104-'BS '!G104</f>
        <v>#VALUE!</v>
      </c>
      <c r="E45" t="e">
        <f>'BS '!I104-'BS '!H104</f>
        <v>#VALUE!</v>
      </c>
      <c r="F45">
        <f>'BS '!J62-'BS '!I62</f>
        <v>-0.73199999999999932</v>
      </c>
      <c r="G45">
        <f>'BS '!K62-'BS '!J62</f>
        <v>7.8440000000000012</v>
      </c>
    </row>
    <row r="46" spans="1:7" x14ac:dyDescent="0.2">
      <c r="A46" s="25" t="s">
        <v>547</v>
      </c>
      <c r="B46" t="e">
        <f>'BS '!F105-'BS '!E105</f>
        <v>#VALUE!</v>
      </c>
      <c r="C46">
        <f>'BS '!G105-'BS '!F105</f>
        <v>13.653999999999996</v>
      </c>
      <c r="D46" t="e">
        <f>'BS '!H105-'BS '!G105</f>
        <v>#VALUE!</v>
      </c>
      <c r="E46" t="e">
        <f>'BS '!I105-'BS '!H105</f>
        <v>#VALUE!</v>
      </c>
      <c r="F46">
        <f>'BS '!J105-'BS '!I105</f>
        <v>-2.072000000000001</v>
      </c>
      <c r="G46">
        <f>'BS '!K105-'BS '!J105</f>
        <v>-1.7219999999999995</v>
      </c>
    </row>
    <row r="48" spans="1:7" x14ac:dyDescent="0.2">
      <c r="A48" s="44"/>
    </row>
    <row r="49" spans="1:9" x14ac:dyDescent="0.2">
      <c r="A49" s="44" t="s">
        <v>554</v>
      </c>
      <c r="C49">
        <f>'BS '!G17</f>
        <v>82.741</v>
      </c>
      <c r="D49">
        <f>'BS '!H17</f>
        <v>102.633</v>
      </c>
      <c r="E49">
        <f>'BS '!I17</f>
        <v>134.767</v>
      </c>
      <c r="F49">
        <f>'BS '!J17</f>
        <v>81.453999999999994</v>
      </c>
      <c r="G49">
        <f>'BS '!K17</f>
        <v>108.43600000000001</v>
      </c>
    </row>
    <row r="50" spans="1:9" x14ac:dyDescent="0.2">
      <c r="A50" s="44" t="s">
        <v>555</v>
      </c>
      <c r="C50">
        <f>'BS '!G25</f>
        <v>553.77200000000005</v>
      </c>
      <c r="D50">
        <f>'BS '!H25</f>
        <v>714.548</v>
      </c>
      <c r="E50">
        <f>'BS '!I25</f>
        <v>965.86</v>
      </c>
      <c r="F50">
        <f>'BS '!J25</f>
        <v>715.49</v>
      </c>
      <c r="G50">
        <f>'BS '!K25</f>
        <v>796.54100000000005</v>
      </c>
    </row>
    <row r="52" spans="1:9" x14ac:dyDescent="0.2">
      <c r="C52">
        <f t="shared" ref="C52:G52" si="6">(C49-C50)-(B49-B50)</f>
        <v>-471.03100000000006</v>
      </c>
      <c r="D52">
        <f t="shared" si="6"/>
        <v>-140.8839999999999</v>
      </c>
      <c r="E52">
        <f t="shared" si="6"/>
        <v>-219.17800000000011</v>
      </c>
      <c r="F52">
        <f t="shared" si="6"/>
        <v>197.05700000000002</v>
      </c>
      <c r="G52">
        <f>(G49-G50)-(F49-F50)</f>
        <v>-54.06899999999996</v>
      </c>
    </row>
    <row r="54" spans="1:9" x14ac:dyDescent="0.2">
      <c r="A54" t="s">
        <v>553</v>
      </c>
      <c r="C54" t="e">
        <f>(-1*C52)+'CFS '!H9+'IS '!H32</f>
        <v>#VALUE!</v>
      </c>
      <c r="D54" t="e">
        <f>(-1*D52)+'CFS '!I9+'IS '!I32</f>
        <v>#VALUE!</v>
      </c>
      <c r="E54">
        <f>(-1*E52)+'CFS '!J9+'IS '!J32</f>
        <v>989.41300000000001</v>
      </c>
      <c r="F54">
        <f>(-1*F52)+'CFS '!K9+'IS '!K32</f>
        <v>294.875</v>
      </c>
      <c r="G54">
        <f>(-1*G52)+'CFS '!L9+'IS '!L32</f>
        <v>-30.472000000000065</v>
      </c>
      <c r="H54" s="2">
        <f t="shared" ref="H54" si="7">F54/E54-1</f>
        <v>-0.70196975378330384</v>
      </c>
      <c r="I54" s="2">
        <f>G54/F54-1</f>
        <v>-1.1033387028401866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0880-C997-CF45-A33F-FD0821D05399}">
  <dimension ref="A1:P121"/>
  <sheetViews>
    <sheetView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6" x14ac:dyDescent="0.2"/>
  <cols>
    <col min="1" max="1" width="50.5" customWidth="1"/>
  </cols>
  <sheetData>
    <row r="1" spans="1:16" x14ac:dyDescent="0.2">
      <c r="A1" t="s">
        <v>145</v>
      </c>
    </row>
    <row r="3" spans="1:16" x14ac:dyDescent="0.2">
      <c r="A3" t="s">
        <v>146</v>
      </c>
      <c r="B3" t="s">
        <v>147</v>
      </c>
      <c r="C3" t="s">
        <v>148</v>
      </c>
      <c r="D3" t="s">
        <v>149</v>
      </c>
      <c r="E3" t="s">
        <v>150</v>
      </c>
      <c r="F3" t="s">
        <v>151</v>
      </c>
      <c r="G3" t="s">
        <v>152</v>
      </c>
      <c r="H3" t="s">
        <v>153</v>
      </c>
      <c r="I3" t="s">
        <v>154</v>
      </c>
      <c r="J3" t="s">
        <v>155</v>
      </c>
      <c r="K3" t="s">
        <v>156</v>
      </c>
    </row>
    <row r="4" spans="1:16" x14ac:dyDescent="0.2">
      <c r="A4" t="s">
        <v>157</v>
      </c>
      <c r="B4" t="s">
        <v>158</v>
      </c>
      <c r="C4" t="s">
        <v>159</v>
      </c>
      <c r="D4" t="s">
        <v>160</v>
      </c>
      <c r="E4" t="s">
        <v>161</v>
      </c>
      <c r="F4" t="s">
        <v>162</v>
      </c>
      <c r="G4" t="s">
        <v>163</v>
      </c>
      <c r="H4" t="s">
        <v>164</v>
      </c>
      <c r="I4" t="s">
        <v>165</v>
      </c>
      <c r="J4" t="s">
        <v>166</v>
      </c>
      <c r="K4" t="s">
        <v>167</v>
      </c>
    </row>
    <row r="5" spans="1:16" x14ac:dyDescent="0.2">
      <c r="A5" t="s">
        <v>144</v>
      </c>
    </row>
    <row r="6" spans="1:16" x14ac:dyDescent="0.2">
      <c r="A6" t="s">
        <v>443</v>
      </c>
    </row>
    <row r="7" spans="1:16" x14ac:dyDescent="0.2">
      <c r="A7" t="s">
        <v>129</v>
      </c>
      <c r="B7">
        <v>101.911</v>
      </c>
      <c r="C7">
        <v>0</v>
      </c>
      <c r="D7">
        <v>53.591000000000001</v>
      </c>
      <c r="E7">
        <v>53.591000000000001</v>
      </c>
      <c r="F7">
        <v>53.591000000000001</v>
      </c>
      <c r="G7" t="s">
        <v>171</v>
      </c>
      <c r="H7" t="s">
        <v>171</v>
      </c>
      <c r="I7" t="s">
        <v>171</v>
      </c>
      <c r="J7" t="s">
        <v>171</v>
      </c>
      <c r="K7">
        <v>105.54900000000001</v>
      </c>
    </row>
    <row r="8" spans="1:16" x14ac:dyDescent="0.2">
      <c r="A8" t="s">
        <v>444</v>
      </c>
      <c r="B8">
        <v>310.52499999999998</v>
      </c>
      <c r="C8" t="s">
        <v>171</v>
      </c>
      <c r="D8" t="s">
        <v>171</v>
      </c>
      <c r="E8" t="s">
        <v>171</v>
      </c>
      <c r="F8" t="s">
        <v>171</v>
      </c>
      <c r="G8" t="s">
        <v>171</v>
      </c>
      <c r="H8" t="s">
        <v>171</v>
      </c>
      <c r="I8" t="s">
        <v>171</v>
      </c>
      <c r="J8" t="s">
        <v>171</v>
      </c>
      <c r="K8" t="s">
        <v>171</v>
      </c>
    </row>
    <row r="9" spans="1:16" x14ac:dyDescent="0.2">
      <c r="A9" t="s">
        <v>445</v>
      </c>
      <c r="B9" t="s">
        <v>171</v>
      </c>
      <c r="C9">
        <v>76.03</v>
      </c>
      <c r="D9">
        <v>76.034000000000006</v>
      </c>
      <c r="E9">
        <v>92.061000000000007</v>
      </c>
      <c r="F9">
        <v>80.531999999999996</v>
      </c>
      <c r="G9">
        <v>99.671000000000006</v>
      </c>
      <c r="H9">
        <v>94.228999999999999</v>
      </c>
      <c r="I9">
        <v>172.822</v>
      </c>
      <c r="J9">
        <v>116.761</v>
      </c>
      <c r="K9">
        <v>104.812</v>
      </c>
    </row>
    <row r="10" spans="1:16" x14ac:dyDescent="0.2">
      <c r="A10" t="s">
        <v>446</v>
      </c>
      <c r="B10">
        <v>6.117</v>
      </c>
      <c r="C10">
        <v>61.311999999999998</v>
      </c>
      <c r="D10">
        <v>52.609000000000002</v>
      </c>
      <c r="E10">
        <v>55.34</v>
      </c>
      <c r="F10">
        <v>45.488</v>
      </c>
      <c r="G10">
        <v>45.220999999999997</v>
      </c>
      <c r="H10">
        <v>39.091000000000001</v>
      </c>
      <c r="I10">
        <v>30.04</v>
      </c>
      <c r="J10">
        <v>305.798</v>
      </c>
      <c r="K10">
        <v>398.71</v>
      </c>
    </row>
    <row r="11" spans="1:16" x14ac:dyDescent="0.2">
      <c r="A11" t="s">
        <v>447</v>
      </c>
      <c r="B11">
        <v>55.25</v>
      </c>
      <c r="C11">
        <v>170.86799999999999</v>
      </c>
      <c r="D11">
        <v>129.40799999999999</v>
      </c>
      <c r="E11">
        <v>122.28</v>
      </c>
      <c r="F11">
        <v>106.229</v>
      </c>
      <c r="G11">
        <v>68.233000000000004</v>
      </c>
      <c r="H11">
        <v>65.597999999999999</v>
      </c>
      <c r="I11">
        <v>67.715000000000003</v>
      </c>
      <c r="J11">
        <v>31.91</v>
      </c>
      <c r="K11">
        <v>30.591000000000001</v>
      </c>
    </row>
    <row r="12" spans="1:16" x14ac:dyDescent="0.2">
      <c r="A12" t="s">
        <v>128</v>
      </c>
      <c r="B12">
        <v>4970.165</v>
      </c>
      <c r="C12">
        <v>7419.3329999999996</v>
      </c>
      <c r="D12">
        <v>7821.7860000000001</v>
      </c>
      <c r="E12">
        <v>8960.77</v>
      </c>
      <c r="F12">
        <v>10656.289000000001</v>
      </c>
      <c r="G12">
        <v>10910.584999999999</v>
      </c>
      <c r="H12">
        <v>12226.205</v>
      </c>
      <c r="I12">
        <v>16059.441000000001</v>
      </c>
      <c r="J12">
        <v>16908.616000000002</v>
      </c>
      <c r="K12">
        <v>18110.092000000001</v>
      </c>
      <c r="L12" s="2">
        <f t="shared" ref="L12:O12" si="0">G12/F12-1</f>
        <v>2.3863466916109299E-2</v>
      </c>
      <c r="M12" s="2">
        <f t="shared" si="0"/>
        <v>0.12058198529226449</v>
      </c>
      <c r="N12" s="2">
        <f t="shared" si="0"/>
        <v>0.31352623320155359</v>
      </c>
      <c r="O12" s="2">
        <f t="shared" si="0"/>
        <v>5.2876996154473943E-2</v>
      </c>
      <c r="P12" s="2">
        <f>K12/J12-1</f>
        <v>7.1057027967279973E-2</v>
      </c>
    </row>
    <row r="13" spans="1:16" x14ac:dyDescent="0.2">
      <c r="A13" t="s">
        <v>448</v>
      </c>
      <c r="B13">
        <v>14.617000000000001</v>
      </c>
      <c r="C13">
        <v>68</v>
      </c>
      <c r="D13">
        <v>106.961</v>
      </c>
      <c r="E13">
        <v>156.655</v>
      </c>
      <c r="F13">
        <v>211.65100000000001</v>
      </c>
      <c r="G13">
        <v>144.69900000000001</v>
      </c>
      <c r="H13">
        <v>124.139</v>
      </c>
      <c r="I13">
        <v>95.748000000000005</v>
      </c>
      <c r="J13">
        <v>129.083</v>
      </c>
      <c r="K13">
        <v>218.999</v>
      </c>
    </row>
    <row r="14" spans="1:16" x14ac:dyDescent="0.2">
      <c r="A14" t="s">
        <v>449</v>
      </c>
      <c r="B14">
        <v>0</v>
      </c>
      <c r="C14" t="s">
        <v>171</v>
      </c>
      <c r="D14" t="s">
        <v>171</v>
      </c>
      <c r="E14" t="s">
        <v>171</v>
      </c>
      <c r="F14" t="s">
        <v>171</v>
      </c>
      <c r="G14" t="s">
        <v>171</v>
      </c>
      <c r="H14" t="s">
        <v>171</v>
      </c>
      <c r="I14" t="s">
        <v>171</v>
      </c>
      <c r="J14" t="s">
        <v>171</v>
      </c>
      <c r="K14" t="s">
        <v>171</v>
      </c>
    </row>
    <row r="15" spans="1:16" x14ac:dyDescent="0.2">
      <c r="A15" t="s">
        <v>450</v>
      </c>
      <c r="B15">
        <v>53.988</v>
      </c>
      <c r="C15" t="s">
        <v>171</v>
      </c>
      <c r="D15" t="s">
        <v>171</v>
      </c>
      <c r="E15" t="s">
        <v>171</v>
      </c>
      <c r="F15" t="s">
        <v>171</v>
      </c>
      <c r="G15" t="s">
        <v>171</v>
      </c>
      <c r="H15" t="s">
        <v>171</v>
      </c>
      <c r="I15" t="s">
        <v>171</v>
      </c>
      <c r="J15" t="s">
        <v>171</v>
      </c>
      <c r="K15" t="s">
        <v>171</v>
      </c>
    </row>
    <row r="16" spans="1:16" x14ac:dyDescent="0.2">
      <c r="A16" t="s">
        <v>451</v>
      </c>
      <c r="B16">
        <v>4427.7569999999996</v>
      </c>
      <c r="C16" t="s">
        <v>171</v>
      </c>
      <c r="D16" t="s">
        <v>171</v>
      </c>
      <c r="E16" t="s">
        <v>171</v>
      </c>
      <c r="F16" t="s">
        <v>171</v>
      </c>
      <c r="G16" t="s">
        <v>171</v>
      </c>
      <c r="H16" t="s">
        <v>171</v>
      </c>
      <c r="I16" t="s">
        <v>171</v>
      </c>
      <c r="J16" t="s">
        <v>171</v>
      </c>
      <c r="K16" t="s">
        <v>171</v>
      </c>
    </row>
    <row r="17" spans="1:16" x14ac:dyDescent="0.2">
      <c r="A17" t="s">
        <v>452</v>
      </c>
      <c r="B17" t="s">
        <v>171</v>
      </c>
      <c r="C17">
        <v>27.57</v>
      </c>
      <c r="D17">
        <v>17.25</v>
      </c>
      <c r="E17">
        <v>17.966999999999999</v>
      </c>
      <c r="F17">
        <v>19.074000000000002</v>
      </c>
      <c r="G17">
        <v>82.741</v>
      </c>
      <c r="H17">
        <v>102.633</v>
      </c>
      <c r="I17">
        <v>134.767</v>
      </c>
      <c r="J17">
        <v>81.453999999999994</v>
      </c>
      <c r="K17">
        <v>108.43600000000001</v>
      </c>
    </row>
    <row r="18" spans="1:16" x14ac:dyDescent="0.2">
      <c r="A18" t="s">
        <v>453</v>
      </c>
      <c r="B18" t="s">
        <v>171</v>
      </c>
      <c r="C18" t="s">
        <v>171</v>
      </c>
      <c r="D18" t="s">
        <v>171</v>
      </c>
      <c r="E18" t="s">
        <v>171</v>
      </c>
      <c r="F18" t="s">
        <v>171</v>
      </c>
      <c r="G18" t="s">
        <v>171</v>
      </c>
      <c r="H18" t="s">
        <v>171</v>
      </c>
      <c r="I18" t="s">
        <v>171</v>
      </c>
      <c r="J18" t="s">
        <v>171</v>
      </c>
      <c r="K18" t="s">
        <v>171</v>
      </c>
    </row>
    <row r="19" spans="1:16" x14ac:dyDescent="0.2">
      <c r="A19" t="s">
        <v>454</v>
      </c>
    </row>
    <row r="20" spans="1:16" x14ac:dyDescent="0.2">
      <c r="A20" t="s">
        <v>455</v>
      </c>
      <c r="B20" t="s">
        <v>171</v>
      </c>
      <c r="C20">
        <v>2.0059999999999998</v>
      </c>
      <c r="D20">
        <v>0.80800000000000005</v>
      </c>
      <c r="E20">
        <v>5.29</v>
      </c>
      <c r="F20">
        <v>3.2050000000000001</v>
      </c>
      <c r="G20">
        <v>0.80500000000000005</v>
      </c>
      <c r="H20">
        <v>0</v>
      </c>
      <c r="I20">
        <v>5.1680000000000001</v>
      </c>
      <c r="J20">
        <v>0.33900000000000002</v>
      </c>
      <c r="K20">
        <v>18.902999999999999</v>
      </c>
    </row>
    <row r="21" spans="1:16" x14ac:dyDescent="0.2">
      <c r="A21" t="s">
        <v>112</v>
      </c>
      <c r="B21">
        <v>1465.8979999999999</v>
      </c>
      <c r="C21">
        <v>3295.931</v>
      </c>
      <c r="D21">
        <v>3935.634</v>
      </c>
      <c r="E21">
        <v>4690.2780000000002</v>
      </c>
      <c r="F21">
        <v>6581.6270000000004</v>
      </c>
      <c r="G21">
        <v>6289.6490000000003</v>
      </c>
      <c r="H21">
        <v>7436.6289999999999</v>
      </c>
      <c r="I21">
        <v>10553.439</v>
      </c>
      <c r="J21">
        <v>11250.446</v>
      </c>
      <c r="K21">
        <v>13190.206</v>
      </c>
      <c r="L21" s="2">
        <f t="shared" ref="L21:O21" si="1">G21/F21-1</f>
        <v>-4.4362586940888682E-2</v>
      </c>
      <c r="M21" s="2">
        <f t="shared" si="1"/>
        <v>0.18235993773261416</v>
      </c>
      <c r="N21" s="2">
        <f t="shared" si="1"/>
        <v>0.41911597311093507</v>
      </c>
      <c r="O21" s="2">
        <f t="shared" si="1"/>
        <v>6.6045485267882675E-2</v>
      </c>
      <c r="P21" s="2">
        <f>K21/J21-1</f>
        <v>0.17241627576364538</v>
      </c>
    </row>
    <row r="22" spans="1:16" x14ac:dyDescent="0.2">
      <c r="A22" t="s">
        <v>456</v>
      </c>
      <c r="B22">
        <v>1044.2439999999999</v>
      </c>
      <c r="C22">
        <v>2768.4119999999998</v>
      </c>
      <c r="D22">
        <v>3394.116</v>
      </c>
      <c r="E22">
        <v>3984.607</v>
      </c>
      <c r="F22">
        <v>5329.3190000000004</v>
      </c>
      <c r="G22">
        <v>4966.7849999999999</v>
      </c>
      <c r="H22">
        <v>5649.5609999999997</v>
      </c>
      <c r="I22">
        <v>7380.768</v>
      </c>
      <c r="J22">
        <v>8027.84</v>
      </c>
      <c r="K22">
        <v>9626.3009999999995</v>
      </c>
    </row>
    <row r="23" spans="1:16" x14ac:dyDescent="0.2">
      <c r="A23" t="s">
        <v>113</v>
      </c>
      <c r="B23">
        <v>42.292999999999999</v>
      </c>
      <c r="C23">
        <v>44.667000000000002</v>
      </c>
      <c r="D23">
        <v>39.225000000000001</v>
      </c>
      <c r="E23">
        <v>27.318999999999999</v>
      </c>
      <c r="F23">
        <v>27.027999999999999</v>
      </c>
      <c r="G23">
        <v>21.721</v>
      </c>
      <c r="H23">
        <v>18.838000000000001</v>
      </c>
      <c r="I23">
        <v>21.521999999999998</v>
      </c>
      <c r="J23">
        <v>18.475999999999999</v>
      </c>
      <c r="K23">
        <v>15.853</v>
      </c>
    </row>
    <row r="24" spans="1:16" x14ac:dyDescent="0.2">
      <c r="A24" t="s">
        <v>457</v>
      </c>
      <c r="B24">
        <v>205.62700000000001</v>
      </c>
      <c r="C24" t="s">
        <v>171</v>
      </c>
      <c r="D24" t="s">
        <v>171</v>
      </c>
      <c r="E24" t="s">
        <v>171</v>
      </c>
      <c r="F24" t="s">
        <v>171</v>
      </c>
      <c r="G24" t="s">
        <v>171</v>
      </c>
      <c r="H24" t="s">
        <v>171</v>
      </c>
      <c r="I24" t="s">
        <v>171</v>
      </c>
      <c r="J24" t="s">
        <v>171</v>
      </c>
      <c r="K24" t="s">
        <v>171</v>
      </c>
    </row>
    <row r="25" spans="1:16" x14ac:dyDescent="0.2">
      <c r="A25" t="s">
        <v>458</v>
      </c>
      <c r="B25">
        <v>127.217</v>
      </c>
      <c r="C25">
        <v>175.49299999999999</v>
      </c>
      <c r="D25">
        <v>294.416</v>
      </c>
      <c r="E25">
        <v>261.75099999999998</v>
      </c>
      <c r="F25">
        <v>492.22500000000002</v>
      </c>
      <c r="G25">
        <v>553.77200000000005</v>
      </c>
      <c r="H25">
        <v>714.548</v>
      </c>
      <c r="I25">
        <v>965.86</v>
      </c>
      <c r="J25">
        <v>715.49</v>
      </c>
      <c r="K25">
        <v>796.54100000000005</v>
      </c>
    </row>
    <row r="26" spans="1:16" x14ac:dyDescent="0.2">
      <c r="A26" t="s">
        <v>459</v>
      </c>
      <c r="B26" t="s">
        <v>171</v>
      </c>
      <c r="C26">
        <v>77.364000000000004</v>
      </c>
      <c r="D26">
        <v>0</v>
      </c>
      <c r="E26">
        <v>0</v>
      </c>
      <c r="F26" t="s">
        <v>171</v>
      </c>
      <c r="G26" t="s">
        <v>171</v>
      </c>
      <c r="H26" t="s">
        <v>171</v>
      </c>
      <c r="I26" t="s">
        <v>171</v>
      </c>
      <c r="J26" t="s">
        <v>171</v>
      </c>
      <c r="K26" t="s">
        <v>171</v>
      </c>
    </row>
    <row r="27" spans="1:16" x14ac:dyDescent="0.2">
      <c r="A27" t="s">
        <v>460</v>
      </c>
      <c r="B27" t="s">
        <v>171</v>
      </c>
      <c r="C27" t="s">
        <v>171</v>
      </c>
      <c r="D27" t="s">
        <v>171</v>
      </c>
      <c r="E27" t="s">
        <v>171</v>
      </c>
      <c r="F27" t="s">
        <v>171</v>
      </c>
      <c r="G27">
        <v>15.39</v>
      </c>
      <c r="H27">
        <v>152.85499999999999</v>
      </c>
      <c r="I27">
        <v>808.62099999999998</v>
      </c>
      <c r="J27">
        <v>1201.095</v>
      </c>
      <c r="K27">
        <v>980.51900000000001</v>
      </c>
    </row>
    <row r="28" spans="1:16" x14ac:dyDescent="0.2">
      <c r="A28" t="s">
        <v>461</v>
      </c>
      <c r="B28">
        <v>46.517000000000003</v>
      </c>
      <c r="C28" t="s">
        <v>171</v>
      </c>
      <c r="D28" t="s">
        <v>171</v>
      </c>
      <c r="E28" t="s">
        <v>171</v>
      </c>
      <c r="F28" t="s">
        <v>171</v>
      </c>
      <c r="G28" t="s">
        <v>171</v>
      </c>
      <c r="H28" t="s">
        <v>171</v>
      </c>
      <c r="I28" t="s">
        <v>171</v>
      </c>
      <c r="J28" t="s">
        <v>171</v>
      </c>
      <c r="K28" t="s">
        <v>171</v>
      </c>
    </row>
    <row r="29" spans="1:16" x14ac:dyDescent="0.2">
      <c r="A29" t="s">
        <v>462</v>
      </c>
      <c r="B29" t="s">
        <v>171</v>
      </c>
      <c r="C29">
        <v>73.494</v>
      </c>
      <c r="D29">
        <v>99.373000000000005</v>
      </c>
      <c r="E29">
        <v>182.87899999999999</v>
      </c>
      <c r="F29">
        <v>232.13200000000001</v>
      </c>
      <c r="G29">
        <v>239.74299999999999</v>
      </c>
      <c r="H29">
        <v>103.057</v>
      </c>
      <c r="I29">
        <v>96.268000000000001</v>
      </c>
      <c r="J29">
        <v>68.426000000000002</v>
      </c>
      <c r="K29">
        <v>116.133</v>
      </c>
    </row>
    <row r="30" spans="1:16" x14ac:dyDescent="0.2">
      <c r="A30" t="s">
        <v>463</v>
      </c>
    </row>
    <row r="31" spans="1:16" x14ac:dyDescent="0.2">
      <c r="A31" t="s">
        <v>464</v>
      </c>
      <c r="B31">
        <v>96.706999999999994</v>
      </c>
      <c r="C31">
        <v>148.791</v>
      </c>
      <c r="D31">
        <v>192.79900000000001</v>
      </c>
      <c r="E31">
        <v>313.30900000000003</v>
      </c>
      <c r="F31">
        <v>316.392</v>
      </c>
      <c r="G31">
        <v>390.82299999999998</v>
      </c>
      <c r="H31">
        <v>417.81900000000002</v>
      </c>
      <c r="I31">
        <v>439.15199999999999</v>
      </c>
      <c r="J31">
        <v>465.93299999999999</v>
      </c>
      <c r="K31">
        <v>442.83100000000002</v>
      </c>
    </row>
    <row r="32" spans="1:16" x14ac:dyDescent="0.2">
      <c r="A32" t="s">
        <v>110</v>
      </c>
      <c r="B32">
        <v>959.55399999999997</v>
      </c>
      <c r="C32">
        <v>989.48699999999997</v>
      </c>
      <c r="D32" t="s">
        <v>171</v>
      </c>
      <c r="E32" t="s">
        <v>171</v>
      </c>
      <c r="F32" t="s">
        <v>171</v>
      </c>
      <c r="G32" t="s">
        <v>171</v>
      </c>
      <c r="H32" t="s">
        <v>171</v>
      </c>
      <c r="I32" t="s">
        <v>171</v>
      </c>
      <c r="J32" t="s">
        <v>171</v>
      </c>
      <c r="K32" t="s">
        <v>171</v>
      </c>
    </row>
    <row r="33" spans="1:16" x14ac:dyDescent="0.2">
      <c r="A33" t="s">
        <v>465</v>
      </c>
      <c r="B33">
        <v>2522.6660000000002</v>
      </c>
      <c r="C33">
        <v>3197.5340000000001</v>
      </c>
      <c r="D33">
        <v>3383.9830000000002</v>
      </c>
      <c r="E33">
        <v>3709.308</v>
      </c>
      <c r="F33">
        <v>3500.317</v>
      </c>
      <c r="G33">
        <v>3823.28</v>
      </c>
      <c r="H33">
        <v>4133.3140000000003</v>
      </c>
      <c r="I33">
        <v>4421.5680000000002</v>
      </c>
      <c r="J33">
        <v>4442.2089999999998</v>
      </c>
      <c r="K33">
        <v>3725.8229999999999</v>
      </c>
    </row>
    <row r="34" spans="1:16" x14ac:dyDescent="0.2">
      <c r="A34" t="s">
        <v>466</v>
      </c>
      <c r="B34">
        <v>2167</v>
      </c>
      <c r="C34" t="s">
        <v>171</v>
      </c>
      <c r="D34" t="s">
        <v>171</v>
      </c>
      <c r="E34" t="s">
        <v>171</v>
      </c>
      <c r="F34" t="s">
        <v>171</v>
      </c>
      <c r="G34" t="s">
        <v>171</v>
      </c>
      <c r="H34" t="s">
        <v>171</v>
      </c>
      <c r="I34" t="s">
        <v>171</v>
      </c>
      <c r="J34" t="s">
        <v>171</v>
      </c>
      <c r="K34" t="s">
        <v>171</v>
      </c>
    </row>
    <row r="35" spans="1:16" x14ac:dyDescent="0.2">
      <c r="A35" t="s">
        <v>467</v>
      </c>
      <c r="B35" t="s">
        <v>171</v>
      </c>
      <c r="C35" t="s">
        <v>171</v>
      </c>
      <c r="D35">
        <v>875.63900000000001</v>
      </c>
      <c r="E35">
        <v>849.84500000000003</v>
      </c>
      <c r="F35">
        <v>862.62099999999998</v>
      </c>
      <c r="G35">
        <v>862.62099999999998</v>
      </c>
      <c r="H35">
        <v>872.16899999999998</v>
      </c>
      <c r="I35">
        <v>882.22400000000005</v>
      </c>
      <c r="J35">
        <v>899.57100000000003</v>
      </c>
      <c r="K35">
        <v>917.90899999999999</v>
      </c>
    </row>
    <row r="36" spans="1:16" x14ac:dyDescent="0.2">
      <c r="A36" t="s">
        <v>468</v>
      </c>
      <c r="B36">
        <v>3504.2669999999998</v>
      </c>
      <c r="C36">
        <v>4123.402</v>
      </c>
      <c r="D36">
        <v>3886.152</v>
      </c>
      <c r="E36">
        <v>4270.4920000000002</v>
      </c>
      <c r="F36">
        <v>4074.6619999999998</v>
      </c>
      <c r="G36">
        <v>4620.9359999999997</v>
      </c>
      <c r="H36">
        <v>4789.576</v>
      </c>
      <c r="I36">
        <v>5506.0020000000004</v>
      </c>
      <c r="J36">
        <v>5658.17</v>
      </c>
      <c r="K36">
        <v>4919.8860000000004</v>
      </c>
      <c r="L36" s="43">
        <f t="shared" ref="L36:P36" si="2">L12-L21</f>
        <v>6.8226053856997981E-2</v>
      </c>
      <c r="M36" s="43">
        <f t="shared" si="2"/>
        <v>-6.177795244034967E-2</v>
      </c>
      <c r="N36" s="43">
        <f t="shared" si="2"/>
        <v>-0.10558973990938147</v>
      </c>
      <c r="O36" s="43">
        <f t="shared" si="2"/>
        <v>-1.3168489113408732E-2</v>
      </c>
      <c r="P36" s="43">
        <f>P12-P21</f>
        <v>-0.1013592477963654</v>
      </c>
    </row>
    <row r="37" spans="1:16" x14ac:dyDescent="0.2">
      <c r="A37" t="s">
        <v>469</v>
      </c>
      <c r="B37" t="s">
        <v>171</v>
      </c>
      <c r="C37" t="s">
        <v>171</v>
      </c>
      <c r="D37" t="s">
        <v>171</v>
      </c>
      <c r="E37" t="s">
        <v>171</v>
      </c>
      <c r="F37" t="s">
        <v>171</v>
      </c>
      <c r="G37">
        <v>-675.88499999999999</v>
      </c>
      <c r="H37">
        <v>-885.673</v>
      </c>
      <c r="I37">
        <v>-557.34100000000001</v>
      </c>
      <c r="J37">
        <v>-492.65300000000002</v>
      </c>
      <c r="K37">
        <v>-662.55</v>
      </c>
      <c r="L37" s="2">
        <f t="shared" ref="L37:O37" si="3">G36/F36-1</f>
        <v>0.13406608940815201</v>
      </c>
      <c r="M37" s="2">
        <f t="shared" si="3"/>
        <v>3.6494770756400952E-2</v>
      </c>
      <c r="N37" s="2">
        <f t="shared" si="3"/>
        <v>0.14958025512070394</v>
      </c>
      <c r="O37" s="2">
        <f t="shared" si="3"/>
        <v>2.7636749859516918E-2</v>
      </c>
      <c r="P37" s="2">
        <f>K36/J36-1</f>
        <v>-0.13048105659603715</v>
      </c>
    </row>
    <row r="38" spans="1:16" x14ac:dyDescent="0.2">
      <c r="A38" t="s">
        <v>470</v>
      </c>
      <c r="B38" t="s">
        <v>171</v>
      </c>
      <c r="C38">
        <v>-254.29300000000001</v>
      </c>
      <c r="D38">
        <v>-634.29300000000001</v>
      </c>
      <c r="E38">
        <v>-680.41700000000003</v>
      </c>
      <c r="F38">
        <v>-696.27599999999995</v>
      </c>
      <c r="G38">
        <v>0</v>
      </c>
      <c r="H38">
        <v>5.8170000000000002</v>
      </c>
      <c r="I38">
        <v>15.247999999999999</v>
      </c>
      <c r="J38">
        <v>-13.144</v>
      </c>
      <c r="K38">
        <v>83.92</v>
      </c>
    </row>
    <row r="39" spans="1:16" x14ac:dyDescent="0.2">
      <c r="A39" t="s">
        <v>471</v>
      </c>
      <c r="B39" t="s">
        <v>171</v>
      </c>
      <c r="C39">
        <v>19.704999999999998</v>
      </c>
      <c r="D39">
        <v>35.835000000000001</v>
      </c>
      <c r="E39">
        <v>38.840000000000003</v>
      </c>
      <c r="F39">
        <v>18.088999999999999</v>
      </c>
      <c r="G39">
        <v>24.303999999999998</v>
      </c>
      <c r="H39">
        <v>31.295000000000002</v>
      </c>
      <c r="I39">
        <v>39.906999999999996</v>
      </c>
      <c r="J39">
        <v>42.473999999999997</v>
      </c>
      <c r="K39">
        <v>34.832000000000001</v>
      </c>
    </row>
    <row r="40" spans="1:16" x14ac:dyDescent="0.2">
      <c r="A40" t="s">
        <v>472</v>
      </c>
      <c r="B40">
        <v>2.6960000000000002</v>
      </c>
      <c r="C40">
        <v>22.178000000000001</v>
      </c>
      <c r="D40">
        <v>32.189</v>
      </c>
      <c r="E40">
        <v>39.606999999999999</v>
      </c>
      <c r="F40">
        <v>73.519000000000005</v>
      </c>
      <c r="G40">
        <v>195.79300000000001</v>
      </c>
      <c r="H40">
        <v>214.83500000000001</v>
      </c>
      <c r="I40">
        <v>265.24400000000003</v>
      </c>
      <c r="J40">
        <v>313.77999999999997</v>
      </c>
      <c r="K40">
        <v>377.12099999999998</v>
      </c>
    </row>
    <row r="41" spans="1:16" x14ac:dyDescent="0.2">
      <c r="A41" t="s">
        <v>473</v>
      </c>
      <c r="B41">
        <v>3407.56</v>
      </c>
      <c r="C41">
        <v>3974.6109999999999</v>
      </c>
      <c r="D41">
        <v>3693.3530000000001</v>
      </c>
      <c r="E41">
        <v>3957.183</v>
      </c>
      <c r="F41">
        <v>3758.27</v>
      </c>
      <c r="G41">
        <v>4230.1130000000003</v>
      </c>
      <c r="H41">
        <v>4371.7569999999996</v>
      </c>
      <c r="I41">
        <v>5066.8500000000004</v>
      </c>
      <c r="J41">
        <v>5192.2370000000001</v>
      </c>
      <c r="K41">
        <v>4477.0550000000003</v>
      </c>
    </row>
    <row r="42" spans="1:16" x14ac:dyDescent="0.2">
      <c r="A42" t="s">
        <v>474</v>
      </c>
      <c r="B42">
        <v>-77.355999999999995</v>
      </c>
      <c r="C42" t="s">
        <v>171</v>
      </c>
      <c r="D42" t="s">
        <v>171</v>
      </c>
      <c r="E42" t="s">
        <v>171</v>
      </c>
      <c r="F42" t="s">
        <v>171</v>
      </c>
      <c r="G42" t="s">
        <v>171</v>
      </c>
      <c r="H42" t="s">
        <v>171</v>
      </c>
      <c r="I42" t="s">
        <v>171</v>
      </c>
      <c r="J42" t="s">
        <v>171</v>
      </c>
      <c r="K42" t="s">
        <v>171</v>
      </c>
    </row>
    <row r="43" spans="1:16" x14ac:dyDescent="0.2">
      <c r="A43" t="s">
        <v>466</v>
      </c>
      <c r="B43">
        <v>2167.54</v>
      </c>
      <c r="C43">
        <v>2184.9016999999999</v>
      </c>
      <c r="D43">
        <v>2134.7638999999999</v>
      </c>
      <c r="E43">
        <v>2144.0452</v>
      </c>
      <c r="F43">
        <v>2124.991</v>
      </c>
      <c r="G43">
        <v>2124.991</v>
      </c>
      <c r="H43">
        <v>2129.4740000000002</v>
      </c>
      <c r="I43">
        <v>2134.8225000000002</v>
      </c>
      <c r="J43">
        <v>2145.1241</v>
      </c>
      <c r="K43">
        <v>2163.3870000000002</v>
      </c>
    </row>
    <row r="44" spans="1:16" x14ac:dyDescent="0.2">
      <c r="A44" t="s">
        <v>475</v>
      </c>
      <c r="B44" t="s">
        <v>171</v>
      </c>
      <c r="C44" t="s">
        <v>171</v>
      </c>
      <c r="D44" t="s">
        <v>171</v>
      </c>
      <c r="E44" t="s">
        <v>171</v>
      </c>
      <c r="F44">
        <v>19.054200000000002</v>
      </c>
      <c r="G44">
        <v>19.054200000000002</v>
      </c>
      <c r="H44">
        <v>14.571099999999999</v>
      </c>
      <c r="I44">
        <v>9.2226999999999997</v>
      </c>
      <c r="J44">
        <v>3.99</v>
      </c>
      <c r="K44">
        <v>11.6516</v>
      </c>
    </row>
    <row r="45" spans="1:16" x14ac:dyDescent="0.2">
      <c r="A45" t="s">
        <v>476</v>
      </c>
      <c r="B45" t="s">
        <v>171</v>
      </c>
      <c r="C45" t="s">
        <v>171</v>
      </c>
      <c r="D45" t="s">
        <v>171</v>
      </c>
      <c r="E45" t="s">
        <v>171</v>
      </c>
      <c r="F45">
        <v>2144.0452</v>
      </c>
      <c r="G45">
        <v>2144.0452</v>
      </c>
      <c r="H45">
        <v>2144.0452</v>
      </c>
      <c r="I45">
        <v>2144.0452</v>
      </c>
      <c r="J45">
        <v>2149.1140999999998</v>
      </c>
      <c r="K45">
        <v>2175.0385999999999</v>
      </c>
    </row>
    <row r="46" spans="1:16" x14ac:dyDescent="0.2">
      <c r="A46" t="s">
        <v>477</v>
      </c>
      <c r="B46">
        <v>4970.165</v>
      </c>
      <c r="C46">
        <v>7419.3329999999996</v>
      </c>
      <c r="D46">
        <v>7821.7860000000001</v>
      </c>
      <c r="E46">
        <v>8960.77</v>
      </c>
      <c r="F46">
        <v>10656.289000000001</v>
      </c>
      <c r="G46">
        <v>10910.584999999999</v>
      </c>
      <c r="H46">
        <v>12226.205</v>
      </c>
      <c r="I46">
        <v>16059.441000000001</v>
      </c>
      <c r="J46">
        <v>16908.616000000002</v>
      </c>
      <c r="K46">
        <v>18110.092000000001</v>
      </c>
    </row>
    <row r="47" spans="1:16" x14ac:dyDescent="0.2">
      <c r="A47" t="s">
        <v>478</v>
      </c>
    </row>
    <row r="48" spans="1:16" x14ac:dyDescent="0.2">
      <c r="A48" t="s">
        <v>479</v>
      </c>
      <c r="B48" t="s">
        <v>171</v>
      </c>
      <c r="C48">
        <v>154.495</v>
      </c>
      <c r="D48">
        <v>107.696</v>
      </c>
      <c r="E48">
        <v>228.43199999999999</v>
      </c>
      <c r="F48">
        <v>497.71800000000002</v>
      </c>
      <c r="G48">
        <v>426.673</v>
      </c>
      <c r="H48">
        <v>664.39300000000003</v>
      </c>
      <c r="I48">
        <v>1175.586</v>
      </c>
      <c r="J48">
        <v>1120.827</v>
      </c>
      <c r="K48">
        <v>1537.9839999999999</v>
      </c>
    </row>
    <row r="49" spans="1:11" x14ac:dyDescent="0.2">
      <c r="A49" t="s">
        <v>480</v>
      </c>
    </row>
    <row r="50" spans="1:11" x14ac:dyDescent="0.2">
      <c r="A50" t="s">
        <v>481</v>
      </c>
      <c r="B50" t="s">
        <v>171</v>
      </c>
      <c r="C50">
        <v>177.58500000000001</v>
      </c>
      <c r="D50">
        <v>166.71700000000001</v>
      </c>
      <c r="E50">
        <v>201.60499999999999</v>
      </c>
      <c r="F50">
        <v>252.49100000000001</v>
      </c>
      <c r="G50">
        <v>247.99600000000001</v>
      </c>
      <c r="H50">
        <v>263.202</v>
      </c>
      <c r="I50">
        <v>413.411</v>
      </c>
      <c r="J50">
        <v>479.53300000000002</v>
      </c>
      <c r="K50">
        <v>333.67200000000003</v>
      </c>
    </row>
    <row r="51" spans="1:11" x14ac:dyDescent="0.2">
      <c r="A51" t="s">
        <v>482</v>
      </c>
      <c r="B51" t="s">
        <v>171</v>
      </c>
      <c r="C51">
        <v>526.29</v>
      </c>
      <c r="D51">
        <v>529.476</v>
      </c>
      <c r="E51">
        <v>492.36700000000002</v>
      </c>
      <c r="F51">
        <v>1188.402</v>
      </c>
      <c r="G51">
        <v>1035.5129999999999</v>
      </c>
      <c r="H51">
        <v>1043.864</v>
      </c>
      <c r="I51">
        <v>1413.5</v>
      </c>
      <c r="J51">
        <v>1020.771</v>
      </c>
      <c r="K51">
        <v>1401.8240000000001</v>
      </c>
    </row>
    <row r="52" spans="1:11" x14ac:dyDescent="0.2">
      <c r="A52" t="s">
        <v>483</v>
      </c>
      <c r="B52" t="s">
        <v>171</v>
      </c>
      <c r="C52" t="s">
        <v>171</v>
      </c>
      <c r="D52" t="s">
        <v>171</v>
      </c>
      <c r="E52" t="s">
        <v>171</v>
      </c>
      <c r="F52" t="s">
        <v>171</v>
      </c>
      <c r="G52" t="s">
        <v>171</v>
      </c>
      <c r="H52" t="s">
        <v>171</v>
      </c>
      <c r="I52">
        <v>859.49599999999998</v>
      </c>
      <c r="J52">
        <v>692.101</v>
      </c>
      <c r="K52">
        <v>866.71799999999996</v>
      </c>
    </row>
    <row r="53" spans="1:11" x14ac:dyDescent="0.2">
      <c r="A53" t="s">
        <v>484</v>
      </c>
    </row>
    <row r="54" spans="1:11" x14ac:dyDescent="0.2">
      <c r="A54" t="s">
        <v>485</v>
      </c>
      <c r="B54">
        <v>4455.9040000000005</v>
      </c>
      <c r="C54" t="s">
        <v>171</v>
      </c>
      <c r="D54" t="s">
        <v>171</v>
      </c>
      <c r="E54" t="s">
        <v>171</v>
      </c>
      <c r="F54" t="s">
        <v>171</v>
      </c>
      <c r="G54" t="s">
        <v>171</v>
      </c>
      <c r="H54" t="s">
        <v>171</v>
      </c>
      <c r="I54" t="s">
        <v>171</v>
      </c>
      <c r="J54" t="s">
        <v>171</v>
      </c>
      <c r="K54" t="s">
        <v>171</v>
      </c>
    </row>
    <row r="55" spans="1:11" x14ac:dyDescent="0.2">
      <c r="A55" t="s">
        <v>486</v>
      </c>
      <c r="B55" t="s">
        <v>171</v>
      </c>
      <c r="C55">
        <v>6311.6779999999999</v>
      </c>
      <c r="D55">
        <v>6689.74</v>
      </c>
      <c r="E55">
        <v>7768.9040000000005</v>
      </c>
      <c r="F55">
        <v>8698.8310000000001</v>
      </c>
      <c r="G55">
        <v>9071.4840000000004</v>
      </c>
      <c r="H55">
        <v>10161.534</v>
      </c>
      <c r="I55">
        <v>11875.594999999999</v>
      </c>
      <c r="J55">
        <v>12727.475</v>
      </c>
      <c r="K55">
        <v>13487.892</v>
      </c>
    </row>
    <row r="56" spans="1:11" x14ac:dyDescent="0.2">
      <c r="A56" t="s">
        <v>355</v>
      </c>
    </row>
    <row r="57" spans="1:11" x14ac:dyDescent="0.2">
      <c r="A57" t="s">
        <v>444</v>
      </c>
      <c r="B57">
        <v>310.52499999999998</v>
      </c>
      <c r="C57" t="s">
        <v>171</v>
      </c>
      <c r="D57" t="s">
        <v>171</v>
      </c>
      <c r="E57" t="s">
        <v>171</v>
      </c>
      <c r="F57" t="s">
        <v>171</v>
      </c>
      <c r="G57" t="s">
        <v>171</v>
      </c>
      <c r="H57" t="s">
        <v>171</v>
      </c>
      <c r="I57" t="s">
        <v>171</v>
      </c>
      <c r="J57" t="s">
        <v>171</v>
      </c>
      <c r="K57" t="s">
        <v>171</v>
      </c>
    </row>
    <row r="58" spans="1:11" x14ac:dyDescent="0.2">
      <c r="A58" t="s">
        <v>487</v>
      </c>
      <c r="B58" t="s">
        <v>171</v>
      </c>
      <c r="C58" t="s">
        <v>171</v>
      </c>
      <c r="D58" t="s">
        <v>171</v>
      </c>
      <c r="E58" t="s">
        <v>171</v>
      </c>
      <c r="F58">
        <v>17.489000000000001</v>
      </c>
      <c r="G58">
        <v>17.71</v>
      </c>
      <c r="H58" t="s">
        <v>171</v>
      </c>
      <c r="I58" t="s">
        <v>171</v>
      </c>
      <c r="J58" t="s">
        <v>171</v>
      </c>
      <c r="K58" t="s">
        <v>171</v>
      </c>
    </row>
    <row r="59" spans="1:11" x14ac:dyDescent="0.2">
      <c r="A59" t="s">
        <v>488</v>
      </c>
      <c r="B59" t="s">
        <v>171</v>
      </c>
      <c r="C59" t="s">
        <v>171</v>
      </c>
      <c r="D59" t="s">
        <v>171</v>
      </c>
      <c r="E59" t="s">
        <v>171</v>
      </c>
      <c r="F59">
        <v>5.468</v>
      </c>
      <c r="G59">
        <v>7.1</v>
      </c>
      <c r="H59" t="s">
        <v>171</v>
      </c>
      <c r="I59" t="s">
        <v>171</v>
      </c>
      <c r="J59" t="s">
        <v>171</v>
      </c>
      <c r="K59" t="s">
        <v>171</v>
      </c>
    </row>
    <row r="60" spans="1:11" x14ac:dyDescent="0.2">
      <c r="A60" t="s">
        <v>489</v>
      </c>
      <c r="B60">
        <v>14.151</v>
      </c>
      <c r="C60" t="s">
        <v>171</v>
      </c>
      <c r="D60" t="s">
        <v>171</v>
      </c>
      <c r="E60" t="s">
        <v>171</v>
      </c>
      <c r="F60">
        <v>150.066</v>
      </c>
      <c r="G60">
        <v>193.86500000000001</v>
      </c>
      <c r="H60" t="s">
        <v>171</v>
      </c>
      <c r="I60" t="s">
        <v>171</v>
      </c>
      <c r="J60" t="s">
        <v>171</v>
      </c>
      <c r="K60" t="s">
        <v>171</v>
      </c>
    </row>
    <row r="61" spans="1:11" x14ac:dyDescent="0.2">
      <c r="A61" t="s">
        <v>490</v>
      </c>
      <c r="B61">
        <v>75.659000000000006</v>
      </c>
      <c r="C61">
        <v>129.28700000000001</v>
      </c>
      <c r="D61">
        <v>144.28</v>
      </c>
      <c r="E61">
        <v>174.911</v>
      </c>
      <c r="F61">
        <v>184.02600000000001</v>
      </c>
      <c r="G61">
        <v>231.785</v>
      </c>
      <c r="H61" t="s">
        <v>171</v>
      </c>
      <c r="I61">
        <v>207.137</v>
      </c>
      <c r="J61">
        <v>244.34200000000001</v>
      </c>
      <c r="K61">
        <v>142.81299999999999</v>
      </c>
    </row>
    <row r="62" spans="1:11" x14ac:dyDescent="0.2">
      <c r="A62" t="s">
        <v>132</v>
      </c>
      <c r="B62">
        <v>21.670999999999999</v>
      </c>
      <c r="C62">
        <v>53.256999999999998</v>
      </c>
      <c r="D62">
        <v>68.245999999999995</v>
      </c>
      <c r="E62">
        <v>82.85</v>
      </c>
      <c r="F62">
        <v>103.494</v>
      </c>
      <c r="G62">
        <v>132.114</v>
      </c>
      <c r="H62" t="s">
        <v>171</v>
      </c>
      <c r="I62">
        <v>37.637999999999998</v>
      </c>
      <c r="J62">
        <v>36.905999999999999</v>
      </c>
      <c r="K62">
        <v>44.75</v>
      </c>
    </row>
    <row r="63" spans="1:11" x14ac:dyDescent="0.2">
      <c r="A63" t="s">
        <v>445</v>
      </c>
      <c r="B63" t="s">
        <v>171</v>
      </c>
      <c r="C63" t="s">
        <v>171</v>
      </c>
      <c r="D63">
        <v>76.034000000000006</v>
      </c>
      <c r="E63">
        <v>92.061000000000007</v>
      </c>
      <c r="F63">
        <v>80.531999999999996</v>
      </c>
      <c r="G63">
        <v>99.671000000000006</v>
      </c>
      <c r="H63">
        <v>94.228999999999999</v>
      </c>
      <c r="I63">
        <v>172.822</v>
      </c>
      <c r="J63">
        <v>116.761</v>
      </c>
      <c r="K63">
        <v>104.812</v>
      </c>
    </row>
    <row r="64" spans="1:11" x14ac:dyDescent="0.2">
      <c r="A64" t="s">
        <v>446</v>
      </c>
      <c r="B64">
        <v>6.117</v>
      </c>
      <c r="C64">
        <v>61.311999999999998</v>
      </c>
      <c r="D64">
        <v>52.609000000000002</v>
      </c>
      <c r="E64">
        <v>55.34</v>
      </c>
      <c r="F64">
        <v>3.476</v>
      </c>
      <c r="G64">
        <v>2.7549999999999999</v>
      </c>
      <c r="H64">
        <v>1.968</v>
      </c>
      <c r="I64">
        <v>1.3220000000000001</v>
      </c>
      <c r="J64">
        <v>286.733</v>
      </c>
      <c r="K64">
        <v>280.68299999999999</v>
      </c>
    </row>
    <row r="65" spans="1:11" x14ac:dyDescent="0.2">
      <c r="A65" t="s">
        <v>447</v>
      </c>
      <c r="B65">
        <v>55.25</v>
      </c>
      <c r="C65">
        <v>170.86799999999999</v>
      </c>
      <c r="D65">
        <v>129.40799999999999</v>
      </c>
      <c r="E65">
        <v>122.28</v>
      </c>
      <c r="F65">
        <v>106.229</v>
      </c>
      <c r="G65">
        <v>68.233000000000004</v>
      </c>
      <c r="H65">
        <v>65.597999999999999</v>
      </c>
      <c r="I65">
        <v>67.715000000000003</v>
      </c>
      <c r="J65">
        <v>31.91</v>
      </c>
      <c r="K65">
        <v>30.591000000000001</v>
      </c>
    </row>
    <row r="66" spans="1:11" x14ac:dyDescent="0.2">
      <c r="A66" t="s">
        <v>491</v>
      </c>
      <c r="B66" t="s">
        <v>171</v>
      </c>
      <c r="C66" t="s">
        <v>171</v>
      </c>
      <c r="D66" t="s">
        <v>171</v>
      </c>
      <c r="E66" t="s">
        <v>171</v>
      </c>
      <c r="F66">
        <v>2.363</v>
      </c>
      <c r="G66">
        <v>1.6180000000000001</v>
      </c>
      <c r="H66">
        <v>1.1970000000000001</v>
      </c>
      <c r="I66">
        <v>0.82599999999999996</v>
      </c>
      <c r="J66">
        <v>0.40300000000000002</v>
      </c>
      <c r="K66">
        <v>0</v>
      </c>
    </row>
    <row r="67" spans="1:11" x14ac:dyDescent="0.2">
      <c r="A67" t="s">
        <v>492</v>
      </c>
      <c r="B67">
        <v>96.706999999999994</v>
      </c>
      <c r="C67" t="s">
        <v>171</v>
      </c>
      <c r="D67">
        <v>192.79900000000001</v>
      </c>
      <c r="E67">
        <v>313.30900000000003</v>
      </c>
      <c r="F67">
        <v>316.392</v>
      </c>
      <c r="G67">
        <v>390.82299999999998</v>
      </c>
      <c r="H67">
        <v>417.81900000000002</v>
      </c>
      <c r="I67">
        <v>439.15199999999999</v>
      </c>
      <c r="J67">
        <v>465.93299999999999</v>
      </c>
      <c r="K67">
        <v>442.83100000000002</v>
      </c>
    </row>
    <row r="68" spans="1:11" x14ac:dyDescent="0.2">
      <c r="A68" t="s">
        <v>110</v>
      </c>
      <c r="B68">
        <v>959.55399999999997</v>
      </c>
      <c r="C68" t="s">
        <v>171</v>
      </c>
      <c r="D68" t="s">
        <v>171</v>
      </c>
      <c r="E68" t="s">
        <v>171</v>
      </c>
      <c r="F68" t="s">
        <v>171</v>
      </c>
      <c r="G68" t="s">
        <v>171</v>
      </c>
      <c r="H68" t="s">
        <v>171</v>
      </c>
      <c r="I68" t="s">
        <v>171</v>
      </c>
      <c r="J68" t="s">
        <v>171</v>
      </c>
      <c r="K68" t="s">
        <v>171</v>
      </c>
    </row>
    <row r="69" spans="1:11" x14ac:dyDescent="0.2">
      <c r="A69" t="s">
        <v>465</v>
      </c>
      <c r="B69">
        <v>2522.6660000000002</v>
      </c>
      <c r="C69" t="s">
        <v>171</v>
      </c>
      <c r="D69">
        <v>3383.9830000000002</v>
      </c>
      <c r="E69">
        <v>3709.308</v>
      </c>
      <c r="F69">
        <v>3500.317</v>
      </c>
      <c r="G69">
        <v>3823.28</v>
      </c>
      <c r="H69">
        <v>4133.3140000000003</v>
      </c>
      <c r="I69">
        <v>4421.5680000000002</v>
      </c>
      <c r="J69">
        <v>4442.2089999999998</v>
      </c>
      <c r="K69">
        <v>3725.8229999999999</v>
      </c>
    </row>
    <row r="70" spans="1:11" x14ac:dyDescent="0.2">
      <c r="A70" t="s">
        <v>466</v>
      </c>
      <c r="B70">
        <v>2167.54</v>
      </c>
      <c r="C70">
        <v>2184.9016999999999</v>
      </c>
      <c r="D70">
        <v>2134.7638999999999</v>
      </c>
      <c r="E70">
        <v>2144.0452</v>
      </c>
      <c r="F70">
        <v>2124.991</v>
      </c>
      <c r="G70">
        <v>2124.991</v>
      </c>
      <c r="H70">
        <v>2129.4740000000002</v>
      </c>
      <c r="I70">
        <v>2134.8225000000002</v>
      </c>
      <c r="J70">
        <v>2145.1241</v>
      </c>
      <c r="K70">
        <v>2163.3870000000002</v>
      </c>
    </row>
    <row r="71" spans="1:11" x14ac:dyDescent="0.2">
      <c r="A71" t="s">
        <v>467</v>
      </c>
      <c r="B71" t="s">
        <v>171</v>
      </c>
      <c r="C71" t="s">
        <v>171</v>
      </c>
      <c r="D71">
        <v>875.63900000000001</v>
      </c>
      <c r="E71">
        <v>849.84500000000003</v>
      </c>
      <c r="F71">
        <v>862.62099999999998</v>
      </c>
      <c r="G71">
        <v>862.62099999999998</v>
      </c>
      <c r="H71">
        <v>872.16899999999998</v>
      </c>
      <c r="I71">
        <v>882.22400000000005</v>
      </c>
      <c r="J71">
        <v>899.57100000000003</v>
      </c>
      <c r="K71">
        <v>917.90899999999999</v>
      </c>
    </row>
    <row r="72" spans="1:11" x14ac:dyDescent="0.2">
      <c r="A72" t="s">
        <v>493</v>
      </c>
      <c r="B72">
        <v>38.844999999999999</v>
      </c>
      <c r="C72" t="s">
        <v>171</v>
      </c>
      <c r="D72" t="s">
        <v>171</v>
      </c>
      <c r="E72" t="s">
        <v>171</v>
      </c>
      <c r="F72">
        <v>11.003</v>
      </c>
      <c r="G72">
        <v>13.11</v>
      </c>
      <c r="H72" t="s">
        <v>171</v>
      </c>
      <c r="I72" t="s">
        <v>171</v>
      </c>
      <c r="J72" t="s">
        <v>171</v>
      </c>
      <c r="K72" t="s">
        <v>171</v>
      </c>
    </row>
    <row r="73" spans="1:11" x14ac:dyDescent="0.2">
      <c r="A73" t="s">
        <v>494</v>
      </c>
      <c r="B73">
        <v>5.8090000000000002</v>
      </c>
      <c r="C73">
        <v>38.463999999999999</v>
      </c>
      <c r="D73">
        <v>67.878</v>
      </c>
      <c r="E73">
        <v>41.011000000000003</v>
      </c>
      <c r="F73">
        <v>38.561999999999998</v>
      </c>
      <c r="G73">
        <v>0</v>
      </c>
      <c r="H73" t="s">
        <v>171</v>
      </c>
      <c r="I73" t="s">
        <v>171</v>
      </c>
      <c r="J73" t="s">
        <v>171</v>
      </c>
      <c r="K73" t="s">
        <v>171</v>
      </c>
    </row>
    <row r="74" spans="1:11" x14ac:dyDescent="0.2">
      <c r="A74" t="s">
        <v>495</v>
      </c>
      <c r="B74">
        <v>5.117</v>
      </c>
      <c r="C74">
        <v>19.704000000000001</v>
      </c>
      <c r="D74">
        <v>27.64</v>
      </c>
      <c r="E74">
        <v>18.72</v>
      </c>
      <c r="F74">
        <v>14.852</v>
      </c>
      <c r="G74">
        <v>0</v>
      </c>
      <c r="H74" t="s">
        <v>171</v>
      </c>
      <c r="I74" t="s">
        <v>171</v>
      </c>
      <c r="J74" t="s">
        <v>171</v>
      </c>
      <c r="K74" t="s">
        <v>171</v>
      </c>
    </row>
    <row r="75" spans="1:11" x14ac:dyDescent="0.2">
      <c r="A75" t="s">
        <v>496</v>
      </c>
      <c r="B75" t="s">
        <v>171</v>
      </c>
      <c r="C75" t="s">
        <v>171</v>
      </c>
      <c r="D75">
        <v>0.307</v>
      </c>
      <c r="E75">
        <v>0</v>
      </c>
      <c r="F75" t="s">
        <v>171</v>
      </c>
      <c r="G75" t="s">
        <v>171</v>
      </c>
      <c r="H75" t="s">
        <v>171</v>
      </c>
      <c r="I75" t="s">
        <v>171</v>
      </c>
      <c r="J75" t="s">
        <v>171</v>
      </c>
      <c r="K75" t="s">
        <v>171</v>
      </c>
    </row>
    <row r="76" spans="1:11" x14ac:dyDescent="0.2">
      <c r="A76" t="s">
        <v>497</v>
      </c>
      <c r="B76" t="s">
        <v>171</v>
      </c>
      <c r="C76" t="s">
        <v>171</v>
      </c>
      <c r="D76" t="s">
        <v>171</v>
      </c>
      <c r="E76" t="s">
        <v>171</v>
      </c>
      <c r="F76">
        <v>39.649000000000001</v>
      </c>
      <c r="G76">
        <v>40.847999999999999</v>
      </c>
      <c r="H76">
        <v>35.926000000000002</v>
      </c>
      <c r="I76">
        <v>27.891999999999999</v>
      </c>
      <c r="J76">
        <v>18.661999999999999</v>
      </c>
      <c r="K76">
        <v>118.027</v>
      </c>
    </row>
    <row r="77" spans="1:11" x14ac:dyDescent="0.2">
      <c r="A77" t="s">
        <v>468</v>
      </c>
      <c r="B77">
        <v>3504.2669999999998</v>
      </c>
      <c r="C77" t="s">
        <v>171</v>
      </c>
      <c r="D77">
        <v>3886.152</v>
      </c>
      <c r="E77">
        <v>4270.4920000000002</v>
      </c>
      <c r="F77">
        <v>4074.6619999999998</v>
      </c>
      <c r="G77">
        <v>4620.9359999999997</v>
      </c>
      <c r="H77">
        <v>4789.576</v>
      </c>
      <c r="I77">
        <v>5506.0020000000004</v>
      </c>
      <c r="J77">
        <v>5658.17</v>
      </c>
      <c r="K77">
        <v>4919.8860000000004</v>
      </c>
    </row>
    <row r="78" spans="1:11" x14ac:dyDescent="0.2">
      <c r="A78" t="s">
        <v>498</v>
      </c>
      <c r="B78" t="s">
        <v>171</v>
      </c>
      <c r="C78">
        <v>251.71600000000001</v>
      </c>
      <c r="D78">
        <v>273.21600000000001</v>
      </c>
      <c r="E78">
        <v>402.4</v>
      </c>
      <c r="F78">
        <v>843.13499999999999</v>
      </c>
      <c r="G78">
        <v>761.404</v>
      </c>
      <c r="H78">
        <v>577.98699999999997</v>
      </c>
      <c r="I78">
        <v>563.70500000000004</v>
      </c>
      <c r="J78">
        <v>404.38499999999999</v>
      </c>
      <c r="K78">
        <v>857.89700000000005</v>
      </c>
    </row>
    <row r="79" spans="1:11" x14ac:dyDescent="0.2">
      <c r="A79" t="s">
        <v>499</v>
      </c>
      <c r="B79" t="s">
        <v>171</v>
      </c>
      <c r="C79" t="s">
        <v>171</v>
      </c>
      <c r="D79">
        <v>15.439</v>
      </c>
      <c r="E79">
        <v>23.068999999999999</v>
      </c>
      <c r="F79">
        <v>29.143000000000001</v>
      </c>
      <c r="G79">
        <v>67.155000000000001</v>
      </c>
      <c r="H79">
        <v>106.384</v>
      </c>
      <c r="I79">
        <v>38.500999999999998</v>
      </c>
      <c r="J79">
        <v>60.904000000000003</v>
      </c>
      <c r="K79">
        <v>288.33600000000001</v>
      </c>
    </row>
    <row r="80" spans="1:11" x14ac:dyDescent="0.2">
      <c r="A80" t="s">
        <v>500</v>
      </c>
      <c r="B80" t="s">
        <v>171</v>
      </c>
      <c r="C80" t="s">
        <v>171</v>
      </c>
      <c r="D80">
        <v>45.368000000000002</v>
      </c>
      <c r="E80">
        <v>74.674000000000007</v>
      </c>
      <c r="F80">
        <v>110.343</v>
      </c>
      <c r="G80">
        <v>67.381</v>
      </c>
      <c r="H80">
        <v>107.669</v>
      </c>
      <c r="I80">
        <v>395.31900000000002</v>
      </c>
      <c r="J80">
        <v>422.29</v>
      </c>
      <c r="K80">
        <v>467.07400000000001</v>
      </c>
    </row>
    <row r="81" spans="1:11" x14ac:dyDescent="0.2">
      <c r="A81" t="s">
        <v>501</v>
      </c>
      <c r="B81" t="s">
        <v>171</v>
      </c>
      <c r="C81" t="s">
        <v>171</v>
      </c>
      <c r="D81">
        <v>46.889000000000003</v>
      </c>
      <c r="E81">
        <v>130.68899999999999</v>
      </c>
      <c r="F81">
        <v>358.23200000000003</v>
      </c>
      <c r="G81">
        <v>292.137</v>
      </c>
      <c r="H81">
        <v>450.34</v>
      </c>
      <c r="I81">
        <v>741.76599999999996</v>
      </c>
      <c r="J81">
        <v>637.63300000000004</v>
      </c>
      <c r="K81">
        <v>782.57399999999996</v>
      </c>
    </row>
    <row r="82" spans="1:11" x14ac:dyDescent="0.2">
      <c r="A82" t="s">
        <v>485</v>
      </c>
      <c r="B82" t="s">
        <v>171</v>
      </c>
      <c r="C82">
        <v>6563.3940000000002</v>
      </c>
      <c r="D82">
        <v>6962.9560000000001</v>
      </c>
      <c r="E82">
        <v>8171.3040000000001</v>
      </c>
      <c r="F82">
        <v>9541.9660000000003</v>
      </c>
      <c r="G82">
        <v>9832.8880000000008</v>
      </c>
      <c r="H82">
        <v>10739.521000000001</v>
      </c>
      <c r="I82">
        <v>12439.3</v>
      </c>
      <c r="J82">
        <v>13131.86</v>
      </c>
      <c r="K82">
        <v>14345.789000000001</v>
      </c>
    </row>
    <row r="83" spans="1:11" x14ac:dyDescent="0.2">
      <c r="A83" t="s">
        <v>486</v>
      </c>
      <c r="B83" t="s">
        <v>171</v>
      </c>
      <c r="C83">
        <v>6311.6779999999999</v>
      </c>
      <c r="D83">
        <v>6689.74</v>
      </c>
      <c r="E83">
        <v>7768.9040000000005</v>
      </c>
      <c r="F83">
        <v>8698.8310000000001</v>
      </c>
      <c r="G83">
        <v>9071.4840000000004</v>
      </c>
      <c r="H83">
        <v>10161.534</v>
      </c>
      <c r="I83">
        <v>11875.594999999999</v>
      </c>
      <c r="J83">
        <v>12727.475</v>
      </c>
      <c r="K83">
        <v>13487.892</v>
      </c>
    </row>
    <row r="84" spans="1:11" x14ac:dyDescent="0.2">
      <c r="A84" t="s">
        <v>479</v>
      </c>
      <c r="B84" t="s">
        <v>171</v>
      </c>
      <c r="C84">
        <v>154.495</v>
      </c>
      <c r="D84">
        <v>107.696</v>
      </c>
      <c r="E84">
        <v>228.43199999999999</v>
      </c>
      <c r="F84">
        <v>497.71800000000002</v>
      </c>
      <c r="G84">
        <v>426.673</v>
      </c>
      <c r="H84">
        <v>664.39300000000003</v>
      </c>
      <c r="I84">
        <v>1175.586</v>
      </c>
      <c r="J84">
        <v>1120.827</v>
      </c>
      <c r="K84">
        <v>1537.9839999999999</v>
      </c>
    </row>
    <row r="85" spans="1:11" x14ac:dyDescent="0.2">
      <c r="A85" t="s">
        <v>481</v>
      </c>
      <c r="B85" t="s">
        <v>171</v>
      </c>
      <c r="C85" t="s">
        <v>171</v>
      </c>
      <c r="D85">
        <v>166.71700000000001</v>
      </c>
      <c r="E85">
        <v>201.60499999999999</v>
      </c>
      <c r="F85">
        <v>252.49100000000001</v>
      </c>
      <c r="G85">
        <v>247.99600000000001</v>
      </c>
      <c r="H85">
        <v>263.202</v>
      </c>
      <c r="I85">
        <v>413.411</v>
      </c>
      <c r="J85">
        <v>479.53300000000002</v>
      </c>
      <c r="K85">
        <v>333.67200000000003</v>
      </c>
    </row>
    <row r="86" spans="1:11" x14ac:dyDescent="0.2">
      <c r="A86" t="s">
        <v>502</v>
      </c>
      <c r="B86" t="s">
        <v>171</v>
      </c>
      <c r="C86" t="s">
        <v>171</v>
      </c>
      <c r="D86" t="s">
        <v>171</v>
      </c>
      <c r="E86" t="s">
        <v>171</v>
      </c>
      <c r="F86" t="s">
        <v>171</v>
      </c>
      <c r="G86" t="s">
        <v>171</v>
      </c>
      <c r="H86" t="s">
        <v>171</v>
      </c>
      <c r="I86">
        <v>6.2110000000000003</v>
      </c>
      <c r="J86">
        <v>90.674999999999997</v>
      </c>
      <c r="K86">
        <v>34.622999999999998</v>
      </c>
    </row>
    <row r="87" spans="1:11" x14ac:dyDescent="0.2">
      <c r="A87" t="s">
        <v>482</v>
      </c>
      <c r="B87" t="s">
        <v>171</v>
      </c>
      <c r="C87">
        <v>526.29</v>
      </c>
      <c r="D87">
        <v>529.476</v>
      </c>
      <c r="E87">
        <v>492.36700000000002</v>
      </c>
      <c r="F87">
        <v>1188.402</v>
      </c>
      <c r="G87">
        <v>1035.5129999999999</v>
      </c>
      <c r="H87">
        <v>1043.864</v>
      </c>
      <c r="I87">
        <v>1413.5</v>
      </c>
      <c r="J87">
        <v>1020.771</v>
      </c>
      <c r="K87">
        <v>1401.8240000000001</v>
      </c>
    </row>
    <row r="88" spans="1:11" x14ac:dyDescent="0.2">
      <c r="A88" t="s">
        <v>503</v>
      </c>
      <c r="B88" t="s">
        <v>171</v>
      </c>
      <c r="C88" t="s">
        <v>171</v>
      </c>
      <c r="D88">
        <v>1620</v>
      </c>
      <c r="E88">
        <v>1905</v>
      </c>
      <c r="F88" t="s">
        <v>171</v>
      </c>
      <c r="G88" t="s">
        <v>171</v>
      </c>
      <c r="H88" t="s">
        <v>171</v>
      </c>
      <c r="I88" t="s">
        <v>171</v>
      </c>
      <c r="J88" t="s">
        <v>171</v>
      </c>
      <c r="K88" t="s">
        <v>171</v>
      </c>
    </row>
    <row r="89" spans="1:11" x14ac:dyDescent="0.2">
      <c r="A89" t="s">
        <v>469</v>
      </c>
      <c r="B89" t="s">
        <v>171</v>
      </c>
      <c r="C89" t="s">
        <v>171</v>
      </c>
      <c r="D89">
        <v>-634.29300000000001</v>
      </c>
      <c r="E89">
        <v>-680.41700000000003</v>
      </c>
      <c r="F89">
        <v>-696.27599999999995</v>
      </c>
      <c r="G89">
        <v>-675.88499999999999</v>
      </c>
      <c r="H89">
        <v>-885.673</v>
      </c>
      <c r="I89">
        <v>-557.34100000000001</v>
      </c>
      <c r="J89">
        <v>-492.65300000000002</v>
      </c>
      <c r="K89">
        <v>-662.55</v>
      </c>
    </row>
    <row r="90" spans="1:11" x14ac:dyDescent="0.2">
      <c r="A90" t="s">
        <v>504</v>
      </c>
      <c r="B90">
        <v>38.844999999999999</v>
      </c>
      <c r="C90">
        <v>2.7989999999999999</v>
      </c>
      <c r="D90">
        <v>1.7609999999999999</v>
      </c>
      <c r="E90">
        <v>3.4769999999999999</v>
      </c>
      <c r="F90">
        <v>4.8310000000000004</v>
      </c>
      <c r="G90">
        <v>5.7720000000000002</v>
      </c>
      <c r="H90">
        <v>5.093</v>
      </c>
      <c r="I90">
        <v>5.3090000000000002</v>
      </c>
      <c r="J90">
        <v>6.02</v>
      </c>
      <c r="K90">
        <v>8.1199999999999992</v>
      </c>
    </row>
    <row r="91" spans="1:11" x14ac:dyDescent="0.2">
      <c r="A91" t="s">
        <v>470</v>
      </c>
      <c r="B91">
        <v>-74.66</v>
      </c>
      <c r="C91" t="s">
        <v>171</v>
      </c>
      <c r="D91" t="s">
        <v>171</v>
      </c>
      <c r="E91" t="s">
        <v>171</v>
      </c>
      <c r="F91" t="s">
        <v>171</v>
      </c>
      <c r="G91" t="s">
        <v>171</v>
      </c>
      <c r="H91" t="s">
        <v>171</v>
      </c>
      <c r="I91">
        <v>15.247999999999999</v>
      </c>
      <c r="J91">
        <v>-13.144</v>
      </c>
      <c r="K91">
        <v>83.92</v>
      </c>
    </row>
    <row r="92" spans="1:11" x14ac:dyDescent="0.2">
      <c r="A92" t="s">
        <v>471</v>
      </c>
      <c r="B92" t="s">
        <v>171</v>
      </c>
      <c r="C92" t="s">
        <v>171</v>
      </c>
      <c r="D92">
        <v>35.835000000000001</v>
      </c>
      <c r="E92">
        <v>38.840000000000003</v>
      </c>
      <c r="F92">
        <v>18.088999999999999</v>
      </c>
      <c r="G92">
        <v>24.303999999999998</v>
      </c>
      <c r="H92">
        <v>31.295000000000002</v>
      </c>
      <c r="I92">
        <v>39.906999999999996</v>
      </c>
      <c r="J92">
        <v>42.473999999999997</v>
      </c>
      <c r="K92">
        <v>34.832000000000001</v>
      </c>
    </row>
    <row r="93" spans="1:11" x14ac:dyDescent="0.2">
      <c r="A93" t="s">
        <v>505</v>
      </c>
      <c r="B93" t="s">
        <v>171</v>
      </c>
      <c r="C93" t="s">
        <v>171</v>
      </c>
      <c r="D93" t="s">
        <v>171</v>
      </c>
      <c r="E93" t="s">
        <v>171</v>
      </c>
      <c r="F93" t="s">
        <v>171</v>
      </c>
      <c r="G93" t="s">
        <v>171</v>
      </c>
      <c r="H93" t="s">
        <v>171</v>
      </c>
      <c r="I93">
        <v>311</v>
      </c>
      <c r="J93">
        <v>347</v>
      </c>
      <c r="K93" t="s">
        <v>171</v>
      </c>
    </row>
    <row r="94" spans="1:11" x14ac:dyDescent="0.2">
      <c r="A94" t="s">
        <v>506</v>
      </c>
      <c r="B94" t="s">
        <v>171</v>
      </c>
      <c r="C94" t="s">
        <v>171</v>
      </c>
      <c r="D94">
        <v>4.8520000000000003</v>
      </c>
      <c r="E94">
        <v>17.268000000000001</v>
      </c>
      <c r="F94">
        <v>5.468</v>
      </c>
      <c r="G94">
        <v>7.1</v>
      </c>
      <c r="H94">
        <v>10.391999999999999</v>
      </c>
      <c r="I94">
        <v>94.703999999999994</v>
      </c>
      <c r="J94">
        <v>0</v>
      </c>
      <c r="K94" t="s">
        <v>171</v>
      </c>
    </row>
    <row r="95" spans="1:11" x14ac:dyDescent="0.2">
      <c r="A95" t="s">
        <v>507</v>
      </c>
      <c r="B95">
        <v>34.359000000000002</v>
      </c>
      <c r="C95">
        <v>55.255000000000003</v>
      </c>
      <c r="D95">
        <v>50.863</v>
      </c>
      <c r="E95">
        <v>52.94</v>
      </c>
      <c r="F95">
        <v>51.715000000000003</v>
      </c>
      <c r="G95">
        <v>68.06</v>
      </c>
      <c r="H95">
        <v>61.92</v>
      </c>
      <c r="I95">
        <v>55.921999999999997</v>
      </c>
      <c r="J95">
        <v>92.320999999999998</v>
      </c>
      <c r="K95">
        <v>79.430000000000007</v>
      </c>
    </row>
    <row r="96" spans="1:11" x14ac:dyDescent="0.2">
      <c r="A96" t="s">
        <v>508</v>
      </c>
      <c r="B96" t="s">
        <v>171</v>
      </c>
      <c r="C96">
        <v>17.975999999999999</v>
      </c>
      <c r="D96">
        <v>18.558</v>
      </c>
      <c r="E96">
        <v>18.376000000000001</v>
      </c>
      <c r="F96">
        <v>18.518000000000001</v>
      </c>
      <c r="G96">
        <v>18.739000000000001</v>
      </c>
      <c r="H96">
        <v>16.824000000000002</v>
      </c>
      <c r="I96">
        <v>16.887</v>
      </c>
      <c r="J96">
        <v>18.420000000000002</v>
      </c>
      <c r="K96">
        <v>17.262</v>
      </c>
    </row>
    <row r="97" spans="1:11" x14ac:dyDescent="0.2">
      <c r="A97" t="s">
        <v>509</v>
      </c>
      <c r="B97" t="s">
        <v>171</v>
      </c>
      <c r="C97" t="s">
        <v>171</v>
      </c>
      <c r="D97">
        <v>39.930999999999997</v>
      </c>
      <c r="E97">
        <v>22.291</v>
      </c>
      <c r="F97">
        <v>23.71</v>
      </c>
      <c r="G97">
        <v>0</v>
      </c>
      <c r="H97" t="s">
        <v>171</v>
      </c>
      <c r="I97" t="s">
        <v>171</v>
      </c>
      <c r="J97" t="s">
        <v>171</v>
      </c>
      <c r="K97" t="s">
        <v>171</v>
      </c>
    </row>
    <row r="98" spans="1:11" x14ac:dyDescent="0.2">
      <c r="A98" t="s">
        <v>458</v>
      </c>
      <c r="B98" t="s">
        <v>171</v>
      </c>
      <c r="C98">
        <v>175.49299999999999</v>
      </c>
      <c r="D98">
        <v>294.416</v>
      </c>
      <c r="E98">
        <v>261.75099999999998</v>
      </c>
      <c r="F98">
        <v>492.22500000000002</v>
      </c>
      <c r="G98">
        <v>553.77200000000005</v>
      </c>
      <c r="H98">
        <v>714.548</v>
      </c>
      <c r="I98">
        <v>965.86</v>
      </c>
      <c r="J98">
        <v>715.49</v>
      </c>
      <c r="K98">
        <v>796.54100000000005</v>
      </c>
    </row>
    <row r="99" spans="1:11" x14ac:dyDescent="0.2">
      <c r="A99" t="s">
        <v>510</v>
      </c>
      <c r="B99" t="s">
        <v>171</v>
      </c>
      <c r="C99" t="s">
        <v>171</v>
      </c>
      <c r="D99">
        <v>32.189</v>
      </c>
      <c r="E99">
        <v>39.606999999999999</v>
      </c>
      <c r="F99">
        <v>73.519000000000005</v>
      </c>
      <c r="G99">
        <v>195.79300000000001</v>
      </c>
      <c r="H99">
        <v>214.83500000000001</v>
      </c>
      <c r="I99">
        <v>265.24400000000003</v>
      </c>
      <c r="J99">
        <v>313.77999999999997</v>
      </c>
      <c r="K99">
        <v>377.12099999999998</v>
      </c>
    </row>
    <row r="100" spans="1:11" x14ac:dyDescent="0.2">
      <c r="A100" t="s">
        <v>450</v>
      </c>
      <c r="B100">
        <v>53.988</v>
      </c>
      <c r="C100" t="s">
        <v>171</v>
      </c>
      <c r="D100" t="s">
        <v>171</v>
      </c>
      <c r="E100" t="s">
        <v>171</v>
      </c>
      <c r="F100" t="s">
        <v>171</v>
      </c>
      <c r="G100" t="s">
        <v>171</v>
      </c>
      <c r="H100" t="s">
        <v>171</v>
      </c>
      <c r="I100" t="s">
        <v>171</v>
      </c>
      <c r="J100" t="s">
        <v>171</v>
      </c>
      <c r="K100" t="s">
        <v>171</v>
      </c>
    </row>
    <row r="101" spans="1:11" x14ac:dyDescent="0.2">
      <c r="A101" t="s">
        <v>451</v>
      </c>
      <c r="B101">
        <v>4427.7569999999996</v>
      </c>
      <c r="C101" t="s">
        <v>171</v>
      </c>
      <c r="D101" t="s">
        <v>171</v>
      </c>
      <c r="E101" t="s">
        <v>171</v>
      </c>
      <c r="F101" t="s">
        <v>171</v>
      </c>
      <c r="G101" t="s">
        <v>171</v>
      </c>
      <c r="H101" t="s">
        <v>171</v>
      </c>
      <c r="I101" t="s">
        <v>171</v>
      </c>
      <c r="J101" t="s">
        <v>171</v>
      </c>
      <c r="K101" t="s">
        <v>171</v>
      </c>
    </row>
    <row r="102" spans="1:11" x14ac:dyDescent="0.2">
      <c r="A102" t="s">
        <v>511</v>
      </c>
      <c r="B102">
        <v>83.573999999999998</v>
      </c>
      <c r="C102">
        <v>104.654</v>
      </c>
      <c r="D102">
        <v>129</v>
      </c>
      <c r="E102">
        <v>106.181</v>
      </c>
      <c r="F102">
        <v>41.908999999999999</v>
      </c>
      <c r="G102">
        <v>97.74</v>
      </c>
      <c r="H102">
        <v>0</v>
      </c>
      <c r="I102" t="s">
        <v>171</v>
      </c>
      <c r="J102" t="s">
        <v>171</v>
      </c>
      <c r="K102" t="s">
        <v>171</v>
      </c>
    </row>
    <row r="103" spans="1:11" x14ac:dyDescent="0.2">
      <c r="A103" t="s">
        <v>512</v>
      </c>
      <c r="B103">
        <v>-28.146999999999998</v>
      </c>
      <c r="C103" t="s">
        <v>171</v>
      </c>
      <c r="D103" t="s">
        <v>171</v>
      </c>
      <c r="E103" t="s">
        <v>171</v>
      </c>
      <c r="F103" t="s">
        <v>171</v>
      </c>
      <c r="G103" t="s">
        <v>171</v>
      </c>
      <c r="H103" t="s">
        <v>171</v>
      </c>
      <c r="I103" t="s">
        <v>171</v>
      </c>
      <c r="J103" t="s">
        <v>171</v>
      </c>
      <c r="K103" t="s">
        <v>171</v>
      </c>
    </row>
    <row r="104" spans="1:11" x14ac:dyDescent="0.2">
      <c r="A104" t="s">
        <v>483</v>
      </c>
      <c r="B104" t="s">
        <v>171</v>
      </c>
      <c r="C104" t="s">
        <v>171</v>
      </c>
      <c r="D104" t="s">
        <v>171</v>
      </c>
      <c r="E104" t="s">
        <v>171</v>
      </c>
      <c r="F104" t="s">
        <v>171</v>
      </c>
      <c r="G104" t="s">
        <v>171</v>
      </c>
      <c r="H104" t="s">
        <v>171</v>
      </c>
      <c r="I104">
        <v>859.49599999999998</v>
      </c>
      <c r="J104">
        <v>692.101</v>
      </c>
      <c r="K104">
        <v>866.71799999999996</v>
      </c>
    </row>
    <row r="105" spans="1:11" x14ac:dyDescent="0.2">
      <c r="A105" t="s">
        <v>513</v>
      </c>
      <c r="B105" t="s">
        <v>171</v>
      </c>
      <c r="C105" t="s">
        <v>171</v>
      </c>
      <c r="D105" t="s">
        <v>171</v>
      </c>
      <c r="E105" t="s">
        <v>171</v>
      </c>
      <c r="F105">
        <v>48.6</v>
      </c>
      <c r="G105">
        <v>62.253999999999998</v>
      </c>
      <c r="H105" t="s">
        <v>171</v>
      </c>
      <c r="I105">
        <v>13.788</v>
      </c>
      <c r="J105">
        <v>11.715999999999999</v>
      </c>
      <c r="K105">
        <v>9.9939999999999998</v>
      </c>
    </row>
    <row r="106" spans="1:11" x14ac:dyDescent="0.2">
      <c r="A106" t="s">
        <v>514</v>
      </c>
      <c r="B106">
        <v>2.4550000000000001</v>
      </c>
      <c r="C106" t="s">
        <v>171</v>
      </c>
      <c r="D106" t="s">
        <v>171</v>
      </c>
      <c r="E106" t="s">
        <v>171</v>
      </c>
      <c r="F106" t="s">
        <v>171</v>
      </c>
      <c r="G106" t="s">
        <v>171</v>
      </c>
      <c r="H106" t="s">
        <v>171</v>
      </c>
      <c r="I106" t="s">
        <v>171</v>
      </c>
      <c r="J106" t="s">
        <v>171</v>
      </c>
      <c r="K106" t="s">
        <v>171</v>
      </c>
    </row>
    <row r="107" spans="1:11" x14ac:dyDescent="0.2">
      <c r="A107" t="s">
        <v>515</v>
      </c>
      <c r="B107">
        <v>0.99199999999999999</v>
      </c>
      <c r="C107" t="s">
        <v>171</v>
      </c>
      <c r="D107" t="s">
        <v>171</v>
      </c>
      <c r="E107" t="s">
        <v>171</v>
      </c>
      <c r="F107" t="s">
        <v>171</v>
      </c>
      <c r="G107" t="s">
        <v>171</v>
      </c>
      <c r="H107" t="s">
        <v>171</v>
      </c>
      <c r="I107" t="s">
        <v>171</v>
      </c>
      <c r="J107" t="s">
        <v>171</v>
      </c>
      <c r="K107" t="s">
        <v>171</v>
      </c>
    </row>
    <row r="108" spans="1:11" x14ac:dyDescent="0.2">
      <c r="A108" t="s">
        <v>516</v>
      </c>
      <c r="B108" t="s">
        <v>171</v>
      </c>
      <c r="C108" t="s">
        <v>171</v>
      </c>
      <c r="D108">
        <v>53.591000000000001</v>
      </c>
      <c r="E108">
        <v>53.591000000000001</v>
      </c>
      <c r="F108">
        <v>53.591000000000001</v>
      </c>
      <c r="G108">
        <v>53.591000000000001</v>
      </c>
      <c r="H108">
        <v>59.408000000000001</v>
      </c>
      <c r="I108">
        <v>0</v>
      </c>
      <c r="J108">
        <v>0</v>
      </c>
      <c r="K108">
        <v>0</v>
      </c>
    </row>
    <row r="109" spans="1:11" x14ac:dyDescent="0.2">
      <c r="A109" t="s">
        <v>517</v>
      </c>
      <c r="B109" t="s">
        <v>171</v>
      </c>
      <c r="C109" t="s">
        <v>171</v>
      </c>
      <c r="D109">
        <v>1.2450000000000001</v>
      </c>
      <c r="E109" t="s">
        <v>171</v>
      </c>
      <c r="F109" t="s">
        <v>171</v>
      </c>
      <c r="G109" t="s">
        <v>171</v>
      </c>
      <c r="H109" t="s">
        <v>171</v>
      </c>
      <c r="I109">
        <v>826.09199999999998</v>
      </c>
      <c r="J109">
        <v>1178.9690000000001</v>
      </c>
      <c r="K109">
        <v>952.61</v>
      </c>
    </row>
    <row r="110" spans="1:11" x14ac:dyDescent="0.2">
      <c r="A110" t="s">
        <v>518</v>
      </c>
      <c r="B110" t="s">
        <v>171</v>
      </c>
      <c r="C110" t="s">
        <v>171</v>
      </c>
      <c r="D110">
        <v>0</v>
      </c>
      <c r="E110" t="s">
        <v>171</v>
      </c>
      <c r="F110" t="s">
        <v>171</v>
      </c>
      <c r="G110" t="s">
        <v>171</v>
      </c>
      <c r="H110" t="s">
        <v>171</v>
      </c>
      <c r="I110">
        <v>71.498999999999995</v>
      </c>
      <c r="J110">
        <v>43.106999999999999</v>
      </c>
      <c r="K110">
        <v>11.038</v>
      </c>
    </row>
    <row r="111" spans="1:11" x14ac:dyDescent="0.2">
      <c r="A111" t="s">
        <v>519</v>
      </c>
      <c r="B111" t="s">
        <v>171</v>
      </c>
      <c r="C111" t="s">
        <v>171</v>
      </c>
      <c r="D111">
        <v>54.835999999999999</v>
      </c>
      <c r="E111">
        <v>53.591000000000001</v>
      </c>
      <c r="F111">
        <v>53.591000000000001</v>
      </c>
      <c r="G111">
        <v>53.591000000000001</v>
      </c>
      <c r="H111">
        <v>59.408000000000001</v>
      </c>
      <c r="I111">
        <v>897.59100000000001</v>
      </c>
      <c r="J111">
        <v>1222.076</v>
      </c>
      <c r="K111">
        <v>963.64800000000002</v>
      </c>
    </row>
    <row r="112" spans="1:11" x14ac:dyDescent="0.2">
      <c r="A112" t="s">
        <v>520</v>
      </c>
      <c r="B112" t="s">
        <v>171</v>
      </c>
      <c r="C112" t="s">
        <v>171</v>
      </c>
      <c r="D112">
        <v>53.591000000000001</v>
      </c>
      <c r="E112">
        <v>53.591000000000001</v>
      </c>
      <c r="F112">
        <v>53.591000000000001</v>
      </c>
      <c r="G112">
        <v>53.591000000000001</v>
      </c>
      <c r="H112">
        <v>59.408000000000001</v>
      </c>
      <c r="I112">
        <v>0</v>
      </c>
      <c r="J112">
        <v>0</v>
      </c>
      <c r="K112">
        <v>0</v>
      </c>
    </row>
    <row r="113" spans="1:11" x14ac:dyDescent="0.2">
      <c r="A113" t="s">
        <v>521</v>
      </c>
      <c r="B113" t="s">
        <v>171</v>
      </c>
      <c r="C113" t="s">
        <v>171</v>
      </c>
      <c r="D113">
        <v>0</v>
      </c>
      <c r="E113" t="s">
        <v>171</v>
      </c>
      <c r="F113" t="s">
        <v>171</v>
      </c>
      <c r="G113" t="s">
        <v>171</v>
      </c>
      <c r="H113" t="s">
        <v>171</v>
      </c>
      <c r="I113" t="s">
        <v>171</v>
      </c>
      <c r="J113" t="s">
        <v>171</v>
      </c>
      <c r="K113" t="s">
        <v>171</v>
      </c>
    </row>
    <row r="114" spans="1:11" x14ac:dyDescent="0.2">
      <c r="A114" t="s">
        <v>522</v>
      </c>
      <c r="B114" t="s">
        <v>171</v>
      </c>
      <c r="C114" t="s">
        <v>171</v>
      </c>
      <c r="D114">
        <v>0</v>
      </c>
      <c r="E114" t="s">
        <v>171</v>
      </c>
      <c r="F114" t="s">
        <v>171</v>
      </c>
      <c r="G114" t="s">
        <v>171</v>
      </c>
      <c r="H114" t="s">
        <v>171</v>
      </c>
      <c r="I114">
        <v>826.09199999999998</v>
      </c>
      <c r="J114">
        <v>1178.9690000000001</v>
      </c>
      <c r="K114">
        <v>952.61</v>
      </c>
    </row>
    <row r="115" spans="1:11" x14ac:dyDescent="0.2">
      <c r="A115" t="s">
        <v>523</v>
      </c>
      <c r="B115" t="s">
        <v>171</v>
      </c>
      <c r="C115" t="s">
        <v>171</v>
      </c>
      <c r="D115">
        <v>1.2450000000000001</v>
      </c>
      <c r="E115" t="s">
        <v>171</v>
      </c>
      <c r="F115" t="s">
        <v>171</v>
      </c>
      <c r="G115" t="s">
        <v>171</v>
      </c>
      <c r="H115" t="s">
        <v>171</v>
      </c>
      <c r="I115" t="s">
        <v>171</v>
      </c>
      <c r="J115" t="s">
        <v>171</v>
      </c>
      <c r="K115" t="s">
        <v>171</v>
      </c>
    </row>
    <row r="116" spans="1:11" x14ac:dyDescent="0.2">
      <c r="A116" t="s">
        <v>524</v>
      </c>
      <c r="B116" t="s">
        <v>171</v>
      </c>
      <c r="C116" t="s">
        <v>171</v>
      </c>
      <c r="D116">
        <v>0</v>
      </c>
      <c r="E116" t="s">
        <v>171</v>
      </c>
      <c r="F116" t="s">
        <v>171</v>
      </c>
      <c r="G116" t="s">
        <v>171</v>
      </c>
      <c r="H116" t="s">
        <v>171</v>
      </c>
      <c r="I116">
        <v>71.498999999999995</v>
      </c>
      <c r="J116">
        <v>43.106999999999999</v>
      </c>
      <c r="K116">
        <v>11.038</v>
      </c>
    </row>
    <row r="117" spans="1:11" x14ac:dyDescent="0.2">
      <c r="A117" t="s">
        <v>525</v>
      </c>
      <c r="B117" t="s">
        <v>171</v>
      </c>
      <c r="C117" t="s">
        <v>171</v>
      </c>
      <c r="D117">
        <v>0</v>
      </c>
      <c r="E117" t="s">
        <v>171</v>
      </c>
      <c r="F117" t="s">
        <v>171</v>
      </c>
      <c r="G117" t="s">
        <v>171</v>
      </c>
      <c r="H117" t="s">
        <v>171</v>
      </c>
      <c r="I117" t="s">
        <v>171</v>
      </c>
      <c r="J117" t="s">
        <v>171</v>
      </c>
      <c r="K117" t="s">
        <v>171</v>
      </c>
    </row>
    <row r="118" spans="1:11" x14ac:dyDescent="0.2">
      <c r="A118" t="s">
        <v>526</v>
      </c>
      <c r="B118" t="s">
        <v>171</v>
      </c>
      <c r="C118" t="s">
        <v>171</v>
      </c>
      <c r="D118">
        <v>53.591000000000001</v>
      </c>
      <c r="E118">
        <v>53.591000000000001</v>
      </c>
      <c r="F118">
        <v>53.591000000000001</v>
      </c>
      <c r="G118">
        <v>53.591000000000001</v>
      </c>
      <c r="H118">
        <v>59.408000000000001</v>
      </c>
      <c r="I118">
        <v>897.59100000000001</v>
      </c>
      <c r="J118">
        <v>1222.076</v>
      </c>
      <c r="K118">
        <v>963.64800000000002</v>
      </c>
    </row>
    <row r="119" spans="1:11" x14ac:dyDescent="0.2">
      <c r="A119" t="s">
        <v>527</v>
      </c>
      <c r="B119" t="s">
        <v>171</v>
      </c>
      <c r="C119" t="s">
        <v>171</v>
      </c>
      <c r="D119">
        <v>1.2450000000000001</v>
      </c>
      <c r="E119" t="s">
        <v>171</v>
      </c>
      <c r="F119" t="s">
        <v>171</v>
      </c>
      <c r="G119" t="s">
        <v>171</v>
      </c>
      <c r="H119" t="s">
        <v>171</v>
      </c>
      <c r="I119" t="s">
        <v>171</v>
      </c>
      <c r="J119" t="s">
        <v>171</v>
      </c>
      <c r="K119" t="s">
        <v>171</v>
      </c>
    </row>
    <row r="120" spans="1:11" x14ac:dyDescent="0.2">
      <c r="A120" t="s">
        <v>528</v>
      </c>
      <c r="B120" t="s">
        <v>171</v>
      </c>
      <c r="C120" t="s">
        <v>171</v>
      </c>
      <c r="D120" t="s">
        <v>171</v>
      </c>
      <c r="E120" t="s">
        <v>171</v>
      </c>
      <c r="F120" t="s">
        <v>171</v>
      </c>
      <c r="G120">
        <v>0</v>
      </c>
      <c r="H120">
        <v>5.8170000000000002</v>
      </c>
      <c r="I120" t="s">
        <v>171</v>
      </c>
      <c r="J120" t="s">
        <v>171</v>
      </c>
      <c r="K120" t="s">
        <v>171</v>
      </c>
    </row>
    <row r="121" spans="1:11" x14ac:dyDescent="0.2">
      <c r="A121" t="s">
        <v>280</v>
      </c>
      <c r="B121" t="s">
        <v>281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D037-1636-4145-9223-4ED17B4A13D1}">
  <dimension ref="A1:S102"/>
  <sheetViews>
    <sheetView topLeftCell="A6" workbookViewId="0">
      <selection activeCell="Q14" sqref="Q14"/>
    </sheetView>
  </sheetViews>
  <sheetFormatPr baseColWidth="10" defaultColWidth="8.83203125" defaultRowHeight="16" x14ac:dyDescent="0.2"/>
  <cols>
    <col min="1" max="1" width="35.1640625" customWidth="1"/>
    <col min="2" max="2" width="0" hidden="1" customWidth="1"/>
    <col min="3" max="12" width="11.83203125" customWidth="1"/>
  </cols>
  <sheetData>
    <row r="1" spans="1:19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9" ht="20" x14ac:dyDescent="0.2">
      <c r="A2" s="17" t="s">
        <v>145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9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9" x14ac:dyDescent="0.2">
      <c r="A4" s="19" t="s">
        <v>146</v>
      </c>
      <c r="B4" s="19"/>
      <c r="C4" s="20" t="s">
        <v>147</v>
      </c>
      <c r="D4" s="20" t="s">
        <v>148</v>
      </c>
      <c r="E4" s="20" t="s">
        <v>149</v>
      </c>
      <c r="F4" s="20" t="s">
        <v>150</v>
      </c>
      <c r="G4" s="20" t="s">
        <v>151</v>
      </c>
      <c r="H4" s="20" t="s">
        <v>152</v>
      </c>
      <c r="I4" s="20" t="s">
        <v>153</v>
      </c>
      <c r="J4" s="20" t="s">
        <v>154</v>
      </c>
      <c r="K4" s="20" t="s">
        <v>155</v>
      </c>
      <c r="L4" s="20" t="s">
        <v>156</v>
      </c>
    </row>
    <row r="5" spans="1:19" x14ac:dyDescent="0.2">
      <c r="A5" s="21" t="s">
        <v>157</v>
      </c>
      <c r="B5" s="21"/>
      <c r="C5" s="22" t="s">
        <v>158</v>
      </c>
      <c r="D5" s="22" t="s">
        <v>159</v>
      </c>
      <c r="E5" s="22" t="s">
        <v>160</v>
      </c>
      <c r="F5" s="22" t="s">
        <v>161</v>
      </c>
      <c r="G5" s="22" t="s">
        <v>162</v>
      </c>
      <c r="H5" s="22" t="s">
        <v>163</v>
      </c>
      <c r="I5" s="22" t="s">
        <v>164</v>
      </c>
      <c r="J5" s="22" t="s">
        <v>165</v>
      </c>
      <c r="K5" s="22" t="s">
        <v>166</v>
      </c>
      <c r="L5" s="22" t="s">
        <v>167</v>
      </c>
    </row>
    <row r="6" spans="1:19" x14ac:dyDescent="0.2">
      <c r="A6" s="23" t="s">
        <v>104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9" x14ac:dyDescent="0.2">
      <c r="A7" s="35" t="s">
        <v>282</v>
      </c>
      <c r="B7" s="33"/>
      <c r="C7" s="33">
        <f>C14+C15</f>
        <v>1370.126</v>
      </c>
      <c r="D7" s="33">
        <f t="shared" ref="D7:L7" si="0">D14+D15</f>
        <v>1684.951</v>
      </c>
      <c r="E7" s="33">
        <f t="shared" si="0"/>
        <v>1845.1080000000002</v>
      </c>
      <c r="F7" s="33">
        <f t="shared" si="0"/>
        <v>2054.7709999999997</v>
      </c>
      <c r="G7" s="33">
        <f t="shared" si="0"/>
        <v>2362.3339999999998</v>
      </c>
      <c r="H7" s="33">
        <f t="shared" si="0"/>
        <v>2383.4939999999997</v>
      </c>
      <c r="I7" s="33">
        <f t="shared" si="0"/>
        <v>2144.8829999999998</v>
      </c>
      <c r="J7" s="33">
        <f t="shared" si="0"/>
        <v>2346.7579999999998</v>
      </c>
      <c r="K7" s="33">
        <f t="shared" si="0"/>
        <v>2285.8269999999998</v>
      </c>
      <c r="L7" s="33">
        <f t="shared" si="0"/>
        <v>2321.9609999999998</v>
      </c>
      <c r="M7" t="s">
        <v>47</v>
      </c>
    </row>
    <row r="8" spans="1:19" x14ac:dyDescent="0.2">
      <c r="A8" s="25" t="s">
        <v>283</v>
      </c>
      <c r="B8" s="25" t="s">
        <v>284</v>
      </c>
      <c r="C8" s="27" t="s">
        <v>171</v>
      </c>
      <c r="D8" s="27" t="s">
        <v>171</v>
      </c>
      <c r="E8" s="27" t="s">
        <v>171</v>
      </c>
      <c r="F8" s="27" t="s">
        <v>171</v>
      </c>
      <c r="G8" s="27" t="s">
        <v>171</v>
      </c>
      <c r="H8" s="27" t="s">
        <v>171</v>
      </c>
      <c r="I8" s="27" t="s">
        <v>171</v>
      </c>
      <c r="J8" s="27" t="s">
        <v>171</v>
      </c>
      <c r="K8" s="27" t="s">
        <v>171</v>
      </c>
    </row>
    <row r="9" spans="1:19" x14ac:dyDescent="0.2">
      <c r="A9" s="25" t="s">
        <v>285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9" x14ac:dyDescent="0.2">
      <c r="A10" s="25" t="s">
        <v>286</v>
      </c>
      <c r="B10" s="25" t="s">
        <v>287</v>
      </c>
      <c r="C10" s="27">
        <v>199.65799999999999</v>
      </c>
      <c r="D10" s="27">
        <v>212.48699999999999</v>
      </c>
      <c r="E10" s="27">
        <v>309.01600000000002</v>
      </c>
      <c r="F10" s="27">
        <v>367.05700000000002</v>
      </c>
      <c r="G10" s="27">
        <v>390.17700000000002</v>
      </c>
      <c r="H10" s="27">
        <v>454.02300000000002</v>
      </c>
      <c r="I10" s="27">
        <v>493.49700000000001</v>
      </c>
      <c r="J10" s="27">
        <v>546.24099999999999</v>
      </c>
      <c r="K10" s="27">
        <v>585.93899999999996</v>
      </c>
      <c r="L10" s="27">
        <v>611.60400000000004</v>
      </c>
    </row>
    <row r="11" spans="1:19" x14ac:dyDescent="0.2">
      <c r="A11" s="25" t="s">
        <v>288</v>
      </c>
      <c r="B11" s="25" t="s">
        <v>289</v>
      </c>
      <c r="C11" s="27">
        <v>255.77199999999999</v>
      </c>
      <c r="D11" s="27">
        <v>297.10599999999999</v>
      </c>
      <c r="E11" s="27">
        <v>407.87299999999999</v>
      </c>
      <c r="F11" s="27">
        <v>446.952</v>
      </c>
      <c r="G11" s="27">
        <v>590.15800000000002</v>
      </c>
      <c r="H11" s="27">
        <v>622.73699999999997</v>
      </c>
      <c r="I11" s="27">
        <v>595.30799999999999</v>
      </c>
      <c r="J11" s="27">
        <v>670.96900000000005</v>
      </c>
      <c r="K11" s="27">
        <v>799.92700000000002</v>
      </c>
      <c r="L11" s="27">
        <v>1132.3050000000001</v>
      </c>
    </row>
    <row r="12" spans="1:19" x14ac:dyDescent="0.2">
      <c r="A12" s="25" t="s">
        <v>290</v>
      </c>
      <c r="B12" s="25" t="s">
        <v>291</v>
      </c>
      <c r="C12" s="27">
        <v>64.495000000000005</v>
      </c>
      <c r="D12" s="27">
        <v>138.864</v>
      </c>
      <c r="E12" s="27">
        <v>180.649</v>
      </c>
      <c r="F12" s="27">
        <v>237.149</v>
      </c>
      <c r="G12" s="27">
        <v>361.49099999999999</v>
      </c>
      <c r="H12" s="27">
        <v>169.101</v>
      </c>
      <c r="I12" s="27">
        <v>25.771000000000001</v>
      </c>
      <c r="J12" s="27">
        <v>-17.196000000000002</v>
      </c>
      <c r="K12" s="27">
        <v>98.706000000000003</v>
      </c>
      <c r="L12" s="27">
        <v>456.59100000000001</v>
      </c>
    </row>
    <row r="13" spans="1:19" x14ac:dyDescent="0.2">
      <c r="A13" s="25" t="s">
        <v>292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</row>
    <row r="14" spans="1:19" x14ac:dyDescent="0.2">
      <c r="A14" s="32" t="s">
        <v>438</v>
      </c>
      <c r="B14" s="33"/>
      <c r="C14" s="33">
        <f>C10+C11+C12</f>
        <v>519.92499999999995</v>
      </c>
      <c r="D14" s="33">
        <f t="shared" ref="D14:L14" si="1">D10+D11+D12</f>
        <v>648.45699999999999</v>
      </c>
      <c r="E14" s="33">
        <f t="shared" si="1"/>
        <v>897.53800000000001</v>
      </c>
      <c r="F14" s="33">
        <f t="shared" si="1"/>
        <v>1051.1579999999999</v>
      </c>
      <c r="G14" s="33">
        <f t="shared" si="1"/>
        <v>1341.826</v>
      </c>
      <c r="H14" s="33">
        <f t="shared" si="1"/>
        <v>1245.8609999999999</v>
      </c>
      <c r="I14" s="33">
        <f t="shared" si="1"/>
        <v>1114.576</v>
      </c>
      <c r="J14" s="33">
        <f t="shared" si="1"/>
        <v>1200.0140000000001</v>
      </c>
      <c r="K14" s="33">
        <f t="shared" si="1"/>
        <v>1484.5719999999999</v>
      </c>
      <c r="L14" s="33">
        <f t="shared" si="1"/>
        <v>2200.5</v>
      </c>
      <c r="M14" t="s">
        <v>14</v>
      </c>
      <c r="N14" s="2">
        <f t="shared" ref="N14:R14" si="2">G15/G7</f>
        <v>0.4319914118833324</v>
      </c>
      <c r="O14" s="2">
        <f t="shared" si="2"/>
        <v>0.47729635568623213</v>
      </c>
      <c r="P14" s="2">
        <f t="shared" si="2"/>
        <v>0.48035580495532859</v>
      </c>
      <c r="Q14" s="2">
        <f t="shared" si="2"/>
        <v>0.48865029969004048</v>
      </c>
      <c r="R14" s="2">
        <f t="shared" si="2"/>
        <v>0.35053177690175158</v>
      </c>
      <c r="S14" s="2">
        <f>L15/L7</f>
        <v>5.2309664115805565E-2</v>
      </c>
    </row>
    <row r="15" spans="1:19" x14ac:dyDescent="0.2">
      <c r="A15" s="32" t="s">
        <v>437</v>
      </c>
      <c r="B15" s="33"/>
      <c r="C15" s="34">
        <v>850.20100000000002</v>
      </c>
      <c r="D15" s="34">
        <v>1036.4939999999999</v>
      </c>
      <c r="E15" s="34">
        <v>947.57</v>
      </c>
      <c r="F15" s="34">
        <v>1003.6130000000001</v>
      </c>
      <c r="G15" s="34">
        <v>1020.508</v>
      </c>
      <c r="H15" s="34">
        <v>1137.633</v>
      </c>
      <c r="I15" s="34">
        <v>1030.307</v>
      </c>
      <c r="J15" s="34">
        <v>1146.7439999999999</v>
      </c>
      <c r="K15" s="34">
        <v>801.255</v>
      </c>
      <c r="L15" s="34">
        <v>121.461</v>
      </c>
      <c r="M15" t="s">
        <v>28</v>
      </c>
    </row>
    <row r="16" spans="1:19" x14ac:dyDescent="0.2">
      <c r="A16" s="25" t="s">
        <v>293</v>
      </c>
      <c r="B16" s="25" t="s">
        <v>294</v>
      </c>
      <c r="C16" s="27">
        <v>205.511</v>
      </c>
      <c r="D16" s="27">
        <v>311.89100000000002</v>
      </c>
      <c r="E16" s="27">
        <v>337.5</v>
      </c>
      <c r="F16" s="27">
        <v>322.36700000000002</v>
      </c>
      <c r="G16" s="27">
        <v>510.02600000000001</v>
      </c>
      <c r="H16" s="27">
        <v>411.29500000000002</v>
      </c>
      <c r="I16" s="27">
        <v>399.43400000000003</v>
      </c>
      <c r="J16" s="27">
        <v>417.24299999999999</v>
      </c>
      <c r="K16" s="27">
        <v>332.31099999999998</v>
      </c>
      <c r="L16" s="27">
        <v>270.26</v>
      </c>
      <c r="M16" t="s">
        <v>86</v>
      </c>
    </row>
    <row r="17" spans="1:14" x14ac:dyDescent="0.2">
      <c r="A17" s="25"/>
      <c r="B17" s="25"/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1:14" x14ac:dyDescent="0.2">
      <c r="A18" s="31"/>
      <c r="B18" s="25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1:14" x14ac:dyDescent="0.2">
      <c r="A19" s="25" t="s">
        <v>295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 spans="1:14" x14ac:dyDescent="0.2">
      <c r="A20" s="25" t="s">
        <v>296</v>
      </c>
      <c r="B20" s="25" t="s">
        <v>297</v>
      </c>
      <c r="C20" s="27">
        <v>1.06</v>
      </c>
      <c r="D20" s="27" t="s">
        <v>171</v>
      </c>
      <c r="E20" s="27" t="s">
        <v>171</v>
      </c>
      <c r="F20" s="27" t="s">
        <v>171</v>
      </c>
      <c r="G20" s="27" t="s">
        <v>171</v>
      </c>
      <c r="H20" s="27" t="s">
        <v>171</v>
      </c>
      <c r="I20" s="27" t="s">
        <v>171</v>
      </c>
      <c r="J20" s="27" t="s">
        <v>171</v>
      </c>
      <c r="K20" s="27" t="s">
        <v>171</v>
      </c>
      <c r="L20" s="27" t="s">
        <v>171</v>
      </c>
    </row>
    <row r="21" spans="1:14" x14ac:dyDescent="0.2">
      <c r="A21" s="25" t="s">
        <v>298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</row>
    <row r="22" spans="1:14" x14ac:dyDescent="0.2">
      <c r="A22" s="25" t="s">
        <v>299</v>
      </c>
      <c r="B22" s="25" t="s">
        <v>300</v>
      </c>
      <c r="C22" s="27">
        <v>42.478999999999999</v>
      </c>
      <c r="D22" s="27">
        <v>59.423999999999999</v>
      </c>
      <c r="E22" s="27">
        <v>41.924999999999997</v>
      </c>
      <c r="F22" s="27">
        <v>43.582999999999998</v>
      </c>
      <c r="G22" s="27">
        <v>71.843000000000004</v>
      </c>
      <c r="H22" s="27">
        <v>74.099000000000004</v>
      </c>
      <c r="I22" s="27">
        <v>55.155000000000001</v>
      </c>
      <c r="J22" s="27">
        <v>57.947000000000003</v>
      </c>
      <c r="K22" s="27">
        <v>67.040999999999997</v>
      </c>
      <c r="L22" s="27">
        <v>52.25</v>
      </c>
    </row>
    <row r="23" spans="1:14" x14ac:dyDescent="0.2">
      <c r="A23" s="25" t="s">
        <v>44</v>
      </c>
      <c r="B23" s="25" t="s">
        <v>301</v>
      </c>
      <c r="C23" s="30">
        <v>7.4</v>
      </c>
      <c r="D23" s="30" t="s">
        <v>171</v>
      </c>
      <c r="E23" s="30" t="s">
        <v>171</v>
      </c>
      <c r="F23" s="30" t="s">
        <v>171</v>
      </c>
      <c r="G23" s="30">
        <v>12</v>
      </c>
      <c r="H23" s="30">
        <v>12</v>
      </c>
      <c r="I23" s="30">
        <v>12.2</v>
      </c>
      <c r="J23" s="30">
        <v>17</v>
      </c>
      <c r="K23" s="30">
        <v>15.5</v>
      </c>
      <c r="L23" s="30">
        <v>5.0999999999999996</v>
      </c>
    </row>
    <row r="24" spans="1:14" x14ac:dyDescent="0.2">
      <c r="A24" s="25" t="s">
        <v>302</v>
      </c>
      <c r="B24" s="25" t="s">
        <v>303</v>
      </c>
      <c r="C24" s="30">
        <v>30.2</v>
      </c>
      <c r="D24" s="30" t="s">
        <v>171</v>
      </c>
      <c r="E24" s="30">
        <v>26.2</v>
      </c>
      <c r="F24" s="30">
        <v>29.8</v>
      </c>
      <c r="G24" s="30">
        <v>20.7</v>
      </c>
      <c r="H24" s="30">
        <v>30.7</v>
      </c>
      <c r="I24" s="30">
        <v>27.1</v>
      </c>
      <c r="J24" s="30">
        <v>31.5</v>
      </c>
      <c r="K24" s="30">
        <v>18.7</v>
      </c>
      <c r="L24" s="30">
        <v>-9.3000000000000007</v>
      </c>
      <c r="N24" s="36"/>
    </row>
    <row r="25" spans="1:14" x14ac:dyDescent="0.2">
      <c r="A25" s="25" t="s">
        <v>304</v>
      </c>
      <c r="B25" s="25" t="s">
        <v>305</v>
      </c>
      <c r="C25" s="27">
        <v>2129</v>
      </c>
      <c r="D25" s="27" t="s">
        <v>171</v>
      </c>
      <c r="E25" s="27" t="s">
        <v>171</v>
      </c>
      <c r="F25" s="27" t="s">
        <v>171</v>
      </c>
      <c r="G25" s="27" t="s">
        <v>171</v>
      </c>
      <c r="H25" s="27">
        <v>2125</v>
      </c>
      <c r="I25" s="27">
        <v>2128</v>
      </c>
      <c r="J25" s="27">
        <v>2132.808</v>
      </c>
      <c r="K25" s="27">
        <v>2147</v>
      </c>
      <c r="L25" s="27">
        <v>2155</v>
      </c>
    </row>
    <row r="26" spans="1:14" x14ac:dyDescent="0.2">
      <c r="A26" s="25" t="s">
        <v>306</v>
      </c>
      <c r="B26" s="25" t="s">
        <v>307</v>
      </c>
      <c r="C26" s="30">
        <v>29.8</v>
      </c>
      <c r="D26" s="30" t="s">
        <v>171</v>
      </c>
      <c r="E26" s="30">
        <v>25.7</v>
      </c>
      <c r="F26" s="30">
        <v>29.2</v>
      </c>
      <c r="G26" s="30">
        <v>20.3</v>
      </c>
      <c r="H26" s="30">
        <v>30.1</v>
      </c>
      <c r="I26" s="30">
        <v>25.8</v>
      </c>
      <c r="J26" s="30">
        <v>29.4</v>
      </c>
      <c r="K26" s="30">
        <v>17.600000000000001</v>
      </c>
      <c r="L26" s="30">
        <v>-8.9</v>
      </c>
    </row>
    <row r="27" spans="1:14" x14ac:dyDescent="0.2">
      <c r="A27" s="25" t="s">
        <v>308</v>
      </c>
      <c r="B27" s="25" t="s">
        <v>309</v>
      </c>
      <c r="C27" s="27">
        <v>2405</v>
      </c>
      <c r="D27" s="27" t="s">
        <v>171</v>
      </c>
      <c r="E27" s="27" t="s">
        <v>171</v>
      </c>
      <c r="F27" s="27" t="s">
        <v>171</v>
      </c>
      <c r="G27" s="27" t="s">
        <v>171</v>
      </c>
      <c r="H27" s="27">
        <v>2144</v>
      </c>
      <c r="I27" s="27">
        <v>2144</v>
      </c>
      <c r="J27" s="27">
        <v>2281.8359999999998</v>
      </c>
      <c r="K27" s="27">
        <v>2149</v>
      </c>
      <c r="L27" s="27">
        <v>2155</v>
      </c>
    </row>
    <row r="28" spans="1:14" x14ac:dyDescent="0.2">
      <c r="A28" s="25" t="s">
        <v>310</v>
      </c>
      <c r="B28" s="25" t="s">
        <v>311</v>
      </c>
      <c r="C28" s="27" t="s">
        <v>171</v>
      </c>
      <c r="D28" s="27" t="s">
        <v>171</v>
      </c>
      <c r="E28" s="27" t="s">
        <v>171</v>
      </c>
      <c r="F28" s="27" t="s">
        <v>171</v>
      </c>
      <c r="G28" s="27" t="s">
        <v>171</v>
      </c>
      <c r="H28" s="27" t="s">
        <v>171</v>
      </c>
      <c r="I28" s="27" t="s">
        <v>171</v>
      </c>
      <c r="J28" s="27">
        <v>671.55399999999997</v>
      </c>
      <c r="K28" s="27">
        <v>401.90300000000002</v>
      </c>
      <c r="L28" s="27">
        <v>-201.04900000000001</v>
      </c>
    </row>
    <row r="29" spans="1:14" x14ac:dyDescent="0.2">
      <c r="A29" s="25" t="s">
        <v>312</v>
      </c>
      <c r="B29" s="25" t="s">
        <v>313</v>
      </c>
      <c r="C29" s="30" t="s">
        <v>171</v>
      </c>
      <c r="D29" s="30">
        <v>8</v>
      </c>
      <c r="E29" s="30">
        <v>6.5</v>
      </c>
      <c r="F29" s="30">
        <v>13.1</v>
      </c>
      <c r="G29" s="30">
        <v>3.3</v>
      </c>
      <c r="H29" s="30">
        <v>7.7</v>
      </c>
      <c r="I29" s="30">
        <v>8.3000000000000007</v>
      </c>
      <c r="J29" s="30">
        <v>9.6999999999999993</v>
      </c>
      <c r="K29" s="30">
        <v>9.6999999999999993</v>
      </c>
      <c r="L29" s="30" t="s">
        <v>171</v>
      </c>
    </row>
    <row r="30" spans="1:14" x14ac:dyDescent="0.2">
      <c r="A30" s="25" t="s">
        <v>314</v>
      </c>
      <c r="B30" s="25" t="s">
        <v>315</v>
      </c>
      <c r="C30" s="30" t="s">
        <v>171</v>
      </c>
      <c r="D30" s="30">
        <v>9</v>
      </c>
      <c r="E30" s="30">
        <v>9</v>
      </c>
      <c r="F30" s="30">
        <v>8.5</v>
      </c>
      <c r="G30" s="30">
        <v>8.6999999999999993</v>
      </c>
      <c r="H30" s="30">
        <v>4.3</v>
      </c>
      <c r="I30" s="30">
        <v>3.9</v>
      </c>
      <c r="J30" s="30">
        <v>7.3</v>
      </c>
      <c r="K30" s="30">
        <v>5.8</v>
      </c>
      <c r="L30" s="30">
        <v>5.0999999999999996</v>
      </c>
    </row>
    <row r="31" spans="1:14" x14ac:dyDescent="0.2">
      <c r="A31" s="25" t="s">
        <v>316</v>
      </c>
      <c r="B31" s="25" t="s">
        <v>317</v>
      </c>
      <c r="C31" s="27">
        <v>643.63</v>
      </c>
      <c r="D31" s="27">
        <v>724.60299999999995</v>
      </c>
      <c r="E31" s="27">
        <v>610.07000000000005</v>
      </c>
      <c r="F31" s="27">
        <v>681.24599999999998</v>
      </c>
      <c r="G31" s="27">
        <v>510.48200000000003</v>
      </c>
      <c r="H31" s="27">
        <v>726.33799999999997</v>
      </c>
      <c r="I31" s="27">
        <v>630.87300000000005</v>
      </c>
      <c r="J31" s="27">
        <v>729.50099999999998</v>
      </c>
      <c r="K31" s="27">
        <v>468.94400000000002</v>
      </c>
      <c r="L31" s="27">
        <v>-148.79900000000001</v>
      </c>
    </row>
    <row r="32" spans="1:14" s="39" customFormat="1" x14ac:dyDescent="0.2">
      <c r="A32" s="37" t="s">
        <v>46</v>
      </c>
      <c r="B32" s="37" t="s">
        <v>318</v>
      </c>
      <c r="C32" s="38">
        <v>601.15099999999995</v>
      </c>
      <c r="D32" s="38">
        <v>665.17899999999997</v>
      </c>
      <c r="E32" s="38">
        <v>568.14499999999998</v>
      </c>
      <c r="F32" s="38">
        <v>637.66300000000001</v>
      </c>
      <c r="G32" s="38">
        <v>438.63900000000001</v>
      </c>
      <c r="H32" s="38">
        <v>652.23900000000003</v>
      </c>
      <c r="I32" s="38">
        <v>575.71799999999996</v>
      </c>
      <c r="J32" s="38">
        <v>671.55399999999997</v>
      </c>
      <c r="K32" s="38">
        <v>401.90300000000002</v>
      </c>
      <c r="L32" s="38">
        <v>-201.04900000000001</v>
      </c>
    </row>
    <row r="33" spans="1:13" x14ac:dyDescent="0.2">
      <c r="A33" s="25" t="s">
        <v>319</v>
      </c>
      <c r="B33" s="26"/>
      <c r="C33" s="26"/>
      <c r="D33" s="26">
        <f>D15-D16-D22</f>
        <v>665.17899999999986</v>
      </c>
      <c r="E33" s="26">
        <f t="shared" ref="E33:J33" si="3">E15-E16-E22</f>
        <v>568.1450000000001</v>
      </c>
      <c r="F33" s="26">
        <f t="shared" si="3"/>
        <v>637.66300000000012</v>
      </c>
      <c r="G33" s="26">
        <f t="shared" si="3"/>
        <v>438.63900000000001</v>
      </c>
      <c r="H33" s="26">
        <f t="shared" si="3"/>
        <v>652.23899999999992</v>
      </c>
      <c r="I33" s="26">
        <f t="shared" si="3"/>
        <v>575.71800000000007</v>
      </c>
      <c r="J33" s="26">
        <f t="shared" si="3"/>
        <v>671.55399999999997</v>
      </c>
      <c r="K33" s="26">
        <f>K15-K16-K22</f>
        <v>401.90300000000002</v>
      </c>
      <c r="L33" s="26">
        <f>L15-L16-L22</f>
        <v>-201.04899999999998</v>
      </c>
    </row>
    <row r="34" spans="1:13" x14ac:dyDescent="0.2">
      <c r="A34" s="25" t="s">
        <v>320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</row>
    <row r="35" spans="1:13" x14ac:dyDescent="0.2">
      <c r="A35" s="23" t="s">
        <v>321</v>
      </c>
      <c r="B35" s="23" t="s">
        <v>322</v>
      </c>
      <c r="C35" s="28">
        <v>-55.302999999999997</v>
      </c>
      <c r="D35" s="28" t="s">
        <v>171</v>
      </c>
      <c r="E35" s="28">
        <v>-377.91699999999997</v>
      </c>
      <c r="F35" s="28">
        <v>-39.162999999999997</v>
      </c>
      <c r="G35" s="28">
        <v>-48.688000000000002</v>
      </c>
      <c r="H35" s="28">
        <v>-18.634</v>
      </c>
      <c r="I35" s="28">
        <v>-219.197</v>
      </c>
      <c r="J35" s="28">
        <v>329.82400000000001</v>
      </c>
      <c r="K35" s="28">
        <v>75.424999999999997</v>
      </c>
      <c r="L35" s="28">
        <v>-180.05799999999999</v>
      </c>
    </row>
    <row r="36" spans="1:13" x14ac:dyDescent="0.2">
      <c r="A36" s="23" t="s">
        <v>323</v>
      </c>
      <c r="B36" s="23" t="s">
        <v>324</v>
      </c>
      <c r="C36" s="28" t="s">
        <v>171</v>
      </c>
      <c r="D36" s="28" t="s">
        <v>171</v>
      </c>
      <c r="E36" s="28" t="s">
        <v>171</v>
      </c>
      <c r="F36" s="28" t="s">
        <v>171</v>
      </c>
      <c r="G36" s="28" t="s">
        <v>171</v>
      </c>
      <c r="H36" s="28">
        <v>0</v>
      </c>
      <c r="I36" s="28">
        <v>5.8170000000000002</v>
      </c>
      <c r="J36" s="28">
        <v>9.4309999999999992</v>
      </c>
      <c r="K36" s="28">
        <v>-28.391999999999999</v>
      </c>
      <c r="L36" s="28">
        <v>-43.106999999999999</v>
      </c>
    </row>
    <row r="37" spans="1:13" x14ac:dyDescent="0.2">
      <c r="A37" s="23" t="s">
        <v>325</v>
      </c>
      <c r="B37" s="23" t="s">
        <v>326</v>
      </c>
      <c r="C37" s="28">
        <v>552.63599999999997</v>
      </c>
      <c r="D37" s="28" t="s">
        <v>171</v>
      </c>
      <c r="E37" s="28">
        <v>188.14500000000001</v>
      </c>
      <c r="F37" s="28">
        <v>591.53899999999999</v>
      </c>
      <c r="G37" s="28">
        <v>422.78</v>
      </c>
      <c r="H37" s="28">
        <v>629.36400000000003</v>
      </c>
      <c r="I37" s="28">
        <v>371.74700000000001</v>
      </c>
      <c r="J37" s="28">
        <v>1009.317</v>
      </c>
      <c r="K37" s="28">
        <v>438.19900000000001</v>
      </c>
      <c r="L37" s="28">
        <v>-414.053</v>
      </c>
    </row>
    <row r="38" spans="1:13" x14ac:dyDescent="0.2">
      <c r="A38" s="23" t="s">
        <v>327</v>
      </c>
      <c r="B38" s="23" t="s">
        <v>328</v>
      </c>
      <c r="C38" s="28">
        <v>-35.691000000000003</v>
      </c>
      <c r="D38" s="28" t="s">
        <v>171</v>
      </c>
      <c r="E38" s="28">
        <v>44.008000000000003</v>
      </c>
      <c r="F38" s="28">
        <v>50.543999999999997</v>
      </c>
      <c r="G38" s="28">
        <v>39.014000000000003</v>
      </c>
      <c r="H38" s="28">
        <v>78.34</v>
      </c>
      <c r="I38" s="28">
        <v>45.746000000000002</v>
      </c>
      <c r="J38" s="28">
        <v>59.439</v>
      </c>
      <c r="K38" s="28">
        <v>77.778000000000006</v>
      </c>
      <c r="L38" s="28">
        <v>42.088999999999999</v>
      </c>
    </row>
    <row r="39" spans="1:13" x14ac:dyDescent="0.2">
      <c r="A39" s="23" t="s">
        <v>329</v>
      </c>
      <c r="B39" s="23" t="s">
        <v>330</v>
      </c>
      <c r="C39" s="28">
        <v>643.63</v>
      </c>
      <c r="D39" s="28" t="s">
        <v>171</v>
      </c>
      <c r="E39" s="28">
        <v>610.07000000000005</v>
      </c>
      <c r="F39" s="28">
        <v>681.24599999999998</v>
      </c>
      <c r="G39" s="28">
        <v>510.48200000000003</v>
      </c>
      <c r="H39" s="28">
        <v>726.33799999999997</v>
      </c>
      <c r="I39" s="28">
        <v>630.87300000000005</v>
      </c>
      <c r="J39" s="28">
        <v>729.50099999999998</v>
      </c>
      <c r="K39" s="28">
        <v>468.94400000000002</v>
      </c>
      <c r="L39" s="28">
        <v>-148.79900000000001</v>
      </c>
      <c r="M39" t="s">
        <v>94</v>
      </c>
    </row>
    <row r="40" spans="1:13" x14ac:dyDescent="0.2">
      <c r="A40" s="23" t="s">
        <v>331</v>
      </c>
      <c r="B40" s="23" t="s">
        <v>332</v>
      </c>
      <c r="C40" s="28" t="s">
        <v>171</v>
      </c>
      <c r="D40" s="28" t="s">
        <v>171</v>
      </c>
      <c r="E40" s="28">
        <v>232.15299999999999</v>
      </c>
      <c r="F40" s="28">
        <v>642.08299999999997</v>
      </c>
      <c r="G40" s="28">
        <v>0.46179999999999999</v>
      </c>
      <c r="H40" s="28">
        <v>707.70399999999995</v>
      </c>
      <c r="I40" s="28">
        <v>417.49299999999999</v>
      </c>
      <c r="J40" s="28">
        <v>1068.7560000000001</v>
      </c>
      <c r="K40" s="28">
        <v>515.97699999999998</v>
      </c>
      <c r="L40" s="28">
        <v>-371.964</v>
      </c>
    </row>
    <row r="41" spans="1:13" x14ac:dyDescent="0.2">
      <c r="A41" s="25" t="s">
        <v>333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</row>
    <row r="42" spans="1:13" x14ac:dyDescent="0.2">
      <c r="A42" s="23" t="s">
        <v>204</v>
      </c>
      <c r="B42" s="23" t="s">
        <v>334</v>
      </c>
      <c r="C42" s="28">
        <v>62.488</v>
      </c>
      <c r="D42" s="28" t="s">
        <v>171</v>
      </c>
      <c r="E42" s="28" t="s">
        <v>171</v>
      </c>
      <c r="F42" s="28" t="s">
        <v>171</v>
      </c>
      <c r="G42" s="28" t="s">
        <v>171</v>
      </c>
      <c r="H42" s="28" t="s">
        <v>171</v>
      </c>
      <c r="I42" s="28" t="s">
        <v>171</v>
      </c>
      <c r="J42" s="28" t="s">
        <v>171</v>
      </c>
      <c r="K42" s="28" t="s">
        <v>171</v>
      </c>
      <c r="L42" s="28" t="s">
        <v>171</v>
      </c>
    </row>
    <row r="43" spans="1:13" x14ac:dyDescent="0.2">
      <c r="A43" s="23" t="s">
        <v>335</v>
      </c>
      <c r="B43" s="23" t="s">
        <v>336</v>
      </c>
      <c r="C43" s="28" t="s">
        <v>171</v>
      </c>
      <c r="D43" s="28" t="s">
        <v>171</v>
      </c>
      <c r="E43" s="28" t="s">
        <v>171</v>
      </c>
      <c r="F43" s="28" t="s">
        <v>171</v>
      </c>
      <c r="G43" s="28" t="s">
        <v>171</v>
      </c>
      <c r="H43" s="28" t="s">
        <v>171</v>
      </c>
      <c r="I43" s="28" t="s">
        <v>171</v>
      </c>
      <c r="J43" s="28">
        <v>14.93</v>
      </c>
      <c r="K43" s="28">
        <v>12.523999999999999</v>
      </c>
      <c r="L43" s="28">
        <v>12.244</v>
      </c>
    </row>
    <row r="44" spans="1:13" x14ac:dyDescent="0.2">
      <c r="A44" s="23" t="s">
        <v>337</v>
      </c>
      <c r="B44" s="23" t="s">
        <v>338</v>
      </c>
      <c r="C44" s="28">
        <v>1113.6880000000001</v>
      </c>
      <c r="D44" s="28">
        <v>1426.8620000000001</v>
      </c>
      <c r="E44" s="28">
        <v>1610.7670000000001</v>
      </c>
      <c r="F44" s="28">
        <v>1782.0060000000001</v>
      </c>
      <c r="G44" s="28">
        <v>2064.1779999999999</v>
      </c>
      <c r="H44" s="28">
        <v>2051.0250000000001</v>
      </c>
      <c r="I44" s="28">
        <v>1861.3140000000001</v>
      </c>
      <c r="J44" s="28">
        <v>1976.473</v>
      </c>
      <c r="K44" s="28">
        <v>1756.47</v>
      </c>
      <c r="L44" s="28">
        <v>1722.2729999999999</v>
      </c>
      <c r="M44" t="s">
        <v>439</v>
      </c>
    </row>
    <row r="45" spans="1:13" x14ac:dyDescent="0.2">
      <c r="A45" s="25" t="s">
        <v>339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</row>
    <row r="46" spans="1:13" x14ac:dyDescent="0.2">
      <c r="A46" s="23" t="s">
        <v>340</v>
      </c>
      <c r="B46" s="23" t="s">
        <v>341</v>
      </c>
      <c r="C46" s="28">
        <v>1176.1759999999999</v>
      </c>
      <c r="D46" s="28" t="s">
        <v>171</v>
      </c>
      <c r="E46" s="28" t="s">
        <v>171</v>
      </c>
      <c r="F46" s="28" t="s">
        <v>171</v>
      </c>
      <c r="G46" s="28" t="s">
        <v>171</v>
      </c>
      <c r="H46" s="28" t="s">
        <v>171</v>
      </c>
      <c r="I46" s="28" t="s">
        <v>171</v>
      </c>
      <c r="J46" s="28" t="s">
        <v>171</v>
      </c>
      <c r="K46" s="28" t="s">
        <v>171</v>
      </c>
      <c r="L46" s="28" t="s">
        <v>171</v>
      </c>
    </row>
    <row r="47" spans="1:13" x14ac:dyDescent="0.2">
      <c r="A47" s="23" t="s">
        <v>342</v>
      </c>
      <c r="B47" s="23" t="s">
        <v>343</v>
      </c>
      <c r="C47" s="28" t="s">
        <v>171</v>
      </c>
      <c r="D47" s="28">
        <v>1753.556</v>
      </c>
      <c r="E47" s="28">
        <v>1963.1289999999999</v>
      </c>
      <c r="F47" s="28">
        <v>2252.636</v>
      </c>
      <c r="G47" s="28">
        <v>2718.2570000000001</v>
      </c>
      <c r="H47" s="28">
        <v>2974.8389999999999</v>
      </c>
      <c r="I47" s="28">
        <v>2712.2779999999998</v>
      </c>
      <c r="J47" s="28">
        <v>3110.511</v>
      </c>
      <c r="K47" s="28">
        <v>3145.672</v>
      </c>
      <c r="L47" s="28">
        <v>3424.9470000000001</v>
      </c>
    </row>
    <row r="48" spans="1:13" x14ac:dyDescent="0.2">
      <c r="A48" s="23" t="s">
        <v>344</v>
      </c>
      <c r="B48" s="23" t="s">
        <v>345</v>
      </c>
      <c r="C48" s="28" t="s">
        <v>171</v>
      </c>
      <c r="D48" s="28">
        <v>326.69400000000002</v>
      </c>
      <c r="E48" s="28">
        <v>352.36200000000002</v>
      </c>
      <c r="F48" s="28">
        <v>470.63</v>
      </c>
      <c r="G48" s="28">
        <v>654.07899999999995</v>
      </c>
      <c r="H48" s="28">
        <v>923.81399999999996</v>
      </c>
      <c r="I48" s="28">
        <v>850.96400000000006</v>
      </c>
      <c r="J48" s="28">
        <v>1119.1079999999999</v>
      </c>
      <c r="K48" s="28">
        <v>1376.6780000000001</v>
      </c>
      <c r="L48" s="28">
        <v>1690.43</v>
      </c>
      <c r="M48" t="s">
        <v>89</v>
      </c>
    </row>
    <row r="49" spans="1:12" x14ac:dyDescent="0.2">
      <c r="A49" s="25" t="s">
        <v>346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</row>
    <row r="50" spans="1:12" x14ac:dyDescent="0.2">
      <c r="A50" s="23" t="s">
        <v>347</v>
      </c>
      <c r="B50" s="23" t="s">
        <v>348</v>
      </c>
      <c r="C50" s="28">
        <v>122.202</v>
      </c>
      <c r="D50" s="28">
        <v>229.39</v>
      </c>
      <c r="E50" s="28">
        <v>209.72399999999999</v>
      </c>
      <c r="F50" s="28">
        <v>234.16900000000001</v>
      </c>
      <c r="G50" s="28">
        <v>267.42099999999999</v>
      </c>
      <c r="H50" s="28">
        <v>273.01799999999997</v>
      </c>
      <c r="I50" s="28">
        <v>212.536</v>
      </c>
      <c r="J50" s="28">
        <v>286.60399999999998</v>
      </c>
      <c r="K50" s="28">
        <v>439.803</v>
      </c>
      <c r="L50" s="28">
        <v>542.66</v>
      </c>
    </row>
    <row r="51" spans="1:12" x14ac:dyDescent="0.2">
      <c r="A51" s="23" t="s">
        <v>349</v>
      </c>
      <c r="B51" s="23" t="s">
        <v>350</v>
      </c>
      <c r="C51" s="28" t="s">
        <v>171</v>
      </c>
      <c r="D51" s="28">
        <v>28.699000000000002</v>
      </c>
      <c r="E51" s="28">
        <v>24.617000000000001</v>
      </c>
      <c r="F51" s="28">
        <v>38.595999999999997</v>
      </c>
      <c r="G51" s="28">
        <v>30.734999999999999</v>
      </c>
      <c r="H51" s="28">
        <v>59.451000000000001</v>
      </c>
      <c r="I51" s="28">
        <v>71.033000000000001</v>
      </c>
      <c r="J51" s="28">
        <v>83.680999999999997</v>
      </c>
      <c r="K51" s="28">
        <v>89.554000000000002</v>
      </c>
      <c r="L51" s="28">
        <v>57.027999999999999</v>
      </c>
    </row>
    <row r="52" spans="1:12" x14ac:dyDescent="0.2">
      <c r="A52" s="23" t="s">
        <v>351</v>
      </c>
      <c r="B52" s="23" t="s">
        <v>352</v>
      </c>
      <c r="C52" s="28">
        <v>1370.126</v>
      </c>
      <c r="D52" s="28">
        <v>1684.951</v>
      </c>
      <c r="E52" s="28">
        <v>1845.1079999999999</v>
      </c>
      <c r="F52" s="28">
        <v>2054.7710000000002</v>
      </c>
      <c r="G52" s="28">
        <v>2362.3339999999998</v>
      </c>
      <c r="H52" s="28">
        <v>2383.4940000000001</v>
      </c>
      <c r="I52" s="28">
        <v>2144.8829999999998</v>
      </c>
      <c r="J52" s="28">
        <v>2346.7579999999998</v>
      </c>
      <c r="K52" s="28">
        <v>2285.8270000000002</v>
      </c>
      <c r="L52" s="28">
        <v>2236.645</v>
      </c>
    </row>
    <row r="53" spans="1:12" x14ac:dyDescent="0.2">
      <c r="A53" s="23" t="s">
        <v>353</v>
      </c>
      <c r="B53" s="23" t="s">
        <v>354</v>
      </c>
      <c r="C53" s="28">
        <v>134.23599999999999</v>
      </c>
      <c r="D53" s="28" t="s">
        <v>171</v>
      </c>
      <c r="E53" s="28" t="s">
        <v>171</v>
      </c>
      <c r="F53" s="28" t="s">
        <v>171</v>
      </c>
      <c r="G53" s="28" t="s">
        <v>171</v>
      </c>
      <c r="H53" s="28" t="s">
        <v>171</v>
      </c>
      <c r="I53" s="28" t="s">
        <v>171</v>
      </c>
      <c r="J53" s="28" t="s">
        <v>171</v>
      </c>
      <c r="K53" s="28" t="s">
        <v>171</v>
      </c>
      <c r="L53" s="28" t="s">
        <v>171</v>
      </c>
    </row>
    <row r="54" spans="1:12" x14ac:dyDescent="0.2">
      <c r="A54" s="25" t="s">
        <v>355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x14ac:dyDescent="0.2">
      <c r="A55" s="25" t="s">
        <v>356</v>
      </c>
      <c r="B55" s="25" t="s">
        <v>357</v>
      </c>
      <c r="C55" s="27" t="s">
        <v>171</v>
      </c>
      <c r="D55" s="27" t="s">
        <v>171</v>
      </c>
      <c r="E55" s="27" t="s">
        <v>171</v>
      </c>
      <c r="F55" s="27" t="s">
        <v>171</v>
      </c>
      <c r="G55" s="27" t="s">
        <v>171</v>
      </c>
      <c r="H55" s="27" t="s">
        <v>171</v>
      </c>
      <c r="I55" s="27">
        <v>4.0999999999999996</v>
      </c>
      <c r="J55" s="27" t="s">
        <v>171</v>
      </c>
      <c r="K55" s="27" t="s">
        <v>171</v>
      </c>
      <c r="L55" s="27" t="s">
        <v>171</v>
      </c>
    </row>
    <row r="56" spans="1:12" x14ac:dyDescent="0.2">
      <c r="A56" s="25" t="s">
        <v>286</v>
      </c>
      <c r="B56" s="25" t="s">
        <v>358</v>
      </c>
      <c r="C56" s="27">
        <v>199.65799999999999</v>
      </c>
      <c r="D56" s="27" t="s">
        <v>171</v>
      </c>
      <c r="E56" s="27">
        <v>309.01600000000002</v>
      </c>
      <c r="F56" s="27">
        <v>367.05700000000002</v>
      </c>
      <c r="G56" s="27">
        <v>390.17700000000002</v>
      </c>
      <c r="H56" s="27">
        <v>454.02300000000002</v>
      </c>
      <c r="I56" s="27">
        <v>493.49700000000001</v>
      </c>
      <c r="J56" s="27">
        <v>546.24099999999999</v>
      </c>
      <c r="K56" s="27">
        <v>585.93899999999996</v>
      </c>
      <c r="L56" s="27">
        <v>611.60400000000004</v>
      </c>
    </row>
    <row r="57" spans="1:12" x14ac:dyDescent="0.2">
      <c r="A57" s="25" t="s">
        <v>359</v>
      </c>
      <c r="B57" s="25" t="s">
        <v>360</v>
      </c>
      <c r="C57" s="27">
        <v>6.9889999999999999</v>
      </c>
      <c r="D57" s="27">
        <v>15.864000000000001</v>
      </c>
      <c r="E57" s="27">
        <v>21.384</v>
      </c>
      <c r="F57" s="27">
        <v>23.164000000000001</v>
      </c>
      <c r="G57" s="27">
        <v>24.443999999999999</v>
      </c>
      <c r="H57" s="27">
        <v>35.17</v>
      </c>
      <c r="I57" s="27">
        <v>35.405999999999999</v>
      </c>
      <c r="J57" s="27">
        <v>37.637999999999998</v>
      </c>
      <c r="K57" s="27">
        <v>36.905999999999999</v>
      </c>
      <c r="L57" s="27">
        <v>44.75</v>
      </c>
    </row>
    <row r="58" spans="1:12" x14ac:dyDescent="0.2">
      <c r="A58" s="25" t="s">
        <v>361</v>
      </c>
      <c r="B58" s="25" t="s">
        <v>362</v>
      </c>
      <c r="C58" s="27" t="s">
        <v>171</v>
      </c>
      <c r="D58" s="27">
        <v>21.806000000000001</v>
      </c>
      <c r="E58" s="27">
        <v>28.138999999999999</v>
      </c>
      <c r="F58" s="27">
        <v>32.799999999999997</v>
      </c>
      <c r="G58" s="27">
        <v>36.290999999999997</v>
      </c>
      <c r="H58" s="27">
        <v>84.936000000000007</v>
      </c>
      <c r="I58" s="27">
        <v>84.991</v>
      </c>
      <c r="J58" s="27">
        <v>98.680999999999997</v>
      </c>
      <c r="K58" s="27">
        <v>90.028999999999996</v>
      </c>
      <c r="L58" s="27">
        <v>101.512</v>
      </c>
    </row>
    <row r="59" spans="1:12" x14ac:dyDescent="0.2">
      <c r="A59" s="25" t="s">
        <v>363</v>
      </c>
      <c r="B59" s="25" t="s">
        <v>364</v>
      </c>
      <c r="C59" s="27">
        <v>-9.8000000000000004E-2</v>
      </c>
      <c r="D59" s="27">
        <v>0</v>
      </c>
      <c r="E59" s="27" t="s">
        <v>171</v>
      </c>
      <c r="F59" s="27" t="s">
        <v>171</v>
      </c>
      <c r="G59" s="27" t="s">
        <v>171</v>
      </c>
      <c r="H59" s="27">
        <v>3.5999999999999997E-2</v>
      </c>
      <c r="I59" s="27">
        <v>0</v>
      </c>
      <c r="J59" s="27">
        <v>2.3239999999999998</v>
      </c>
      <c r="K59" s="27" t="s">
        <v>171</v>
      </c>
      <c r="L59" s="27" t="s">
        <v>171</v>
      </c>
    </row>
    <row r="60" spans="1:12" x14ac:dyDescent="0.2">
      <c r="A60" s="25" t="s">
        <v>365</v>
      </c>
      <c r="B60" s="25" t="s">
        <v>366</v>
      </c>
      <c r="C60" s="27" t="s">
        <v>171</v>
      </c>
      <c r="D60" s="27" t="s">
        <v>171</v>
      </c>
      <c r="E60" s="27" t="s">
        <v>171</v>
      </c>
      <c r="F60" s="27" t="s">
        <v>171</v>
      </c>
      <c r="G60" s="27">
        <v>523.42499999999995</v>
      </c>
      <c r="H60" s="27">
        <v>352.86799999999999</v>
      </c>
      <c r="I60" s="27">
        <v>224.4</v>
      </c>
      <c r="J60" s="27">
        <v>161.12100000000001</v>
      </c>
      <c r="K60" s="27">
        <v>245.249</v>
      </c>
      <c r="L60" s="27">
        <v>609.125</v>
      </c>
    </row>
    <row r="61" spans="1:12" x14ac:dyDescent="0.2">
      <c r="A61" s="25" t="s">
        <v>367</v>
      </c>
      <c r="B61" s="25" t="s">
        <v>368</v>
      </c>
      <c r="C61" s="27" t="s">
        <v>171</v>
      </c>
      <c r="D61" s="27" t="s">
        <v>171</v>
      </c>
      <c r="E61" s="27" t="s">
        <v>171</v>
      </c>
      <c r="F61" s="27" t="s">
        <v>171</v>
      </c>
      <c r="G61" s="27" t="s">
        <v>171</v>
      </c>
      <c r="H61" s="27">
        <v>22</v>
      </c>
      <c r="I61" s="27" t="s">
        <v>171</v>
      </c>
      <c r="J61" s="27" t="s">
        <v>171</v>
      </c>
      <c r="K61" s="27" t="s">
        <v>171</v>
      </c>
      <c r="L61" s="27" t="s">
        <v>171</v>
      </c>
    </row>
    <row r="62" spans="1:12" x14ac:dyDescent="0.2">
      <c r="A62" s="25" t="s">
        <v>369</v>
      </c>
      <c r="B62" s="25" t="s">
        <v>370</v>
      </c>
      <c r="C62" s="27">
        <v>-9.8000000000000004E-2</v>
      </c>
      <c r="D62" s="27">
        <v>0</v>
      </c>
      <c r="E62" s="27" t="s">
        <v>171</v>
      </c>
      <c r="F62" s="27" t="s">
        <v>171</v>
      </c>
      <c r="G62" s="27" t="s">
        <v>171</v>
      </c>
      <c r="H62" s="27">
        <v>6.0389999999999997</v>
      </c>
      <c r="I62" s="27">
        <v>0</v>
      </c>
      <c r="J62" s="27" t="s">
        <v>171</v>
      </c>
      <c r="K62" s="27" t="s">
        <v>171</v>
      </c>
      <c r="L62" s="27" t="s">
        <v>171</v>
      </c>
    </row>
    <row r="63" spans="1:12" x14ac:dyDescent="0.2">
      <c r="A63" s="25" t="s">
        <v>340</v>
      </c>
      <c r="B63" s="25" t="s">
        <v>371</v>
      </c>
      <c r="C63" s="27">
        <v>1176.1759999999999</v>
      </c>
      <c r="D63" s="27">
        <v>1753.556</v>
      </c>
      <c r="E63" s="27" t="s">
        <v>171</v>
      </c>
      <c r="F63" s="27" t="s">
        <v>171</v>
      </c>
      <c r="G63" s="27" t="s">
        <v>171</v>
      </c>
      <c r="H63" s="27" t="s">
        <v>171</v>
      </c>
      <c r="I63" s="27" t="s">
        <v>171</v>
      </c>
      <c r="J63" s="27" t="s">
        <v>171</v>
      </c>
      <c r="K63" s="27" t="s">
        <v>171</v>
      </c>
      <c r="L63" s="27" t="s">
        <v>171</v>
      </c>
    </row>
    <row r="64" spans="1:12" x14ac:dyDescent="0.2">
      <c r="A64" s="25" t="s">
        <v>347</v>
      </c>
      <c r="B64" s="25" t="s">
        <v>372</v>
      </c>
      <c r="C64" s="27" t="s">
        <v>171</v>
      </c>
      <c r="D64" s="27">
        <v>65.555000000000007</v>
      </c>
      <c r="E64" s="27">
        <v>63.064999999999998</v>
      </c>
      <c r="F64" s="27">
        <v>51.79</v>
      </c>
      <c r="G64" s="27">
        <v>53.938000000000002</v>
      </c>
      <c r="H64" s="27">
        <v>77.992000000000004</v>
      </c>
      <c r="I64" s="27">
        <v>58.610999999999997</v>
      </c>
      <c r="J64" s="27">
        <v>85.94</v>
      </c>
      <c r="K64" s="27">
        <v>196.30699999999999</v>
      </c>
      <c r="L64" s="27">
        <v>112.304</v>
      </c>
    </row>
    <row r="65" spans="1:12" x14ac:dyDescent="0.2">
      <c r="A65" s="25" t="s">
        <v>373</v>
      </c>
      <c r="B65" s="25" t="s">
        <v>374</v>
      </c>
      <c r="C65" s="27">
        <v>160</v>
      </c>
      <c r="D65" s="27" t="s">
        <v>171</v>
      </c>
      <c r="E65" s="27" t="s">
        <v>171</v>
      </c>
      <c r="F65" s="27" t="s">
        <v>171</v>
      </c>
      <c r="G65" s="27" t="s">
        <v>171</v>
      </c>
      <c r="H65" s="27" t="s">
        <v>171</v>
      </c>
      <c r="I65" s="27" t="s">
        <v>171</v>
      </c>
      <c r="J65" s="27" t="s">
        <v>171</v>
      </c>
      <c r="K65" s="27" t="s">
        <v>171</v>
      </c>
      <c r="L65" s="27" t="s">
        <v>171</v>
      </c>
    </row>
    <row r="66" spans="1:12" x14ac:dyDescent="0.2">
      <c r="A66" s="25" t="s">
        <v>44</v>
      </c>
      <c r="B66" s="25" t="s">
        <v>375</v>
      </c>
      <c r="C66" s="30" t="s">
        <v>171</v>
      </c>
      <c r="D66" s="30" t="s">
        <v>171</v>
      </c>
      <c r="E66" s="30" t="s">
        <v>171</v>
      </c>
      <c r="F66" s="30" t="s">
        <v>171</v>
      </c>
      <c r="G66" s="30" t="s">
        <v>171</v>
      </c>
      <c r="H66" s="30" t="s">
        <v>171</v>
      </c>
      <c r="I66" s="30" t="s">
        <v>171</v>
      </c>
      <c r="J66" s="30">
        <v>17</v>
      </c>
      <c r="K66" s="30">
        <v>15.5</v>
      </c>
      <c r="L66" s="30">
        <v>5.0999999999999996</v>
      </c>
    </row>
    <row r="67" spans="1:12" x14ac:dyDescent="0.2">
      <c r="A67" s="25" t="s">
        <v>302</v>
      </c>
      <c r="B67" s="25" t="s">
        <v>376</v>
      </c>
      <c r="C67" s="30" t="s">
        <v>171</v>
      </c>
      <c r="D67" s="30" t="s">
        <v>171</v>
      </c>
      <c r="E67" s="30">
        <v>26.2</v>
      </c>
      <c r="F67" s="30">
        <v>29.8</v>
      </c>
      <c r="G67" s="30">
        <v>20.7</v>
      </c>
      <c r="H67" s="30">
        <v>30.7</v>
      </c>
      <c r="I67" s="30">
        <v>27.1</v>
      </c>
      <c r="J67" s="30" t="s">
        <v>171</v>
      </c>
      <c r="K67" s="30" t="s">
        <v>171</v>
      </c>
      <c r="L67" s="30" t="s">
        <v>171</v>
      </c>
    </row>
    <row r="68" spans="1:12" x14ac:dyDescent="0.2">
      <c r="A68" s="25" t="s">
        <v>304</v>
      </c>
      <c r="B68" s="25" t="s">
        <v>377</v>
      </c>
      <c r="C68" s="27">
        <v>2129</v>
      </c>
      <c r="D68" s="27" t="s">
        <v>171</v>
      </c>
      <c r="E68" s="27">
        <v>2172.0639000000001</v>
      </c>
      <c r="F68" s="27">
        <v>2136.9964</v>
      </c>
      <c r="G68" s="27">
        <v>2123.7168000000001</v>
      </c>
      <c r="H68" s="27">
        <v>2125</v>
      </c>
      <c r="I68" s="27">
        <v>2128</v>
      </c>
      <c r="J68" s="27" t="s">
        <v>171</v>
      </c>
      <c r="K68" s="27" t="s">
        <v>171</v>
      </c>
      <c r="L68" s="27" t="s">
        <v>171</v>
      </c>
    </row>
    <row r="69" spans="1:12" x14ac:dyDescent="0.2">
      <c r="A69" s="25" t="s">
        <v>306</v>
      </c>
      <c r="B69" s="25" t="s">
        <v>378</v>
      </c>
      <c r="C69" s="30" t="s">
        <v>171</v>
      </c>
      <c r="D69" s="30" t="s">
        <v>171</v>
      </c>
      <c r="E69" s="30">
        <v>25.7</v>
      </c>
      <c r="F69" s="30">
        <v>29.2</v>
      </c>
      <c r="G69" s="30">
        <v>20.3</v>
      </c>
      <c r="H69" s="30">
        <v>30.1</v>
      </c>
      <c r="I69" s="30">
        <v>25.8</v>
      </c>
      <c r="J69" s="30" t="s">
        <v>171</v>
      </c>
      <c r="K69" s="30" t="s">
        <v>171</v>
      </c>
      <c r="L69" s="30" t="s">
        <v>171</v>
      </c>
    </row>
    <row r="70" spans="1:12" x14ac:dyDescent="0.2">
      <c r="A70" s="25" t="s">
        <v>308</v>
      </c>
      <c r="B70" s="25" t="s">
        <v>379</v>
      </c>
      <c r="C70" s="27">
        <v>2405</v>
      </c>
      <c r="D70" s="27" t="s">
        <v>171</v>
      </c>
      <c r="E70" s="27">
        <v>2212.4971999999998</v>
      </c>
      <c r="F70" s="27">
        <v>2183.3438000000001</v>
      </c>
      <c r="G70" s="27">
        <v>2165.6729</v>
      </c>
      <c r="H70" s="27">
        <v>2144</v>
      </c>
      <c r="I70" s="27">
        <v>2144</v>
      </c>
      <c r="J70" s="27" t="s">
        <v>171</v>
      </c>
      <c r="K70" s="27" t="s">
        <v>171</v>
      </c>
      <c r="L70" s="27" t="s">
        <v>171</v>
      </c>
    </row>
    <row r="71" spans="1:12" x14ac:dyDescent="0.2">
      <c r="A71" s="25" t="s">
        <v>380</v>
      </c>
      <c r="B71" s="25" t="s">
        <v>381</v>
      </c>
      <c r="C71" s="27">
        <v>13.877000000000001</v>
      </c>
      <c r="D71" s="27">
        <v>9.1140000000000008</v>
      </c>
      <c r="E71" s="27">
        <v>14.611000000000001</v>
      </c>
      <c r="F71" s="27">
        <v>13.961</v>
      </c>
      <c r="G71" s="27">
        <v>17.913</v>
      </c>
      <c r="H71" s="27">
        <v>27.106000000000002</v>
      </c>
      <c r="I71" s="27">
        <v>28.669</v>
      </c>
      <c r="J71" s="27">
        <v>31.538</v>
      </c>
      <c r="K71" s="27">
        <v>38.281999999999996</v>
      </c>
      <c r="L71" s="27">
        <v>35.985999999999997</v>
      </c>
    </row>
    <row r="72" spans="1:12" x14ac:dyDescent="0.2">
      <c r="A72" s="25" t="s">
        <v>382</v>
      </c>
      <c r="B72" s="25" t="s">
        <v>383</v>
      </c>
      <c r="C72" s="27">
        <v>100.74299999999999</v>
      </c>
      <c r="D72" s="27">
        <v>1749.633</v>
      </c>
      <c r="E72" s="27">
        <v>1952.41</v>
      </c>
      <c r="F72" s="27">
        <v>2235.902</v>
      </c>
      <c r="G72" s="27">
        <v>2690.4229999999998</v>
      </c>
      <c r="H72" s="27">
        <v>2948.3580000000002</v>
      </c>
      <c r="I72" s="27">
        <v>2690.1260000000002</v>
      </c>
      <c r="J72" s="27">
        <v>3068.4540000000002</v>
      </c>
      <c r="K72" s="27">
        <v>3066.1190000000001</v>
      </c>
      <c r="L72" s="27">
        <v>3330.2429999999999</v>
      </c>
    </row>
    <row r="73" spans="1:12" x14ac:dyDescent="0.2">
      <c r="A73" s="25" t="s">
        <v>384</v>
      </c>
      <c r="B73" s="25" t="s">
        <v>385</v>
      </c>
      <c r="C73" s="27">
        <v>-38.255000000000003</v>
      </c>
      <c r="D73" s="27" t="s">
        <v>171</v>
      </c>
      <c r="E73" s="27" t="s">
        <v>171</v>
      </c>
      <c r="F73" s="27" t="s">
        <v>171</v>
      </c>
      <c r="G73" s="27" t="s">
        <v>171</v>
      </c>
      <c r="H73" s="27" t="s">
        <v>171</v>
      </c>
      <c r="I73" s="27" t="s">
        <v>171</v>
      </c>
      <c r="J73" s="27" t="s">
        <v>171</v>
      </c>
      <c r="K73" s="27" t="s">
        <v>171</v>
      </c>
      <c r="L73" s="27" t="s">
        <v>171</v>
      </c>
    </row>
    <row r="74" spans="1:12" x14ac:dyDescent="0.2">
      <c r="A74" s="25" t="s">
        <v>386</v>
      </c>
      <c r="B74" s="25" t="s">
        <v>387</v>
      </c>
      <c r="C74" s="27" t="s">
        <v>171</v>
      </c>
      <c r="D74" s="27">
        <v>3.923</v>
      </c>
      <c r="E74" s="27">
        <v>10.718999999999999</v>
      </c>
      <c r="F74" s="27">
        <v>16.734000000000002</v>
      </c>
      <c r="G74" s="27">
        <v>27.834</v>
      </c>
      <c r="H74" s="27">
        <v>26.481000000000002</v>
      </c>
      <c r="I74" s="27">
        <v>22.152000000000001</v>
      </c>
      <c r="J74" s="27">
        <v>42.057000000000002</v>
      </c>
      <c r="K74" s="27">
        <v>79.552999999999997</v>
      </c>
      <c r="L74" s="27">
        <v>94.703999999999994</v>
      </c>
    </row>
    <row r="75" spans="1:12" x14ac:dyDescent="0.2">
      <c r="A75" s="25" t="s">
        <v>349</v>
      </c>
      <c r="B75" s="25" t="s">
        <v>388</v>
      </c>
      <c r="C75" s="27" t="s">
        <v>171</v>
      </c>
      <c r="D75" s="27">
        <v>28.699000000000002</v>
      </c>
      <c r="E75" s="27">
        <v>24.617000000000001</v>
      </c>
      <c r="F75" s="27">
        <v>38.595999999999997</v>
      </c>
      <c r="G75" s="27">
        <v>30.734999999999999</v>
      </c>
      <c r="H75" s="27">
        <v>59.451000000000001</v>
      </c>
      <c r="I75" s="27">
        <v>71.033000000000001</v>
      </c>
      <c r="J75" s="27">
        <v>83.680999999999997</v>
      </c>
      <c r="K75" s="27">
        <v>89.554000000000002</v>
      </c>
      <c r="L75" s="27">
        <v>57.027999999999999</v>
      </c>
    </row>
    <row r="76" spans="1:12" x14ac:dyDescent="0.2">
      <c r="A76" s="25" t="s">
        <v>389</v>
      </c>
      <c r="B76" s="25" t="s">
        <v>390</v>
      </c>
      <c r="C76" s="27" t="s">
        <v>171</v>
      </c>
      <c r="D76" s="27">
        <v>250.999</v>
      </c>
      <c r="E76" s="27">
        <v>334.40699999999998</v>
      </c>
      <c r="F76" s="27">
        <v>474.798</v>
      </c>
      <c r="G76" s="27">
        <v>650.33199999999999</v>
      </c>
      <c r="H76" s="27">
        <v>663.495</v>
      </c>
      <c r="I76" s="27">
        <v>634.053</v>
      </c>
      <c r="J76" s="27">
        <v>731.94200000000001</v>
      </c>
      <c r="K76" s="27">
        <v>1027.556</v>
      </c>
      <c r="L76" s="27">
        <v>1379.7049999999999</v>
      </c>
    </row>
    <row r="77" spans="1:12" x14ac:dyDescent="0.2">
      <c r="A77" s="25" t="s">
        <v>391</v>
      </c>
      <c r="B77" s="25" t="s">
        <v>392</v>
      </c>
      <c r="C77" s="27" t="s">
        <v>171</v>
      </c>
      <c r="D77" s="27">
        <v>75.694999999999993</v>
      </c>
      <c r="E77" s="27">
        <v>17.954999999999998</v>
      </c>
      <c r="F77" s="27">
        <v>-4.1680000000000001</v>
      </c>
      <c r="G77" s="27">
        <v>3.7469999999999999</v>
      </c>
      <c r="H77" s="27">
        <v>260.31900000000002</v>
      </c>
      <c r="I77" s="27">
        <v>216.911</v>
      </c>
      <c r="J77" s="27">
        <v>402.096</v>
      </c>
      <c r="K77" s="27">
        <v>361.64600000000002</v>
      </c>
      <c r="L77" s="27">
        <v>322.96899999999999</v>
      </c>
    </row>
    <row r="78" spans="1:12" x14ac:dyDescent="0.2">
      <c r="A78" s="25" t="s">
        <v>342</v>
      </c>
      <c r="B78" s="25" t="s">
        <v>393</v>
      </c>
      <c r="C78" s="27" t="s">
        <v>171</v>
      </c>
      <c r="D78" s="27">
        <v>1753.556</v>
      </c>
      <c r="E78" s="27">
        <v>1963.1289999999999</v>
      </c>
      <c r="F78" s="27">
        <v>2252.636</v>
      </c>
      <c r="G78" s="27">
        <v>2718.2570000000001</v>
      </c>
      <c r="H78" s="27">
        <v>2974.8389999999999</v>
      </c>
      <c r="I78" s="27">
        <v>2712.2779999999998</v>
      </c>
      <c r="J78" s="27">
        <v>3110.511</v>
      </c>
      <c r="K78" s="27">
        <v>3145.672</v>
      </c>
      <c r="L78" s="27">
        <v>3424.9470000000001</v>
      </c>
    </row>
    <row r="79" spans="1:12" x14ac:dyDescent="0.2">
      <c r="A79" s="25" t="s">
        <v>89</v>
      </c>
      <c r="B79" s="25" t="s">
        <v>394</v>
      </c>
      <c r="C79" s="27" t="s">
        <v>171</v>
      </c>
      <c r="D79" s="27">
        <v>326.69400000000002</v>
      </c>
      <c r="E79" s="27">
        <v>352.36200000000002</v>
      </c>
      <c r="F79" s="27">
        <v>470.63</v>
      </c>
      <c r="G79" s="27">
        <v>654.07899999999995</v>
      </c>
      <c r="H79" s="27">
        <v>923.81399999999996</v>
      </c>
      <c r="I79" s="27">
        <v>850.96400000000006</v>
      </c>
      <c r="J79" s="27" t="s">
        <v>171</v>
      </c>
      <c r="K79" s="27" t="s">
        <v>171</v>
      </c>
      <c r="L79" s="27" t="s">
        <v>171</v>
      </c>
    </row>
    <row r="80" spans="1:12" x14ac:dyDescent="0.2">
      <c r="A80" s="25" t="s">
        <v>395</v>
      </c>
      <c r="B80" s="25" t="s">
        <v>396</v>
      </c>
      <c r="C80" s="27" t="s">
        <v>171</v>
      </c>
      <c r="D80" s="27" t="s">
        <v>171</v>
      </c>
      <c r="E80" s="27" t="s">
        <v>171</v>
      </c>
      <c r="F80" s="27" t="s">
        <v>171</v>
      </c>
      <c r="G80" s="27" t="s">
        <v>171</v>
      </c>
      <c r="H80" s="27" t="s">
        <v>171</v>
      </c>
      <c r="I80" s="27" t="s">
        <v>171</v>
      </c>
      <c r="J80" s="27">
        <v>0.13800000000000001</v>
      </c>
      <c r="K80" s="27" t="s">
        <v>171</v>
      </c>
      <c r="L80" s="27" t="s">
        <v>171</v>
      </c>
    </row>
    <row r="81" spans="1:12" x14ac:dyDescent="0.2">
      <c r="A81" s="25" t="s">
        <v>290</v>
      </c>
      <c r="B81" s="25" t="s">
        <v>397</v>
      </c>
      <c r="C81" s="27" t="s">
        <v>171</v>
      </c>
      <c r="D81" s="27">
        <v>138.864</v>
      </c>
      <c r="E81" s="27">
        <v>180.649</v>
      </c>
      <c r="F81" s="27">
        <v>237.149</v>
      </c>
      <c r="G81" s="27">
        <v>361.49099999999999</v>
      </c>
      <c r="H81" s="27">
        <v>169.101</v>
      </c>
      <c r="I81" s="27">
        <v>25.771000000000001</v>
      </c>
      <c r="J81" s="27">
        <v>-17.196000000000002</v>
      </c>
      <c r="K81" s="27">
        <v>98.706000000000003</v>
      </c>
      <c r="L81" s="27">
        <v>456.59100000000001</v>
      </c>
    </row>
    <row r="82" spans="1:12" x14ac:dyDescent="0.2">
      <c r="A82" s="25" t="s">
        <v>398</v>
      </c>
      <c r="B82" s="25" t="s">
        <v>399</v>
      </c>
      <c r="C82" s="27">
        <v>6.3170000000000002</v>
      </c>
      <c r="D82" s="27">
        <v>5.9420000000000002</v>
      </c>
      <c r="E82" s="27">
        <v>6.7549999999999999</v>
      </c>
      <c r="F82" s="27">
        <v>9.6359999999999992</v>
      </c>
      <c r="G82" s="27">
        <v>11.847</v>
      </c>
      <c r="H82" s="27">
        <v>14.292999999999999</v>
      </c>
      <c r="I82" s="27">
        <v>14.401999999999999</v>
      </c>
      <c r="J82" s="27">
        <v>13.788</v>
      </c>
      <c r="K82" s="27">
        <v>11.715999999999999</v>
      </c>
      <c r="L82" s="27">
        <v>9.9939999999999998</v>
      </c>
    </row>
    <row r="83" spans="1:12" x14ac:dyDescent="0.2">
      <c r="A83" s="25" t="s">
        <v>400</v>
      </c>
      <c r="B83" s="25" t="s">
        <v>401</v>
      </c>
      <c r="C83" s="27" t="s">
        <v>171</v>
      </c>
      <c r="D83" s="27" t="s">
        <v>171</v>
      </c>
      <c r="E83" s="27" t="s">
        <v>171</v>
      </c>
      <c r="F83" s="27" t="s">
        <v>171</v>
      </c>
      <c r="G83" s="27">
        <v>22</v>
      </c>
      <c r="H83" s="27">
        <v>38.737000000000002</v>
      </c>
      <c r="I83" s="27">
        <v>0</v>
      </c>
      <c r="J83" s="27">
        <v>0</v>
      </c>
      <c r="K83" s="27">
        <v>35.805</v>
      </c>
      <c r="L83" s="27" t="s">
        <v>171</v>
      </c>
    </row>
    <row r="84" spans="1:12" x14ac:dyDescent="0.2">
      <c r="A84" s="25" t="s">
        <v>402</v>
      </c>
      <c r="B84" s="25" t="s">
        <v>403</v>
      </c>
      <c r="C84" s="27" t="s">
        <v>171</v>
      </c>
      <c r="D84" s="27" t="s">
        <v>171</v>
      </c>
      <c r="E84" s="27" t="s">
        <v>171</v>
      </c>
      <c r="F84" s="27" t="s">
        <v>171</v>
      </c>
      <c r="G84" s="27" t="s">
        <v>171</v>
      </c>
      <c r="H84" s="27">
        <v>27.106000000000002</v>
      </c>
      <c r="I84" s="27">
        <v>28.669</v>
      </c>
      <c r="J84" s="27">
        <v>31.538</v>
      </c>
      <c r="K84" s="27">
        <v>38.281999999999996</v>
      </c>
      <c r="L84" s="27">
        <v>35.125999999999998</v>
      </c>
    </row>
    <row r="85" spans="1:12" x14ac:dyDescent="0.2">
      <c r="A85" s="25" t="s">
        <v>404</v>
      </c>
      <c r="B85" s="25" t="s">
        <v>405</v>
      </c>
      <c r="C85" s="30" t="s">
        <v>171</v>
      </c>
      <c r="D85" s="30" t="s">
        <v>171</v>
      </c>
      <c r="E85" s="30" t="s">
        <v>171</v>
      </c>
      <c r="F85" s="30" t="s">
        <v>171</v>
      </c>
      <c r="G85" s="30" t="s">
        <v>171</v>
      </c>
      <c r="H85" s="30" t="s">
        <v>171</v>
      </c>
      <c r="I85" s="30" t="s">
        <v>171</v>
      </c>
      <c r="J85" s="30">
        <v>36</v>
      </c>
      <c r="K85" s="30">
        <v>41</v>
      </c>
      <c r="L85" s="30">
        <v>223</v>
      </c>
    </row>
    <row r="86" spans="1:12" x14ac:dyDescent="0.2">
      <c r="A86" s="25" t="s">
        <v>406</v>
      </c>
      <c r="B86" s="25" t="s">
        <v>407</v>
      </c>
      <c r="C86" s="27" t="s">
        <v>171</v>
      </c>
      <c r="D86" s="27" t="s">
        <v>171</v>
      </c>
      <c r="E86" s="27" t="s">
        <v>171</v>
      </c>
      <c r="F86" s="27" t="s">
        <v>171</v>
      </c>
      <c r="G86" s="27" t="s">
        <v>171</v>
      </c>
      <c r="H86" s="27">
        <v>0.3</v>
      </c>
      <c r="I86" s="27">
        <v>0.157</v>
      </c>
      <c r="J86" s="27" t="s">
        <v>171</v>
      </c>
      <c r="K86" s="27" t="s">
        <v>171</v>
      </c>
      <c r="L86" s="27" t="s">
        <v>171</v>
      </c>
    </row>
    <row r="87" spans="1:12" x14ac:dyDescent="0.2">
      <c r="A87" s="25" t="s">
        <v>408</v>
      </c>
      <c r="B87" s="25" t="s">
        <v>409</v>
      </c>
      <c r="C87" s="27" t="s">
        <v>171</v>
      </c>
      <c r="D87" s="27">
        <v>37.468000000000004</v>
      </c>
      <c r="E87" s="27">
        <v>74.668999999999997</v>
      </c>
      <c r="F87" s="27">
        <v>98.730999999999995</v>
      </c>
      <c r="G87" s="27">
        <v>74.129000000000005</v>
      </c>
      <c r="H87" s="27">
        <v>62.771000000000001</v>
      </c>
      <c r="I87" s="27">
        <v>103.04600000000001</v>
      </c>
      <c r="J87" s="27">
        <v>103.411</v>
      </c>
      <c r="K87" s="27">
        <v>93.02</v>
      </c>
      <c r="L87" s="27">
        <v>56.472000000000001</v>
      </c>
    </row>
    <row r="88" spans="1:12" x14ac:dyDescent="0.2">
      <c r="A88" s="25" t="s">
        <v>353</v>
      </c>
      <c r="B88" s="25" t="s">
        <v>410</v>
      </c>
      <c r="C88" s="27">
        <v>134.23599999999999</v>
      </c>
      <c r="D88" s="27" t="s">
        <v>171</v>
      </c>
      <c r="E88" s="27" t="s">
        <v>171</v>
      </c>
      <c r="F88" s="27" t="s">
        <v>171</v>
      </c>
      <c r="G88" s="27" t="s">
        <v>171</v>
      </c>
      <c r="H88" s="27" t="s">
        <v>171</v>
      </c>
      <c r="I88" s="27" t="s">
        <v>171</v>
      </c>
      <c r="J88" s="27" t="s">
        <v>171</v>
      </c>
      <c r="K88" s="27" t="s">
        <v>171</v>
      </c>
      <c r="L88" s="27" t="s">
        <v>171</v>
      </c>
    </row>
    <row r="89" spans="1:12" x14ac:dyDescent="0.2">
      <c r="A89" s="25" t="s">
        <v>411</v>
      </c>
      <c r="B89" s="25" t="s">
        <v>412</v>
      </c>
      <c r="C89" s="27" t="s">
        <v>171</v>
      </c>
      <c r="D89" s="27">
        <v>165.905</v>
      </c>
      <c r="E89" s="27">
        <v>234.34700000000001</v>
      </c>
      <c r="F89" s="27">
        <v>268.32600000000002</v>
      </c>
      <c r="G89" s="27">
        <v>316.048</v>
      </c>
      <c r="H89" s="27">
        <v>364.14600000000002</v>
      </c>
      <c r="I89" s="27">
        <v>361.78199999999998</v>
      </c>
      <c r="J89" s="27">
        <v>411.29199999999997</v>
      </c>
      <c r="K89" s="27">
        <v>454.637</v>
      </c>
      <c r="L89" s="27">
        <v>520.00599999999997</v>
      </c>
    </row>
    <row r="90" spans="1:12" x14ac:dyDescent="0.2">
      <c r="A90" s="25" t="s">
        <v>413</v>
      </c>
      <c r="B90" s="25" t="s">
        <v>414</v>
      </c>
      <c r="C90" s="27">
        <v>2.431</v>
      </c>
      <c r="D90" s="27">
        <v>3.169</v>
      </c>
      <c r="E90" s="27">
        <v>3.3639999999999999</v>
      </c>
      <c r="F90" s="27">
        <v>4.1479999999999997</v>
      </c>
      <c r="G90" s="27">
        <v>4.6749999999999998</v>
      </c>
      <c r="H90" s="27">
        <v>5.5650000000000004</v>
      </c>
      <c r="I90" s="27">
        <v>5.7320000000000002</v>
      </c>
      <c r="J90" s="27">
        <v>6.6609999999999996</v>
      </c>
      <c r="K90" s="27">
        <v>7.3579999999999997</v>
      </c>
      <c r="L90" s="27">
        <v>8.4179999999999993</v>
      </c>
    </row>
    <row r="91" spans="1:12" x14ac:dyDescent="0.2">
      <c r="A91" s="25" t="s">
        <v>415</v>
      </c>
      <c r="B91" s="25" t="s">
        <v>416</v>
      </c>
      <c r="C91" s="27" t="s">
        <v>171</v>
      </c>
      <c r="D91" s="27">
        <v>25.966999999999999</v>
      </c>
      <c r="E91" s="27">
        <v>36.783999999999999</v>
      </c>
      <c r="F91" s="27">
        <v>48.863999999999997</v>
      </c>
      <c r="G91" s="27">
        <v>48.115000000000002</v>
      </c>
      <c r="H91" s="27">
        <v>15.909000000000001</v>
      </c>
      <c r="I91" s="27">
        <v>10.177</v>
      </c>
      <c r="J91" s="27">
        <v>8.0519999999999996</v>
      </c>
      <c r="K91" s="27">
        <v>7.7110000000000003</v>
      </c>
      <c r="L91" s="27">
        <v>8.9920000000000009</v>
      </c>
    </row>
    <row r="92" spans="1:12" x14ac:dyDescent="0.2">
      <c r="A92" s="25" t="s">
        <v>417</v>
      </c>
      <c r="B92" s="25" t="s">
        <v>418</v>
      </c>
      <c r="C92" s="27" t="s">
        <v>171</v>
      </c>
      <c r="D92" s="27" t="s">
        <v>171</v>
      </c>
      <c r="E92" s="27" t="s">
        <v>171</v>
      </c>
      <c r="F92" s="27" t="s">
        <v>171</v>
      </c>
      <c r="G92" s="27" t="s">
        <v>171</v>
      </c>
      <c r="H92" s="27" t="s">
        <v>171</v>
      </c>
      <c r="I92" s="27" t="s">
        <v>171</v>
      </c>
      <c r="J92" s="27" t="s">
        <v>171</v>
      </c>
      <c r="K92" s="27">
        <v>36.027000000000001</v>
      </c>
      <c r="L92" s="27">
        <v>-9.266</v>
      </c>
    </row>
    <row r="93" spans="1:12" x14ac:dyDescent="0.2">
      <c r="A93" s="25" t="s">
        <v>419</v>
      </c>
      <c r="B93" s="25" t="s">
        <v>420</v>
      </c>
      <c r="C93" s="27" t="s">
        <v>171</v>
      </c>
      <c r="D93" s="27" t="s">
        <v>171</v>
      </c>
      <c r="E93" s="27" t="s">
        <v>171</v>
      </c>
      <c r="F93" s="27" t="s">
        <v>171</v>
      </c>
      <c r="G93" s="27" t="s">
        <v>171</v>
      </c>
      <c r="H93" s="27">
        <v>5.2649999999999997</v>
      </c>
      <c r="I93" s="27">
        <v>5.5750000000000002</v>
      </c>
      <c r="J93" s="27">
        <v>6.5140000000000002</v>
      </c>
      <c r="K93" s="27">
        <v>7.1909999999999998</v>
      </c>
      <c r="L93" s="27">
        <v>8.1240000000000006</v>
      </c>
    </row>
    <row r="94" spans="1:12" x14ac:dyDescent="0.2">
      <c r="A94" s="25" t="s">
        <v>421</v>
      </c>
      <c r="B94" s="25" t="s">
        <v>422</v>
      </c>
      <c r="C94" s="27" t="s">
        <v>171</v>
      </c>
      <c r="D94" s="27">
        <v>163.83500000000001</v>
      </c>
      <c r="E94" s="27">
        <v>146.65899999999999</v>
      </c>
      <c r="F94" s="27">
        <v>182.37899999999999</v>
      </c>
      <c r="G94" s="27">
        <v>213.483</v>
      </c>
      <c r="H94" s="27">
        <v>195.02600000000001</v>
      </c>
      <c r="I94" s="27">
        <v>153.92500000000001</v>
      </c>
      <c r="J94" s="27">
        <v>200.66399999999999</v>
      </c>
      <c r="K94" s="27">
        <v>243.49600000000001</v>
      </c>
      <c r="L94" s="27">
        <v>143.83699999999999</v>
      </c>
    </row>
    <row r="95" spans="1:12" x14ac:dyDescent="0.2">
      <c r="A95" s="25" t="s">
        <v>423</v>
      </c>
      <c r="B95" s="25" t="s">
        <v>424</v>
      </c>
      <c r="C95" s="30">
        <v>20</v>
      </c>
      <c r="D95" s="30">
        <v>19</v>
      </c>
      <c r="E95" s="30">
        <v>16</v>
      </c>
      <c r="F95" s="30">
        <v>37</v>
      </c>
      <c r="G95" s="30">
        <v>12.23</v>
      </c>
      <c r="H95" s="30">
        <v>16</v>
      </c>
      <c r="I95" s="30">
        <v>13</v>
      </c>
      <c r="J95" s="30">
        <v>14</v>
      </c>
      <c r="K95" s="30">
        <v>8</v>
      </c>
      <c r="L95" s="30" t="s">
        <v>171</v>
      </c>
    </row>
    <row r="96" spans="1:12" x14ac:dyDescent="0.2">
      <c r="A96" s="25" t="s">
        <v>425</v>
      </c>
      <c r="B96" s="25" t="s">
        <v>426</v>
      </c>
      <c r="C96" s="30">
        <v>14</v>
      </c>
      <c r="D96" s="30">
        <v>10</v>
      </c>
      <c r="E96" s="30">
        <v>9</v>
      </c>
      <c r="F96" s="30">
        <v>9</v>
      </c>
      <c r="G96" s="30">
        <v>5.2</v>
      </c>
      <c r="H96" s="30">
        <v>6</v>
      </c>
      <c r="I96" s="30">
        <v>5</v>
      </c>
      <c r="J96" s="30">
        <v>5</v>
      </c>
      <c r="K96" s="30">
        <v>3</v>
      </c>
      <c r="L96" s="30" t="s">
        <v>171</v>
      </c>
    </row>
    <row r="97" spans="1:12" x14ac:dyDescent="0.2">
      <c r="A97" s="25" t="s">
        <v>427</v>
      </c>
      <c r="B97" s="25" t="s">
        <v>428</v>
      </c>
      <c r="C97" s="30" t="s">
        <v>171</v>
      </c>
      <c r="D97" s="30">
        <v>29</v>
      </c>
      <c r="E97" s="30">
        <v>38</v>
      </c>
      <c r="F97" s="30">
        <v>40</v>
      </c>
      <c r="G97" s="30">
        <v>41.64</v>
      </c>
      <c r="H97" s="30">
        <v>45</v>
      </c>
      <c r="I97" s="30">
        <v>50</v>
      </c>
      <c r="J97" s="30">
        <v>52</v>
      </c>
      <c r="K97" s="30">
        <v>63</v>
      </c>
      <c r="L97" s="30" t="s">
        <v>171</v>
      </c>
    </row>
    <row r="98" spans="1:12" x14ac:dyDescent="0.2">
      <c r="A98" s="25" t="s">
        <v>429</v>
      </c>
      <c r="B98" s="25" t="s">
        <v>430</v>
      </c>
      <c r="C98" s="30" t="s">
        <v>171</v>
      </c>
      <c r="D98" s="30" t="s">
        <v>171</v>
      </c>
      <c r="E98" s="30" t="s">
        <v>171</v>
      </c>
      <c r="F98" s="30">
        <v>22</v>
      </c>
      <c r="G98" s="30">
        <v>22</v>
      </c>
      <c r="H98" s="30" t="s">
        <v>171</v>
      </c>
      <c r="I98" s="30" t="s">
        <v>171</v>
      </c>
      <c r="J98" s="30" t="s">
        <v>171</v>
      </c>
      <c r="K98" s="30" t="s">
        <v>171</v>
      </c>
      <c r="L98" s="30" t="s">
        <v>171</v>
      </c>
    </row>
    <row r="99" spans="1:12" x14ac:dyDescent="0.2">
      <c r="A99" s="25" t="s">
        <v>431</v>
      </c>
      <c r="B99" s="25" t="s">
        <v>432</v>
      </c>
      <c r="C99" s="27" t="s">
        <v>171</v>
      </c>
      <c r="D99" s="27" t="s">
        <v>171</v>
      </c>
      <c r="E99" s="27" t="s">
        <v>171</v>
      </c>
      <c r="F99" s="27" t="s">
        <v>171</v>
      </c>
      <c r="G99" s="27">
        <v>22</v>
      </c>
      <c r="H99" s="27">
        <v>38.737000000000002</v>
      </c>
      <c r="I99" s="27">
        <v>0</v>
      </c>
      <c r="J99" s="27">
        <v>0</v>
      </c>
      <c r="K99" s="27">
        <v>35.805</v>
      </c>
      <c r="L99" s="27" t="s">
        <v>171</v>
      </c>
    </row>
    <row r="100" spans="1:12" x14ac:dyDescent="0.2">
      <c r="A100" s="25" t="s">
        <v>433</v>
      </c>
      <c r="B100" s="25" t="s">
        <v>434</v>
      </c>
      <c r="C100" s="27" t="s">
        <v>171</v>
      </c>
      <c r="D100" s="27" t="s">
        <v>171</v>
      </c>
      <c r="E100" s="27" t="s">
        <v>171</v>
      </c>
      <c r="F100" s="27" t="s">
        <v>171</v>
      </c>
      <c r="G100" s="27" t="s">
        <v>171</v>
      </c>
      <c r="H100" s="27" t="s">
        <v>171</v>
      </c>
      <c r="I100" s="27" t="s">
        <v>171</v>
      </c>
      <c r="J100" s="27">
        <v>0.14699999999999999</v>
      </c>
      <c r="K100" s="27">
        <v>0.16700000000000001</v>
      </c>
      <c r="L100" s="27">
        <v>0.29399999999999998</v>
      </c>
    </row>
    <row r="101" spans="1:12" x14ac:dyDescent="0.2">
      <c r="A101" s="25" t="s">
        <v>435</v>
      </c>
      <c r="B101" s="25" t="s">
        <v>436</v>
      </c>
      <c r="C101" s="27" t="s">
        <v>171</v>
      </c>
      <c r="D101" s="27" t="s">
        <v>171</v>
      </c>
      <c r="E101" s="27" t="s">
        <v>171</v>
      </c>
      <c r="F101" s="27" t="s">
        <v>171</v>
      </c>
      <c r="G101" s="27" t="s">
        <v>171</v>
      </c>
      <c r="H101" s="27" t="s">
        <v>171</v>
      </c>
      <c r="I101" s="27" t="s">
        <v>171</v>
      </c>
      <c r="J101" s="27" t="s">
        <v>171</v>
      </c>
      <c r="K101" s="27" t="s">
        <v>171</v>
      </c>
      <c r="L101" s="27" t="s">
        <v>171</v>
      </c>
    </row>
    <row r="102" spans="1:12" x14ac:dyDescent="0.2">
      <c r="A102" s="29" t="s">
        <v>280</v>
      </c>
      <c r="B102" s="29"/>
      <c r="C102" s="29" t="s">
        <v>281</v>
      </c>
      <c r="D102" s="29"/>
      <c r="E102" s="29"/>
      <c r="F102" s="29"/>
      <c r="G102" s="29"/>
      <c r="H102" s="29"/>
      <c r="I102" s="29"/>
      <c r="J102" s="29"/>
      <c r="K102" s="29"/>
      <c r="L102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8906-F256-AC49-8C84-5E7CBE756B92}">
  <dimension ref="A1:L64"/>
  <sheetViews>
    <sheetView workbookViewId="0">
      <selection activeCell="L9" sqref="L9"/>
    </sheetView>
  </sheetViews>
  <sheetFormatPr baseColWidth="10" defaultColWidth="8.83203125" defaultRowHeight="16" x14ac:dyDescent="0.2"/>
  <cols>
    <col min="1" max="1" width="35.1640625" customWidth="1"/>
    <col min="2" max="2" width="0" hidden="1" customWidth="1"/>
    <col min="3" max="12" width="11.83203125" customWidth="1"/>
  </cols>
  <sheetData>
    <row r="1" spans="1:12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20" x14ac:dyDescent="0.2">
      <c r="A2" s="17" t="s">
        <v>145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2" x14ac:dyDescent="0.2">
      <c r="A4" s="19" t="s">
        <v>146</v>
      </c>
      <c r="B4" s="19"/>
      <c r="C4" s="20" t="s">
        <v>147</v>
      </c>
      <c r="D4" s="20" t="s">
        <v>148</v>
      </c>
      <c r="E4" s="20" t="s">
        <v>149</v>
      </c>
      <c r="F4" s="20" t="s">
        <v>150</v>
      </c>
      <c r="G4" s="20" t="s">
        <v>151</v>
      </c>
      <c r="H4" s="20" t="s">
        <v>152</v>
      </c>
      <c r="I4" s="20" t="s">
        <v>153</v>
      </c>
      <c r="J4" s="20" t="s">
        <v>154</v>
      </c>
      <c r="K4" s="20" t="s">
        <v>155</v>
      </c>
      <c r="L4" s="20" t="s">
        <v>156</v>
      </c>
    </row>
    <row r="5" spans="1:12" x14ac:dyDescent="0.2">
      <c r="A5" s="21" t="s">
        <v>157</v>
      </c>
      <c r="B5" s="21"/>
      <c r="C5" s="22" t="s">
        <v>158</v>
      </c>
      <c r="D5" s="22" t="s">
        <v>159</v>
      </c>
      <c r="E5" s="22" t="s">
        <v>160</v>
      </c>
      <c r="F5" s="22" t="s">
        <v>161</v>
      </c>
      <c r="G5" s="22" t="s">
        <v>162</v>
      </c>
      <c r="H5" s="22" t="s">
        <v>163</v>
      </c>
      <c r="I5" s="22" t="s">
        <v>164</v>
      </c>
      <c r="J5" s="22" t="s">
        <v>165</v>
      </c>
      <c r="K5" s="22" t="s">
        <v>166</v>
      </c>
      <c r="L5" s="22" t="s">
        <v>167</v>
      </c>
    </row>
    <row r="6" spans="1:12" x14ac:dyDescent="0.2">
      <c r="A6" s="23" t="s">
        <v>168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2" x14ac:dyDescent="0.2">
      <c r="A7" s="25" t="s">
        <v>169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">
      <c r="A8" s="25" t="s">
        <v>101</v>
      </c>
      <c r="B8" s="25" t="s">
        <v>170</v>
      </c>
      <c r="C8" s="27" t="s">
        <v>171</v>
      </c>
      <c r="D8" s="27" t="s">
        <v>171</v>
      </c>
      <c r="E8" s="27">
        <v>21.384</v>
      </c>
      <c r="F8" s="27">
        <v>23.164000000000001</v>
      </c>
      <c r="G8" s="27">
        <v>24.443999999999999</v>
      </c>
      <c r="H8" s="27">
        <v>70.643000000000001</v>
      </c>
      <c r="I8" s="27">
        <v>70.588999999999999</v>
      </c>
      <c r="J8" s="27" t="s">
        <v>171</v>
      </c>
      <c r="K8" s="27" t="s">
        <v>171</v>
      </c>
      <c r="L8" s="27" t="s">
        <v>171</v>
      </c>
    </row>
    <row r="9" spans="1:12" x14ac:dyDescent="0.2">
      <c r="A9" s="25" t="s">
        <v>172</v>
      </c>
      <c r="B9" s="25" t="s">
        <v>173</v>
      </c>
      <c r="C9" s="27">
        <v>8.7210000000000001</v>
      </c>
      <c r="D9" s="27">
        <v>21.806000000000001</v>
      </c>
      <c r="E9" s="27" t="s">
        <v>171</v>
      </c>
      <c r="F9" s="27" t="s">
        <v>171</v>
      </c>
      <c r="G9" s="27" t="s">
        <v>171</v>
      </c>
      <c r="H9" s="27" t="s">
        <v>171</v>
      </c>
      <c r="I9" s="27" t="s">
        <v>171</v>
      </c>
      <c r="J9" s="27">
        <v>98.680999999999997</v>
      </c>
      <c r="K9" s="27">
        <v>90.028999999999996</v>
      </c>
      <c r="L9" s="27">
        <v>116.508</v>
      </c>
    </row>
    <row r="10" spans="1:12" x14ac:dyDescent="0.2">
      <c r="A10" s="25" t="s">
        <v>174</v>
      </c>
      <c r="B10" s="25" t="s">
        <v>175</v>
      </c>
      <c r="C10" s="27" t="s">
        <v>171</v>
      </c>
      <c r="D10" s="27" t="s">
        <v>171</v>
      </c>
      <c r="E10" s="27" t="s">
        <v>171</v>
      </c>
      <c r="F10" s="27" t="s">
        <v>171</v>
      </c>
      <c r="G10" s="27">
        <v>15.214</v>
      </c>
      <c r="H10" s="27" t="s">
        <v>171</v>
      </c>
      <c r="I10" s="27" t="s">
        <v>171</v>
      </c>
      <c r="J10" s="27" t="s">
        <v>171</v>
      </c>
      <c r="K10" s="27" t="s">
        <v>171</v>
      </c>
      <c r="L10" s="27" t="s">
        <v>171</v>
      </c>
    </row>
    <row r="11" spans="1:12" x14ac:dyDescent="0.2">
      <c r="A11" s="25" t="s">
        <v>176</v>
      </c>
      <c r="B11" s="25" t="s">
        <v>177</v>
      </c>
      <c r="C11" s="27">
        <v>-21.294</v>
      </c>
      <c r="D11" s="27">
        <v>-37.331000000000003</v>
      </c>
      <c r="E11" s="27">
        <v>-1605.3420000000001</v>
      </c>
      <c r="F11" s="27">
        <v>-1824.914</v>
      </c>
      <c r="G11" s="27">
        <v>-2203.415</v>
      </c>
      <c r="H11" s="27">
        <v>3.5999999999999997E-2</v>
      </c>
      <c r="I11" s="27">
        <v>0.68200000000000005</v>
      </c>
      <c r="J11" s="27">
        <v>0.13800000000000001</v>
      </c>
      <c r="K11" s="27">
        <v>71.83</v>
      </c>
      <c r="L11" s="27">
        <v>-11.888999999999999</v>
      </c>
    </row>
    <row r="12" spans="1:12" x14ac:dyDescent="0.2">
      <c r="A12" s="25" t="s">
        <v>178</v>
      </c>
      <c r="B12" s="25" t="s">
        <v>179</v>
      </c>
      <c r="C12" s="27">
        <v>49.258000000000003</v>
      </c>
      <c r="D12" s="27">
        <v>-35.929000000000002</v>
      </c>
      <c r="E12" s="27">
        <v>118.923</v>
      </c>
      <c r="F12" s="27">
        <v>-36.453000000000003</v>
      </c>
      <c r="G12" s="27">
        <v>230.47399999999999</v>
      </c>
      <c r="H12" s="27" t="s">
        <v>171</v>
      </c>
      <c r="I12" s="27" t="s">
        <v>171</v>
      </c>
      <c r="J12" s="27">
        <v>251.31200000000001</v>
      </c>
      <c r="K12" s="27">
        <v>-250.37</v>
      </c>
      <c r="L12" s="27">
        <v>210.96299999999999</v>
      </c>
    </row>
    <row r="13" spans="1:12" x14ac:dyDescent="0.2">
      <c r="A13" s="25" t="s">
        <v>180</v>
      </c>
      <c r="B13" s="25" t="s">
        <v>181</v>
      </c>
      <c r="C13" s="27">
        <v>-64.766999999999996</v>
      </c>
      <c r="D13" s="27" t="s">
        <v>171</v>
      </c>
      <c r="E13" s="27" t="s">
        <v>171</v>
      </c>
      <c r="F13" s="27" t="s">
        <v>171</v>
      </c>
      <c r="G13" s="27" t="s">
        <v>171</v>
      </c>
      <c r="H13" s="27" t="s">
        <v>171</v>
      </c>
      <c r="I13" s="27" t="s">
        <v>171</v>
      </c>
      <c r="J13" s="27" t="s">
        <v>171</v>
      </c>
      <c r="K13" s="27" t="s">
        <v>171</v>
      </c>
      <c r="L13" s="27" t="s">
        <v>171</v>
      </c>
    </row>
    <row r="14" spans="1:12" x14ac:dyDescent="0.2">
      <c r="A14" s="25" t="s">
        <v>182</v>
      </c>
      <c r="B14" s="25" t="s">
        <v>183</v>
      </c>
      <c r="C14" s="27" t="s">
        <v>171</v>
      </c>
      <c r="D14" s="27" t="s">
        <v>171</v>
      </c>
      <c r="E14" s="27">
        <v>6.7549999999999999</v>
      </c>
      <c r="F14" s="27">
        <v>9.6359999999999992</v>
      </c>
      <c r="G14" s="27">
        <v>11.847</v>
      </c>
      <c r="H14" s="27">
        <v>14.292999999999999</v>
      </c>
      <c r="I14" s="27">
        <v>14.401999999999999</v>
      </c>
      <c r="J14" s="27" t="s">
        <v>171</v>
      </c>
      <c r="K14" s="27" t="s">
        <v>171</v>
      </c>
      <c r="L14" s="27" t="s">
        <v>171</v>
      </c>
    </row>
    <row r="15" spans="1:12" x14ac:dyDescent="0.2">
      <c r="A15" s="25" t="s">
        <v>184</v>
      </c>
      <c r="B15" s="25" t="s">
        <v>185</v>
      </c>
      <c r="C15" s="27">
        <v>-1102.604</v>
      </c>
      <c r="D15" s="27" t="s">
        <v>171</v>
      </c>
      <c r="E15" s="27" t="s">
        <v>171</v>
      </c>
      <c r="F15" s="27" t="s">
        <v>171</v>
      </c>
      <c r="G15" s="27" t="s">
        <v>171</v>
      </c>
      <c r="H15" s="27" t="s">
        <v>171</v>
      </c>
      <c r="I15" s="27" t="s">
        <v>171</v>
      </c>
      <c r="J15" s="27" t="s">
        <v>171</v>
      </c>
      <c r="K15" s="27" t="s">
        <v>171</v>
      </c>
      <c r="L15" s="27" t="s">
        <v>171</v>
      </c>
    </row>
    <row r="16" spans="1:12" x14ac:dyDescent="0.2">
      <c r="A16" s="25" t="s">
        <v>186</v>
      </c>
      <c r="B16" s="25" t="s">
        <v>187</v>
      </c>
      <c r="C16" s="27" t="s">
        <v>171</v>
      </c>
      <c r="D16" s="27">
        <v>196.245</v>
      </c>
      <c r="E16" s="27">
        <v>259.18</v>
      </c>
      <c r="F16" s="27">
        <v>376.90899999999999</v>
      </c>
      <c r="G16" s="27">
        <v>508.21100000000001</v>
      </c>
      <c r="H16" s="27">
        <v>352.86799999999999</v>
      </c>
      <c r="I16" s="27">
        <v>224.4</v>
      </c>
      <c r="J16" s="27">
        <v>161.12100000000001</v>
      </c>
      <c r="K16" s="27">
        <v>245.249</v>
      </c>
      <c r="L16" s="27">
        <v>609.125</v>
      </c>
    </row>
    <row r="17" spans="1:12" x14ac:dyDescent="0.2">
      <c r="A17" s="25" t="s">
        <v>188</v>
      </c>
      <c r="B17" s="25" t="s">
        <v>189</v>
      </c>
      <c r="C17" s="27" t="s">
        <v>171</v>
      </c>
      <c r="D17" s="27" t="s">
        <v>171</v>
      </c>
      <c r="E17" s="27" t="s">
        <v>171</v>
      </c>
      <c r="F17" s="27" t="s">
        <v>171</v>
      </c>
      <c r="G17" s="27" t="s">
        <v>171</v>
      </c>
      <c r="H17" s="27" t="s">
        <v>171</v>
      </c>
      <c r="I17" s="27" t="s">
        <v>171</v>
      </c>
      <c r="J17" s="27">
        <v>-1391.703</v>
      </c>
      <c r="K17" s="27">
        <v>-1115.337</v>
      </c>
      <c r="L17" s="27">
        <v>-948.69899999999996</v>
      </c>
    </row>
    <row r="18" spans="1:12" x14ac:dyDescent="0.2">
      <c r="A18" s="25" t="s">
        <v>190</v>
      </c>
      <c r="B18" s="25" t="s">
        <v>191</v>
      </c>
      <c r="C18" s="27" t="s">
        <v>171</v>
      </c>
      <c r="D18" s="27" t="s">
        <v>171</v>
      </c>
      <c r="E18" s="27" t="s">
        <v>171</v>
      </c>
      <c r="F18" s="27" t="s">
        <v>171</v>
      </c>
      <c r="G18" s="27" t="s">
        <v>171</v>
      </c>
      <c r="H18" s="27">
        <v>-770.98099999999999</v>
      </c>
      <c r="I18" s="27">
        <v>-1146.288</v>
      </c>
      <c r="J18" s="27" t="s">
        <v>171</v>
      </c>
      <c r="K18" s="27" t="s">
        <v>171</v>
      </c>
      <c r="L18" s="27" t="s">
        <v>171</v>
      </c>
    </row>
    <row r="19" spans="1:12" x14ac:dyDescent="0.2">
      <c r="A19" s="25" t="s">
        <v>192</v>
      </c>
      <c r="B19" s="25" t="s">
        <v>193</v>
      </c>
      <c r="C19" s="27">
        <v>1.06</v>
      </c>
      <c r="D19" s="27">
        <v>-11.731999999999999</v>
      </c>
      <c r="E19" s="27" t="s">
        <v>171</v>
      </c>
      <c r="F19" s="27" t="s">
        <v>171</v>
      </c>
      <c r="G19" s="27" t="s">
        <v>171</v>
      </c>
      <c r="H19" s="27" t="s">
        <v>171</v>
      </c>
      <c r="I19" s="27" t="s">
        <v>171</v>
      </c>
      <c r="J19" s="27" t="s">
        <v>171</v>
      </c>
      <c r="K19" s="27" t="s">
        <v>171</v>
      </c>
      <c r="L19" s="27" t="s">
        <v>171</v>
      </c>
    </row>
    <row r="20" spans="1:12" x14ac:dyDescent="0.2">
      <c r="A20" s="25" t="s">
        <v>194</v>
      </c>
      <c r="B20" s="25" t="s">
        <v>195</v>
      </c>
      <c r="C20" s="27" t="s">
        <v>171</v>
      </c>
      <c r="D20" s="27" t="s">
        <v>171</v>
      </c>
      <c r="E20" s="27">
        <v>1963.1289999999999</v>
      </c>
      <c r="F20" s="27">
        <v>2252.636</v>
      </c>
      <c r="G20" s="27">
        <v>2718.2570000000001</v>
      </c>
      <c r="H20" s="27">
        <v>2974.8389999999999</v>
      </c>
      <c r="I20" s="27">
        <v>2712.2779999999998</v>
      </c>
      <c r="J20" s="27">
        <v>3110.511</v>
      </c>
      <c r="K20" s="27">
        <v>3145.672</v>
      </c>
      <c r="L20" s="27">
        <v>3424.9470000000001</v>
      </c>
    </row>
    <row r="21" spans="1:12" x14ac:dyDescent="0.2">
      <c r="A21" s="25" t="s">
        <v>196</v>
      </c>
      <c r="B21" s="25" t="s">
        <v>197</v>
      </c>
      <c r="C21" s="27" t="s">
        <v>171</v>
      </c>
      <c r="D21" s="27" t="s">
        <v>171</v>
      </c>
      <c r="E21" s="27" t="s">
        <v>171</v>
      </c>
      <c r="F21" s="27" t="s">
        <v>171</v>
      </c>
      <c r="G21" s="27" t="s">
        <v>171</v>
      </c>
      <c r="H21" s="27" t="s">
        <v>171</v>
      </c>
      <c r="I21" s="27" t="s">
        <v>171</v>
      </c>
      <c r="J21" s="27">
        <v>-215.203</v>
      </c>
      <c r="K21" s="27">
        <v>90.546999999999997</v>
      </c>
      <c r="L21" s="27">
        <v>-97.811000000000007</v>
      </c>
    </row>
    <row r="22" spans="1:12" x14ac:dyDescent="0.2">
      <c r="A22" s="25" t="s">
        <v>198</v>
      </c>
      <c r="B22" s="25" t="s">
        <v>199</v>
      </c>
      <c r="C22" s="27" t="s">
        <v>171</v>
      </c>
      <c r="D22" s="27" t="s">
        <v>171</v>
      </c>
      <c r="E22" s="27" t="s">
        <v>171</v>
      </c>
      <c r="F22" s="27" t="s">
        <v>171</v>
      </c>
      <c r="G22" s="27" t="s">
        <v>171</v>
      </c>
      <c r="H22" s="27" t="s">
        <v>171</v>
      </c>
      <c r="I22" s="27" t="s">
        <v>171</v>
      </c>
      <c r="J22" s="27">
        <v>2.3239999999999998</v>
      </c>
      <c r="K22" s="27">
        <v>0</v>
      </c>
      <c r="L22" s="27" t="s">
        <v>171</v>
      </c>
    </row>
    <row r="23" spans="1:12" x14ac:dyDescent="0.2">
      <c r="A23" s="25" t="s">
        <v>200</v>
      </c>
      <c r="B23" s="25" t="s">
        <v>201</v>
      </c>
      <c r="C23" s="27">
        <v>7.49</v>
      </c>
      <c r="D23" s="27">
        <v>0</v>
      </c>
      <c r="E23" s="27" t="s">
        <v>171</v>
      </c>
      <c r="F23" s="27" t="s">
        <v>171</v>
      </c>
      <c r="G23" s="27" t="s">
        <v>171</v>
      </c>
      <c r="H23" s="27" t="s">
        <v>171</v>
      </c>
      <c r="I23" s="27" t="s">
        <v>171</v>
      </c>
      <c r="J23" s="27" t="s">
        <v>171</v>
      </c>
      <c r="K23" s="27" t="s">
        <v>171</v>
      </c>
      <c r="L23" s="27" t="s">
        <v>171</v>
      </c>
    </row>
    <row r="24" spans="1:12" x14ac:dyDescent="0.2">
      <c r="A24" s="25" t="s">
        <v>202</v>
      </c>
      <c r="B24" s="25" t="s">
        <v>203</v>
      </c>
      <c r="C24" s="27" t="s">
        <v>171</v>
      </c>
      <c r="D24" s="27" t="s">
        <v>171</v>
      </c>
      <c r="E24" s="27" t="s">
        <v>171</v>
      </c>
      <c r="F24" s="27" t="s">
        <v>171</v>
      </c>
      <c r="G24" s="27">
        <v>22</v>
      </c>
      <c r="H24" s="27">
        <v>38.737000000000002</v>
      </c>
      <c r="I24" s="27">
        <v>0</v>
      </c>
      <c r="J24" s="27" t="s">
        <v>171</v>
      </c>
      <c r="K24" s="27" t="s">
        <v>171</v>
      </c>
      <c r="L24" s="27" t="s">
        <v>171</v>
      </c>
    </row>
    <row r="25" spans="1:12" x14ac:dyDescent="0.2">
      <c r="A25" s="25" t="s">
        <v>204</v>
      </c>
      <c r="B25" s="25" t="s">
        <v>205</v>
      </c>
      <c r="C25" s="27" t="s">
        <v>171</v>
      </c>
      <c r="D25" s="27" t="s">
        <v>171</v>
      </c>
      <c r="E25" s="27" t="s">
        <v>171</v>
      </c>
      <c r="F25" s="27" t="s">
        <v>171</v>
      </c>
      <c r="G25" s="27" t="s">
        <v>171</v>
      </c>
      <c r="H25" s="27">
        <v>923.81399999999996</v>
      </c>
      <c r="I25" s="27">
        <v>850.96400000000006</v>
      </c>
      <c r="J25" s="27">
        <v>1134.038</v>
      </c>
      <c r="K25" s="27">
        <v>1389.202</v>
      </c>
      <c r="L25" s="27">
        <v>1702.674</v>
      </c>
    </row>
    <row r="26" spans="1:12" x14ac:dyDescent="0.2">
      <c r="A26" s="25" t="s">
        <v>206</v>
      </c>
      <c r="B26" s="25" t="s">
        <v>207</v>
      </c>
      <c r="C26" s="27" t="s">
        <v>171</v>
      </c>
      <c r="D26" s="27" t="s">
        <v>171</v>
      </c>
      <c r="E26" s="27" t="s">
        <v>171</v>
      </c>
      <c r="F26" s="27" t="s">
        <v>171</v>
      </c>
      <c r="G26" s="27" t="s">
        <v>171</v>
      </c>
      <c r="H26" s="27">
        <v>-2974.8389999999999</v>
      </c>
      <c r="I26" s="27">
        <v>-2712.2779999999998</v>
      </c>
      <c r="J26" s="27">
        <v>-3110.511</v>
      </c>
      <c r="K26" s="27">
        <v>-3145.672</v>
      </c>
      <c r="L26" s="27">
        <v>-3424.9470000000001</v>
      </c>
    </row>
    <row r="27" spans="1:12" x14ac:dyDescent="0.2">
      <c r="A27" s="25" t="s">
        <v>208</v>
      </c>
      <c r="B27" s="25" t="s">
        <v>209</v>
      </c>
      <c r="C27" s="27" t="s">
        <v>171</v>
      </c>
      <c r="D27" s="27" t="s">
        <v>171</v>
      </c>
      <c r="E27" s="27" t="s">
        <v>171</v>
      </c>
      <c r="F27" s="27" t="s">
        <v>171</v>
      </c>
      <c r="G27" s="27" t="s">
        <v>171</v>
      </c>
      <c r="H27" s="27" t="s">
        <v>171</v>
      </c>
      <c r="I27" s="27" t="s">
        <v>171</v>
      </c>
      <c r="J27" s="27">
        <v>-150.209</v>
      </c>
      <c r="K27" s="27">
        <v>-17.972000000000001</v>
      </c>
      <c r="L27" s="27">
        <v>-318.19200000000001</v>
      </c>
    </row>
    <row r="28" spans="1:12" x14ac:dyDescent="0.2">
      <c r="A28" s="25" t="s">
        <v>210</v>
      </c>
      <c r="B28" s="25" t="s">
        <v>211</v>
      </c>
      <c r="C28" s="27">
        <v>850.20100000000002</v>
      </c>
      <c r="D28" s="27">
        <v>1036.4939999999999</v>
      </c>
      <c r="E28" s="27">
        <v>947.57</v>
      </c>
      <c r="F28" s="27">
        <v>1003.6130000000001</v>
      </c>
      <c r="G28" s="27">
        <v>1020.508</v>
      </c>
      <c r="H28" s="27">
        <v>1137.633</v>
      </c>
      <c r="I28" s="27">
        <v>1030.307</v>
      </c>
      <c r="J28" s="27">
        <v>1146.7439999999999</v>
      </c>
      <c r="K28" s="27">
        <v>801.255</v>
      </c>
      <c r="L28" s="27">
        <v>121.461</v>
      </c>
    </row>
    <row r="29" spans="1:12" x14ac:dyDescent="0.2">
      <c r="A29" s="25" t="s">
        <v>212</v>
      </c>
      <c r="B29" s="25" t="s">
        <v>213</v>
      </c>
      <c r="C29" s="27">
        <v>-472.42399999999998</v>
      </c>
      <c r="D29" s="27">
        <v>-124.54</v>
      </c>
      <c r="E29" s="27">
        <v>-94.966999999999999</v>
      </c>
      <c r="F29" s="27">
        <v>-69.820999999999998</v>
      </c>
      <c r="G29" s="27">
        <v>-158.69499999999999</v>
      </c>
      <c r="H29" s="27">
        <v>466.03800000000001</v>
      </c>
      <c r="I29" s="27">
        <v>-329.11700000000002</v>
      </c>
      <c r="J29" s="27">
        <v>-485.80500000000001</v>
      </c>
      <c r="K29" s="27">
        <v>-397.33499999999998</v>
      </c>
      <c r="L29" s="27">
        <v>-616.48199999999997</v>
      </c>
    </row>
    <row r="30" spans="1:12" x14ac:dyDescent="0.2">
      <c r="A30" s="25" t="s">
        <v>214</v>
      </c>
      <c r="B30" s="25" t="s">
        <v>215</v>
      </c>
      <c r="C30" s="27" t="s">
        <v>171</v>
      </c>
      <c r="D30" s="27" t="s">
        <v>171</v>
      </c>
      <c r="E30" s="27">
        <v>21.552</v>
      </c>
      <c r="F30" s="27">
        <v>25.279</v>
      </c>
      <c r="G30" s="27">
        <v>-7.9749999999999996</v>
      </c>
      <c r="H30" s="27" t="s">
        <v>171</v>
      </c>
      <c r="I30" s="27" t="s">
        <v>171</v>
      </c>
      <c r="J30" s="27">
        <v>18.667000000000002</v>
      </c>
      <c r="K30" s="27">
        <v>19.914000000000001</v>
      </c>
      <c r="L30" s="27">
        <v>10.696</v>
      </c>
    </row>
    <row r="31" spans="1:12" x14ac:dyDescent="0.2">
      <c r="A31" s="25" t="s">
        <v>216</v>
      </c>
      <c r="B31" s="25" t="s">
        <v>217</v>
      </c>
      <c r="C31" s="27" t="s">
        <v>171</v>
      </c>
      <c r="D31" s="27">
        <v>-993.19899999999996</v>
      </c>
      <c r="E31" s="27">
        <v>-1010.133</v>
      </c>
      <c r="F31" s="27">
        <v>-1259.2070000000001</v>
      </c>
      <c r="G31" s="27">
        <v>-1634.519</v>
      </c>
      <c r="H31" s="27" t="s">
        <v>171</v>
      </c>
      <c r="I31" s="27" t="s">
        <v>171</v>
      </c>
      <c r="J31" s="27" t="s">
        <v>171</v>
      </c>
      <c r="K31" s="27" t="s">
        <v>171</v>
      </c>
      <c r="L31" s="27" t="s">
        <v>171</v>
      </c>
    </row>
    <row r="32" spans="1:12" x14ac:dyDescent="0.2">
      <c r="A32" s="25" t="s">
        <v>218</v>
      </c>
      <c r="B32" s="25" t="s">
        <v>219</v>
      </c>
      <c r="C32" s="27" t="s">
        <v>171</v>
      </c>
      <c r="D32" s="27">
        <v>21.262</v>
      </c>
      <c r="E32" s="27">
        <v>-124.163</v>
      </c>
      <c r="F32" s="27">
        <v>120.736</v>
      </c>
      <c r="G32" s="27">
        <v>269.286</v>
      </c>
      <c r="H32" s="27" t="s">
        <v>171</v>
      </c>
      <c r="I32" s="27" t="s">
        <v>171</v>
      </c>
      <c r="J32" s="27" t="s">
        <v>171</v>
      </c>
      <c r="K32" s="27" t="s">
        <v>171</v>
      </c>
      <c r="L32" s="27" t="s">
        <v>171</v>
      </c>
    </row>
    <row r="33" spans="1:12" x14ac:dyDescent="0.2">
      <c r="A33" s="25" t="s">
        <v>220</v>
      </c>
      <c r="B33" s="25" t="s">
        <v>221</v>
      </c>
      <c r="C33" s="27" t="s">
        <v>171</v>
      </c>
      <c r="D33" s="27">
        <v>665.17899999999997</v>
      </c>
      <c r="E33" s="27">
        <v>568.14499999999998</v>
      </c>
      <c r="F33" s="27">
        <v>637.66300000000001</v>
      </c>
      <c r="G33" s="27">
        <v>438.63900000000001</v>
      </c>
      <c r="H33" s="27">
        <v>652.23900000000003</v>
      </c>
      <c r="I33" s="27">
        <v>575.71799999999996</v>
      </c>
      <c r="J33" s="27">
        <v>671.55399999999997</v>
      </c>
      <c r="K33" s="27">
        <v>401.90300000000002</v>
      </c>
      <c r="L33" s="27">
        <v>-201.04900000000001</v>
      </c>
    </row>
    <row r="34" spans="1:12" x14ac:dyDescent="0.2">
      <c r="A34" s="25" t="s">
        <v>222</v>
      </c>
      <c r="B34" s="25" t="s">
        <v>223</v>
      </c>
      <c r="C34" s="27" t="s">
        <v>171</v>
      </c>
      <c r="D34" s="27" t="s">
        <v>171</v>
      </c>
      <c r="E34" s="27" t="s">
        <v>171</v>
      </c>
      <c r="F34" s="27" t="s">
        <v>171</v>
      </c>
      <c r="G34" s="27" t="s">
        <v>171</v>
      </c>
      <c r="H34" s="27" t="s">
        <v>171</v>
      </c>
      <c r="I34" s="27" t="s">
        <v>171</v>
      </c>
      <c r="J34" s="27" t="s">
        <v>171</v>
      </c>
      <c r="K34" s="27" t="s">
        <v>171</v>
      </c>
      <c r="L34" s="27" t="s">
        <v>171</v>
      </c>
    </row>
    <row r="35" spans="1:12" x14ac:dyDescent="0.2">
      <c r="A35" s="25" t="s">
        <v>224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</row>
    <row r="36" spans="1:12" x14ac:dyDescent="0.2">
      <c r="A36" s="25" t="s">
        <v>225</v>
      </c>
      <c r="B36" s="25" t="s">
        <v>226</v>
      </c>
      <c r="C36" s="27">
        <v>0.35599999999999998</v>
      </c>
      <c r="D36" s="27">
        <v>0</v>
      </c>
      <c r="E36" s="27">
        <v>0</v>
      </c>
      <c r="F36" s="27">
        <v>2.34</v>
      </c>
      <c r="G36" s="27">
        <v>0</v>
      </c>
      <c r="H36" s="27">
        <v>5.3999999999999999E-2</v>
      </c>
      <c r="I36" s="27">
        <v>0</v>
      </c>
      <c r="J36" s="27">
        <v>0</v>
      </c>
      <c r="K36" s="27">
        <v>0</v>
      </c>
      <c r="L36" s="27">
        <v>0</v>
      </c>
    </row>
    <row r="37" spans="1:12" x14ac:dyDescent="0.2">
      <c r="A37" s="25" t="s">
        <v>227</v>
      </c>
      <c r="B37" s="25" t="s">
        <v>228</v>
      </c>
      <c r="C37" s="27" t="s">
        <v>171</v>
      </c>
      <c r="D37" s="27" t="s">
        <v>171</v>
      </c>
      <c r="E37" s="27" t="s">
        <v>171</v>
      </c>
      <c r="F37" s="27" t="s">
        <v>171</v>
      </c>
      <c r="G37" s="27" t="s">
        <v>171</v>
      </c>
      <c r="H37" s="27" t="s">
        <v>171</v>
      </c>
      <c r="I37" s="27" t="s">
        <v>171</v>
      </c>
      <c r="J37" s="27">
        <v>-112.908</v>
      </c>
      <c r="K37" s="27">
        <v>-71.52</v>
      </c>
      <c r="L37" s="27">
        <v>-26.052</v>
      </c>
    </row>
    <row r="38" spans="1:12" x14ac:dyDescent="0.2">
      <c r="A38" s="25" t="s">
        <v>229</v>
      </c>
      <c r="B38" s="25" t="s">
        <v>230</v>
      </c>
      <c r="C38" s="27" t="s">
        <v>171</v>
      </c>
      <c r="D38" s="27" t="s">
        <v>171</v>
      </c>
      <c r="E38" s="27" t="s">
        <v>171</v>
      </c>
      <c r="F38" s="27" t="s">
        <v>171</v>
      </c>
      <c r="G38" s="27" t="s">
        <v>171</v>
      </c>
      <c r="H38" s="27" t="s">
        <v>171</v>
      </c>
      <c r="I38" s="27" t="s">
        <v>171</v>
      </c>
      <c r="J38" s="27">
        <v>0</v>
      </c>
      <c r="K38" s="27">
        <v>131.37</v>
      </c>
      <c r="L38" s="27">
        <v>0</v>
      </c>
    </row>
    <row r="39" spans="1:12" x14ac:dyDescent="0.2">
      <c r="A39" s="25" t="s">
        <v>231</v>
      </c>
      <c r="B39" s="25" t="s">
        <v>232</v>
      </c>
      <c r="C39" s="27" t="s">
        <v>171</v>
      </c>
      <c r="D39" s="27">
        <v>-31.292000000000002</v>
      </c>
      <c r="E39" s="27">
        <v>-53.591000000000001</v>
      </c>
      <c r="F39" s="27">
        <v>0</v>
      </c>
      <c r="G39" s="27" t="s">
        <v>171</v>
      </c>
      <c r="H39" s="27" t="s">
        <v>171</v>
      </c>
      <c r="I39" s="27" t="s">
        <v>171</v>
      </c>
      <c r="J39" s="27">
        <v>-859.49599999999998</v>
      </c>
      <c r="K39" s="27">
        <v>0</v>
      </c>
      <c r="L39" s="27">
        <v>-165.351</v>
      </c>
    </row>
    <row r="40" spans="1:12" x14ac:dyDescent="0.2">
      <c r="A40" s="25" t="s">
        <v>233</v>
      </c>
      <c r="B40" s="25" t="s">
        <v>234</v>
      </c>
      <c r="C40" s="27">
        <v>-16.048999999999999</v>
      </c>
      <c r="D40" s="27">
        <v>-212.33</v>
      </c>
      <c r="E40" s="27">
        <v>0</v>
      </c>
      <c r="F40" s="27">
        <v>-90.718999999999994</v>
      </c>
      <c r="G40" s="27">
        <v>-15.547000000000001</v>
      </c>
      <c r="H40" s="27" t="s">
        <v>171</v>
      </c>
      <c r="I40" s="27" t="s">
        <v>171</v>
      </c>
      <c r="J40" s="27" t="s">
        <v>171</v>
      </c>
      <c r="K40" s="27" t="s">
        <v>171</v>
      </c>
      <c r="L40" s="27" t="s">
        <v>171</v>
      </c>
    </row>
    <row r="41" spans="1:12" x14ac:dyDescent="0.2">
      <c r="A41" s="25" t="s">
        <v>235</v>
      </c>
      <c r="B41" s="25" t="s">
        <v>236</v>
      </c>
      <c r="C41" s="27" t="s">
        <v>171</v>
      </c>
      <c r="D41" s="27">
        <v>-52.677999999999997</v>
      </c>
      <c r="E41" s="27" t="s">
        <v>171</v>
      </c>
      <c r="F41" s="27" t="s">
        <v>171</v>
      </c>
      <c r="G41" s="27" t="s">
        <v>171</v>
      </c>
      <c r="H41" s="27" t="s">
        <v>171</v>
      </c>
      <c r="I41" s="27" t="s">
        <v>171</v>
      </c>
      <c r="J41" s="27" t="s">
        <v>171</v>
      </c>
      <c r="K41" s="27" t="s">
        <v>171</v>
      </c>
      <c r="L41" s="27">
        <v>-11.038</v>
      </c>
    </row>
    <row r="42" spans="1:12" x14ac:dyDescent="0.2">
      <c r="A42" s="25" t="s">
        <v>237</v>
      </c>
      <c r="B42" s="25" t="s">
        <v>238</v>
      </c>
      <c r="C42" s="27">
        <v>4.1879999999999997</v>
      </c>
      <c r="D42" s="27" t="s">
        <v>171</v>
      </c>
      <c r="E42" s="27" t="s">
        <v>171</v>
      </c>
      <c r="F42" s="27" t="s">
        <v>171</v>
      </c>
      <c r="G42" s="27" t="s">
        <v>171</v>
      </c>
      <c r="H42" s="27" t="s">
        <v>171</v>
      </c>
      <c r="I42" s="27" t="s">
        <v>171</v>
      </c>
      <c r="J42" s="27" t="s">
        <v>171</v>
      </c>
      <c r="K42" s="27" t="s">
        <v>171</v>
      </c>
      <c r="L42" s="27" t="s">
        <v>171</v>
      </c>
    </row>
    <row r="43" spans="1:12" x14ac:dyDescent="0.2">
      <c r="A43" s="25" t="s">
        <v>239</v>
      </c>
      <c r="B43" s="25" t="s">
        <v>240</v>
      </c>
      <c r="C43" s="27">
        <v>0</v>
      </c>
      <c r="D43" s="27" t="s">
        <v>171</v>
      </c>
      <c r="E43" s="27" t="s">
        <v>171</v>
      </c>
      <c r="F43" s="27" t="s">
        <v>171</v>
      </c>
      <c r="G43" s="27" t="s">
        <v>171</v>
      </c>
      <c r="H43" s="27" t="s">
        <v>171</v>
      </c>
      <c r="I43" s="27" t="s">
        <v>171</v>
      </c>
      <c r="J43" s="27" t="s">
        <v>171</v>
      </c>
      <c r="K43" s="27" t="s">
        <v>171</v>
      </c>
      <c r="L43" s="27" t="s">
        <v>171</v>
      </c>
    </row>
    <row r="44" spans="1:12" x14ac:dyDescent="0.2">
      <c r="A44" s="25" t="s">
        <v>241</v>
      </c>
      <c r="B44" s="25" t="s">
        <v>242</v>
      </c>
      <c r="C44" s="27" t="s">
        <v>171</v>
      </c>
      <c r="D44" s="27" t="s">
        <v>171</v>
      </c>
      <c r="E44" s="27" t="s">
        <v>171</v>
      </c>
      <c r="F44" s="27" t="s">
        <v>171</v>
      </c>
      <c r="G44" s="27" t="s">
        <v>171</v>
      </c>
      <c r="H44" s="27" t="s">
        <v>171</v>
      </c>
      <c r="I44" s="27" t="s">
        <v>171</v>
      </c>
      <c r="J44" s="27">
        <v>-2.9260000000000002</v>
      </c>
      <c r="K44" s="27">
        <v>-222.53100000000001</v>
      </c>
      <c r="L44" s="27">
        <v>-120.026</v>
      </c>
    </row>
    <row r="45" spans="1:12" x14ac:dyDescent="0.2">
      <c r="A45" s="25" t="s">
        <v>243</v>
      </c>
      <c r="B45" s="25" t="s">
        <v>244</v>
      </c>
      <c r="C45" s="27" t="s">
        <v>171</v>
      </c>
      <c r="D45" s="27">
        <v>178.315</v>
      </c>
      <c r="E45" s="27">
        <v>0</v>
      </c>
      <c r="F45" s="27">
        <v>25.864000000000001</v>
      </c>
      <c r="G45" s="27">
        <v>0</v>
      </c>
      <c r="H45" s="27" t="s">
        <v>171</v>
      </c>
      <c r="I45" s="27" t="s">
        <v>171</v>
      </c>
      <c r="J45" s="27" t="s">
        <v>171</v>
      </c>
      <c r="K45" s="27" t="s">
        <v>171</v>
      </c>
      <c r="L45" s="27" t="s">
        <v>171</v>
      </c>
    </row>
    <row r="46" spans="1:12" x14ac:dyDescent="0.2">
      <c r="A46" s="25" t="s">
        <v>245</v>
      </c>
      <c r="B46" s="25" t="s">
        <v>246</v>
      </c>
      <c r="C46" s="27" t="s">
        <v>171</v>
      </c>
      <c r="D46" s="27" t="s">
        <v>171</v>
      </c>
      <c r="E46" s="27">
        <v>-19.440999999999999</v>
      </c>
      <c r="F46" s="27">
        <v>-42.725000000000001</v>
      </c>
      <c r="G46" s="27">
        <v>-29.890999999999998</v>
      </c>
      <c r="H46" s="27">
        <v>-69.959999999999994</v>
      </c>
      <c r="I46" s="27">
        <v>-45.32</v>
      </c>
      <c r="J46" s="27" t="s">
        <v>171</v>
      </c>
      <c r="K46" s="27" t="s">
        <v>171</v>
      </c>
      <c r="L46" s="27" t="s">
        <v>171</v>
      </c>
    </row>
    <row r="47" spans="1:12" x14ac:dyDescent="0.2">
      <c r="A47" s="25" t="s">
        <v>247</v>
      </c>
      <c r="B47" s="25" t="s">
        <v>248</v>
      </c>
      <c r="C47" s="27">
        <v>-42.067999999999998</v>
      </c>
      <c r="D47" s="27" t="s">
        <v>171</v>
      </c>
      <c r="E47" s="27" t="s">
        <v>171</v>
      </c>
      <c r="F47" s="27" t="s">
        <v>171</v>
      </c>
      <c r="G47" s="27" t="s">
        <v>171</v>
      </c>
      <c r="H47" s="27" t="s">
        <v>171</v>
      </c>
      <c r="I47" s="27" t="s">
        <v>171</v>
      </c>
      <c r="J47" s="27" t="s">
        <v>171</v>
      </c>
      <c r="K47" s="27" t="s">
        <v>171</v>
      </c>
      <c r="L47" s="27" t="s">
        <v>171</v>
      </c>
    </row>
    <row r="48" spans="1:12" x14ac:dyDescent="0.2">
      <c r="A48" s="23" t="s">
        <v>249</v>
      </c>
      <c r="B48" s="23" t="s">
        <v>250</v>
      </c>
      <c r="C48" s="28">
        <v>-46.082999999999998</v>
      </c>
      <c r="D48" s="28">
        <v>-117.985</v>
      </c>
      <c r="E48" s="28">
        <v>-73.031999999999996</v>
      </c>
      <c r="F48" s="28">
        <v>-105.24</v>
      </c>
      <c r="G48" s="28">
        <v>-29.890999999999998</v>
      </c>
      <c r="H48" s="28">
        <v>-69.906000000000006</v>
      </c>
      <c r="I48" s="28">
        <v>-45.32</v>
      </c>
      <c r="J48" s="28">
        <v>-975.33</v>
      </c>
      <c r="K48" s="28">
        <v>-162.68100000000001</v>
      </c>
      <c r="L48" s="28">
        <v>-322.46600000000001</v>
      </c>
    </row>
    <row r="49" spans="1:12" x14ac:dyDescent="0.2">
      <c r="A49" s="25" t="s">
        <v>251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</row>
    <row r="50" spans="1:12" x14ac:dyDescent="0.2">
      <c r="A50" s="25" t="s">
        <v>252</v>
      </c>
      <c r="B50" s="25" t="s">
        <v>253</v>
      </c>
      <c r="C50" s="27">
        <v>-197.8</v>
      </c>
      <c r="D50" s="27">
        <v>-377.16699999999997</v>
      </c>
      <c r="E50" s="27">
        <v>-371.685</v>
      </c>
      <c r="F50" s="27">
        <v>-321.60700000000003</v>
      </c>
      <c r="G50" s="27">
        <v>-463.28899999999999</v>
      </c>
      <c r="H50" s="27">
        <v>-182.47800000000001</v>
      </c>
      <c r="I50" s="27">
        <v>-265.392</v>
      </c>
      <c r="J50" s="27">
        <v>-370.99700000000001</v>
      </c>
      <c r="K50" s="27">
        <v>-383.72300000000001</v>
      </c>
      <c r="L50" s="27">
        <v>-388.31700000000001</v>
      </c>
    </row>
    <row r="51" spans="1:12" x14ac:dyDescent="0.2">
      <c r="A51" s="25" t="s">
        <v>254</v>
      </c>
      <c r="B51" s="25" t="s">
        <v>255</v>
      </c>
      <c r="C51" s="27">
        <v>481.69499999999999</v>
      </c>
      <c r="D51" s="27">
        <v>1167.1010000000001</v>
      </c>
      <c r="E51" s="27">
        <v>0</v>
      </c>
      <c r="F51" s="27">
        <v>87.477999999999994</v>
      </c>
      <c r="G51" s="27" t="s">
        <v>171</v>
      </c>
      <c r="H51" s="27">
        <v>1135.5219999999999</v>
      </c>
      <c r="I51" s="27">
        <v>1273.7850000000001</v>
      </c>
      <c r="J51" s="27">
        <v>2817.0520000000001</v>
      </c>
      <c r="K51" s="27">
        <v>3425.61</v>
      </c>
      <c r="L51" s="27">
        <v>3449.5459999999998</v>
      </c>
    </row>
    <row r="52" spans="1:12" x14ac:dyDescent="0.2">
      <c r="A52" s="25" t="s">
        <v>256</v>
      </c>
      <c r="B52" s="25" t="s">
        <v>257</v>
      </c>
      <c r="C52" s="27">
        <v>-262.11700000000002</v>
      </c>
      <c r="D52" s="27">
        <v>-309.71600000000001</v>
      </c>
      <c r="E52" s="27">
        <v>-678.46</v>
      </c>
      <c r="F52" s="27">
        <v>-607.85299999999995</v>
      </c>
      <c r="G52" s="27">
        <v>-638.68700000000001</v>
      </c>
      <c r="H52" s="27">
        <v>-1415.529</v>
      </c>
      <c r="I52" s="27">
        <v>-526.226</v>
      </c>
      <c r="J52" s="27">
        <v>-636.976</v>
      </c>
      <c r="K52" s="27">
        <v>-2778.5390000000002</v>
      </c>
      <c r="L52" s="27">
        <v>-1919.6479999999999</v>
      </c>
    </row>
    <row r="53" spans="1:12" x14ac:dyDescent="0.2">
      <c r="A53" s="25" t="s">
        <v>258</v>
      </c>
      <c r="B53" s="25" t="s">
        <v>259</v>
      </c>
      <c r="C53" s="27" t="s">
        <v>171</v>
      </c>
      <c r="D53" s="27" t="s">
        <v>171</v>
      </c>
      <c r="E53" s="27">
        <v>-119.27</v>
      </c>
      <c r="F53" s="27">
        <v>-48.067999999999998</v>
      </c>
      <c r="G53" s="27">
        <v>0</v>
      </c>
      <c r="H53" s="27" t="s">
        <v>171</v>
      </c>
      <c r="I53" s="27" t="s">
        <v>171</v>
      </c>
      <c r="J53" s="27" t="s">
        <v>171</v>
      </c>
      <c r="K53" s="27" t="s">
        <v>171</v>
      </c>
      <c r="L53" s="27" t="s">
        <v>171</v>
      </c>
    </row>
    <row r="54" spans="1:12" x14ac:dyDescent="0.2">
      <c r="A54" s="25" t="s">
        <v>260</v>
      </c>
      <c r="B54" s="25" t="s">
        <v>261</v>
      </c>
      <c r="C54" s="27" t="s">
        <v>171</v>
      </c>
      <c r="D54" s="27">
        <v>-31.946999999999999</v>
      </c>
      <c r="E54" s="27">
        <v>-95.134</v>
      </c>
      <c r="F54" s="27">
        <v>-11.061999999999999</v>
      </c>
      <c r="G54" s="27">
        <v>-5.0350000000000001</v>
      </c>
      <c r="H54" s="27">
        <v>-16.724</v>
      </c>
      <c r="I54" s="27">
        <v>-43.433</v>
      </c>
      <c r="J54" s="27">
        <v>83.784999999999997</v>
      </c>
      <c r="K54" s="27">
        <v>-5.524</v>
      </c>
      <c r="L54" s="27">
        <v>1133.644</v>
      </c>
    </row>
    <row r="55" spans="1:12" x14ac:dyDescent="0.2">
      <c r="A55" s="25" t="s">
        <v>262</v>
      </c>
      <c r="B55" s="25" t="s">
        <v>263</v>
      </c>
      <c r="C55" s="27" t="s">
        <v>171</v>
      </c>
      <c r="D55" s="27" t="s">
        <v>171</v>
      </c>
      <c r="E55" s="27">
        <v>1435.7339999999999</v>
      </c>
      <c r="F55" s="27">
        <v>1039.8889999999999</v>
      </c>
      <c r="G55" s="27">
        <v>1938.0709999999999</v>
      </c>
      <c r="H55" s="27">
        <v>-2.577</v>
      </c>
      <c r="I55" s="27">
        <v>0</v>
      </c>
      <c r="J55" s="27">
        <v>-14.93</v>
      </c>
      <c r="K55" s="27">
        <v>-12.523999999999999</v>
      </c>
      <c r="L55" s="27">
        <v>-12.244</v>
      </c>
    </row>
    <row r="56" spans="1:12" x14ac:dyDescent="0.2">
      <c r="A56" s="25" t="s">
        <v>264</v>
      </c>
      <c r="B56" s="25" t="s">
        <v>265</v>
      </c>
      <c r="C56" s="27">
        <v>-192.999</v>
      </c>
      <c r="D56" s="27">
        <v>-322.15600000000001</v>
      </c>
      <c r="E56" s="27">
        <v>-341.46</v>
      </c>
      <c r="F56" s="27">
        <v>-290.58999999999997</v>
      </c>
      <c r="G56" s="27">
        <v>-478.94799999999998</v>
      </c>
      <c r="H56" s="27">
        <v>-387.60700000000003</v>
      </c>
      <c r="I56" s="27">
        <v>-536.26199999999994</v>
      </c>
      <c r="J56" s="27">
        <v>-422.60700000000003</v>
      </c>
      <c r="K56" s="27">
        <v>-345.00400000000002</v>
      </c>
      <c r="L56" s="27">
        <v>-320.88799999999998</v>
      </c>
    </row>
    <row r="57" spans="1:12" x14ac:dyDescent="0.2">
      <c r="A57" s="25" t="s">
        <v>266</v>
      </c>
      <c r="B57" s="25" t="s">
        <v>267</v>
      </c>
      <c r="C57" s="27" t="s">
        <v>171</v>
      </c>
      <c r="D57" s="27" t="s">
        <v>171</v>
      </c>
      <c r="E57" s="27" t="s">
        <v>171</v>
      </c>
      <c r="F57" s="27" t="s">
        <v>171</v>
      </c>
      <c r="G57" s="27" t="s">
        <v>171</v>
      </c>
      <c r="H57" s="27">
        <v>-913.39800000000002</v>
      </c>
      <c r="I57" s="27">
        <v>-837.91099999999994</v>
      </c>
      <c r="J57" s="27">
        <v>-1119.1079999999999</v>
      </c>
      <c r="K57" s="27">
        <v>-1376.6780000000001</v>
      </c>
      <c r="L57" s="27">
        <v>-1690.43</v>
      </c>
    </row>
    <row r="58" spans="1:12" x14ac:dyDescent="0.2">
      <c r="A58" s="25" t="s">
        <v>268</v>
      </c>
      <c r="B58" s="25" t="s">
        <v>269</v>
      </c>
      <c r="C58" s="27">
        <v>-496.72899999999998</v>
      </c>
      <c r="D58" s="27">
        <v>237.69300000000001</v>
      </c>
      <c r="E58" s="27">
        <v>98.32</v>
      </c>
      <c r="F58" s="27">
        <v>-26.047000000000001</v>
      </c>
      <c r="G58" s="27">
        <v>613.01</v>
      </c>
      <c r="H58" s="27">
        <v>-111.495</v>
      </c>
      <c r="I58" s="27">
        <v>57.844000000000001</v>
      </c>
      <c r="J58" s="27">
        <v>284.97500000000002</v>
      </c>
      <c r="K58" s="27">
        <v>-355.18799999999999</v>
      </c>
      <c r="L58" s="27">
        <v>154.833</v>
      </c>
    </row>
    <row r="59" spans="1:12" x14ac:dyDescent="0.2">
      <c r="A59" s="25" t="s">
        <v>270</v>
      </c>
      <c r="B59" s="25" t="s">
        <v>271</v>
      </c>
      <c r="C59" s="27">
        <v>310.52499999999998</v>
      </c>
      <c r="D59" s="27">
        <v>526.29</v>
      </c>
      <c r="E59" s="27">
        <v>529.476</v>
      </c>
      <c r="F59" s="27">
        <v>492.36700000000002</v>
      </c>
      <c r="G59" s="27">
        <v>1100.3420000000001</v>
      </c>
      <c r="H59" s="27">
        <v>972.12300000000005</v>
      </c>
      <c r="I59" s="27">
        <v>986.53399999999999</v>
      </c>
      <c r="J59" s="27">
        <v>1355.2940000000001</v>
      </c>
      <c r="K59" s="27">
        <v>994.58199999999999</v>
      </c>
      <c r="L59" s="27">
        <v>-15.771000000000001</v>
      </c>
    </row>
    <row r="60" spans="1:12" x14ac:dyDescent="0.2">
      <c r="A60" s="25" t="s">
        <v>272</v>
      </c>
      <c r="B60" s="25" t="s">
        <v>273</v>
      </c>
      <c r="C60" s="27">
        <v>807.25400000000002</v>
      </c>
      <c r="D60" s="27">
        <v>320.54399999999998</v>
      </c>
      <c r="E60" s="27">
        <v>526.29</v>
      </c>
      <c r="F60" s="27">
        <v>529.476</v>
      </c>
      <c r="G60" s="27">
        <v>492.36700000000002</v>
      </c>
      <c r="H60" s="27">
        <v>1100.3420000000001</v>
      </c>
      <c r="I60" s="27">
        <v>972.12300000000005</v>
      </c>
      <c r="J60" s="27">
        <v>986.53399999999999</v>
      </c>
      <c r="K60" s="27">
        <v>1355.2940000000001</v>
      </c>
      <c r="L60" s="27">
        <v>994.58199999999999</v>
      </c>
    </row>
    <row r="61" spans="1:12" x14ac:dyDescent="0.2">
      <c r="A61" s="25" t="s">
        <v>274</v>
      </c>
      <c r="B61" s="25" t="s">
        <v>275</v>
      </c>
      <c r="C61" s="27" t="s">
        <v>171</v>
      </c>
      <c r="D61" s="27" t="s">
        <v>171</v>
      </c>
      <c r="E61" s="27">
        <v>0</v>
      </c>
      <c r="F61" s="27" t="s">
        <v>171</v>
      </c>
      <c r="G61" s="27" t="s">
        <v>171</v>
      </c>
      <c r="H61" s="27" t="s">
        <v>171</v>
      </c>
      <c r="I61" s="27" t="s">
        <v>171</v>
      </c>
      <c r="J61" s="27" t="s">
        <v>171</v>
      </c>
      <c r="K61" s="27" t="s">
        <v>171</v>
      </c>
      <c r="L61" s="27" t="s">
        <v>171</v>
      </c>
    </row>
    <row r="62" spans="1:12" x14ac:dyDescent="0.2">
      <c r="A62" s="25" t="s">
        <v>276</v>
      </c>
      <c r="B62" s="25" t="s">
        <v>277</v>
      </c>
      <c r="C62" s="27" t="s">
        <v>171</v>
      </c>
      <c r="D62" s="27" t="s">
        <v>171</v>
      </c>
      <c r="E62" s="27" t="s">
        <v>171</v>
      </c>
      <c r="F62" s="27">
        <v>-0.82499999999999996</v>
      </c>
      <c r="G62" s="27">
        <v>-18.952000000000002</v>
      </c>
      <c r="H62" s="27" t="s">
        <v>171</v>
      </c>
      <c r="I62" s="27" t="s">
        <v>171</v>
      </c>
      <c r="J62" s="27" t="s">
        <v>171</v>
      </c>
      <c r="K62" s="27" t="s">
        <v>171</v>
      </c>
      <c r="L62" s="27" t="s">
        <v>171</v>
      </c>
    </row>
    <row r="63" spans="1:12" x14ac:dyDescent="0.2">
      <c r="A63" s="23" t="s">
        <v>278</v>
      </c>
      <c r="B63" s="23" t="s">
        <v>279</v>
      </c>
      <c r="C63" s="28">
        <v>21.777999999999999</v>
      </c>
      <c r="D63" s="28">
        <v>480.21800000000002</v>
      </c>
      <c r="E63" s="28">
        <v>266.31900000000002</v>
      </c>
      <c r="F63" s="28">
        <v>149.01400000000001</v>
      </c>
      <c r="G63" s="28">
        <v>801.596</v>
      </c>
      <c r="H63" s="28">
        <v>-507.62700000000001</v>
      </c>
      <c r="I63" s="28">
        <v>432.28100000000001</v>
      </c>
      <c r="J63" s="28">
        <v>1746.11</v>
      </c>
      <c r="K63" s="28">
        <v>204.827</v>
      </c>
      <c r="L63" s="28">
        <v>1093.7809999999999</v>
      </c>
    </row>
    <row r="64" spans="1:12" x14ac:dyDescent="0.2">
      <c r="A64" s="29" t="s">
        <v>280</v>
      </c>
      <c r="B64" s="29"/>
      <c r="C64" s="29" t="s">
        <v>281</v>
      </c>
      <c r="D64" s="29"/>
      <c r="E64" s="29"/>
      <c r="F64" s="29"/>
      <c r="G64" s="29"/>
      <c r="H64" s="29"/>
      <c r="I64" s="29"/>
      <c r="J64" s="29"/>
      <c r="K64" s="29"/>
      <c r="L64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 </vt:lpstr>
      <vt:lpstr>Main </vt:lpstr>
      <vt:lpstr>Debt Capacity </vt:lpstr>
      <vt:lpstr>New Model</vt:lpstr>
      <vt:lpstr>Credit </vt:lpstr>
      <vt:lpstr>BS </vt:lpstr>
      <vt:lpstr>IS </vt:lpstr>
      <vt:lpstr>CFS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rambanapasi</dc:creator>
  <cp:lastModifiedBy>gabriel rambanapasi</cp:lastModifiedBy>
  <dcterms:created xsi:type="dcterms:W3CDTF">2025-02-19T08:23:17Z</dcterms:created>
  <dcterms:modified xsi:type="dcterms:W3CDTF">2025-03-03T17:58:15Z</dcterms:modified>
</cp:coreProperties>
</file>