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rambanapasi/Desktop/Understanding JSE Clusters/Unwanted-Clustering/Clustering/Relative Valuation Models/"/>
    </mc:Choice>
  </mc:AlternateContent>
  <xr:revisionPtr revIDLastSave="0" documentId="13_ncr:1_{606DD6A1-466E-D949-A68E-9F481A84A69A}" xr6:coauthVersionLast="47" xr6:coauthVersionMax="47" xr10:uidLastSave="{00000000-0000-0000-0000-000000000000}"/>
  <bookViews>
    <workbookView xWindow="0" yWindow="760" windowWidth="30240" windowHeight="17940" activeTab="3" xr2:uid="{124C43E7-4F7B-EC4C-B4D7-E2F31FEEDA9E}"/>
  </bookViews>
  <sheets>
    <sheet name="Plan " sheetId="3" r:id="rId1"/>
    <sheet name="Main " sheetId="1" r:id="rId2"/>
    <sheet name="Model " sheetId="4" r:id="rId3"/>
    <sheet name="Debt Capacity 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5" l="1"/>
  <c r="F23" i="5"/>
  <c r="F21" i="5"/>
  <c r="F20" i="5"/>
  <c r="E16" i="5"/>
  <c r="F24" i="5" s="1"/>
  <c r="E15" i="5"/>
  <c r="F22" i="5" s="1"/>
  <c r="E17" i="5" l="1"/>
  <c r="F25" i="5" s="1"/>
  <c r="E7" i="5" s="1"/>
  <c r="F27" i="5" l="1"/>
  <c r="G14" i="4" l="1"/>
  <c r="G31" i="4"/>
  <c r="G30" i="4"/>
  <c r="E36" i="4"/>
  <c r="E30" i="4"/>
  <c r="E37" i="4" s="1"/>
  <c r="F31" i="4"/>
  <c r="F37" i="4" s="1"/>
  <c r="E31" i="4"/>
  <c r="F33" i="4"/>
  <c r="E33" i="4"/>
  <c r="F28" i="4"/>
  <c r="F36" i="4" s="1"/>
  <c r="F27" i="4"/>
  <c r="E27" i="4"/>
  <c r="F26" i="4"/>
  <c r="E26" i="4"/>
  <c r="F25" i="4"/>
  <c r="E15" i="4"/>
  <c r="F15" i="4"/>
  <c r="F17" i="4"/>
  <c r="E17" i="4"/>
  <c r="F19" i="4"/>
  <c r="E19" i="4"/>
  <c r="F18" i="4"/>
  <c r="E18" i="4"/>
  <c r="F16" i="4"/>
  <c r="E16" i="4"/>
  <c r="E10" i="4"/>
  <c r="E24" i="4" s="1"/>
  <c r="E35" i="4" s="1"/>
  <c r="D10" i="4"/>
  <c r="C10" i="4"/>
  <c r="B10" i="4"/>
  <c r="F10" i="4"/>
  <c r="F24" i="4" s="1"/>
  <c r="F35" i="4" s="1"/>
  <c r="C3" i="4"/>
  <c r="D3" i="4" s="1"/>
  <c r="E3" i="4" s="1"/>
  <c r="F3" i="4" s="1"/>
  <c r="B16" i="1"/>
  <c r="B12" i="1"/>
  <c r="B6" i="1"/>
  <c r="B3" i="1"/>
  <c r="F39" i="4" l="1"/>
  <c r="B7" i="1"/>
  <c r="B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Rambanapasi</author>
  </authors>
  <commentList>
    <comment ref="A15" authorId="0" shapeId="0" xr:uid="{C4F12721-EC1D-1B4F-9355-1C02FC65A597}">
      <text>
        <r>
          <rPr>
            <b/>
            <sz val="10"/>
            <color rgb="FF000000"/>
            <rFont val="Tahoma"/>
            <family val="2"/>
          </rPr>
          <t>Gabriel Rambanapasi: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assets that mature within 12 months. Some reasonable degree of liquidity. Everything from other recievables going up 
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16" authorId="0" shapeId="0" xr:uid="{D5D57638-BAF2-E047-9B47-E6973286459C}">
      <text>
        <r>
          <rPr>
            <b/>
            <sz val="10"/>
            <color rgb="FF000000"/>
            <rFont val="Tahoma"/>
            <family val="2"/>
          </rPr>
          <t>Gabriel Rambanapasi: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Everything apart from other receivables down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5" authorId="0" shapeId="0" xr:uid="{A025A020-33F3-954F-BA92-4EC614B0EB8A}">
      <text>
        <r>
          <rPr>
            <b/>
            <sz val="10"/>
            <color rgb="FF000000"/>
            <rFont val="Tahoma"/>
            <family val="2"/>
          </rPr>
          <t>Gabriel Rambanapasi: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Net income + Non Cash expenses + Changes In WC
</t>
        </r>
      </text>
    </comment>
    <comment ref="A36" authorId="0" shapeId="0" xr:uid="{5B2CE085-6CBB-5A4B-8107-DBD0123A7E73}">
      <text>
        <r>
          <rPr>
            <b/>
            <sz val="10"/>
            <color rgb="FF000000"/>
            <rFont val="Tahoma"/>
            <family val="2"/>
          </rPr>
          <t>Gabriel Rambanapasi: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Capex + Asset Sales + Investments 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7" authorId="0" shapeId="0" xr:uid="{02BD01D4-0AE3-E24D-930C-CB44A2BCE076}">
      <text>
        <r>
          <rPr>
            <b/>
            <sz val="10"/>
            <color rgb="FF000000"/>
            <rFont val="Tahoma"/>
            <family val="2"/>
          </rPr>
          <t>Gabriel Rambanapasi: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Net Debt + Net Equity issuance </t>
        </r>
      </text>
    </comment>
  </commentList>
</comments>
</file>

<file path=xl/sharedStrings.xml><?xml version="1.0" encoding="utf-8"?>
<sst xmlns="http://schemas.openxmlformats.org/spreadsheetml/2006/main" count="96" uniqueCount="82">
  <si>
    <t xml:space="preserve">Cash </t>
  </si>
  <si>
    <t xml:space="preserve">Year </t>
  </si>
  <si>
    <t xml:space="preserve">Price (Pula) </t>
  </si>
  <si>
    <t xml:space="preserve">Economic Value </t>
  </si>
  <si>
    <t xml:space="preserve">Total Debt </t>
  </si>
  <si>
    <t xml:space="preserve">Revenue </t>
  </si>
  <si>
    <t xml:space="preserve">EBITDA </t>
  </si>
  <si>
    <t xml:space="preserve">EV/ EBITDA </t>
  </si>
  <si>
    <t xml:space="preserve">Gross Margin </t>
  </si>
  <si>
    <t xml:space="preserve">Net Income </t>
  </si>
  <si>
    <t xml:space="preserve">Net Income Adjusted </t>
  </si>
  <si>
    <t xml:space="preserve">Net Margin </t>
  </si>
  <si>
    <t xml:space="preserve">Income Statement </t>
  </si>
  <si>
    <t>Q223</t>
  </si>
  <si>
    <t xml:space="preserve">Objective </t>
  </si>
  <si>
    <t xml:space="preserve">     sector risk, interest rate risk, liquidity risk, default risk </t>
  </si>
  <si>
    <t xml:space="preserve">Summary, concluding whtere to extend debt or pass. </t>
  </si>
  <si>
    <r>
      <rPr>
        <b/>
        <sz val="12"/>
        <color theme="1"/>
        <rFont val="Aptos Narrow"/>
        <scheme val="minor"/>
      </rPr>
      <t xml:space="preserve">Evaluate </t>
    </r>
    <r>
      <rPr>
        <sz val="12"/>
        <color theme="1"/>
        <rFont val="Aptos Narrow"/>
        <family val="2"/>
        <scheme val="minor"/>
      </rPr>
      <t>the credit worthiness of a company</t>
    </r>
  </si>
  <si>
    <r>
      <t xml:space="preserve">Assess </t>
    </r>
    <r>
      <rPr>
        <b/>
        <sz val="12"/>
        <color theme="1"/>
        <rFont val="Aptos Narrow"/>
        <scheme val="minor"/>
      </rPr>
      <t>credit risks</t>
    </r>
    <r>
      <rPr>
        <sz val="12"/>
        <color theme="1"/>
        <rFont val="Aptos Narrow"/>
        <family val="2"/>
        <scheme val="minor"/>
      </rPr>
      <t xml:space="preserve"> associated with lending to a particular firm </t>
    </r>
  </si>
  <si>
    <r>
      <t xml:space="preserve">Determine the </t>
    </r>
    <r>
      <rPr>
        <b/>
        <sz val="12"/>
        <color theme="1"/>
        <rFont val="Aptos Narrow"/>
        <scheme val="minor"/>
      </rPr>
      <t>debt capacity</t>
    </r>
    <r>
      <rPr>
        <sz val="12"/>
        <color theme="1"/>
        <rFont val="Aptos Narrow"/>
        <family val="2"/>
        <scheme val="minor"/>
      </rPr>
      <t xml:space="preserve"> </t>
    </r>
  </si>
  <si>
    <r>
      <rPr>
        <b/>
        <sz val="12"/>
        <color theme="1"/>
        <rFont val="Aptos Narrow"/>
        <scheme val="minor"/>
      </rPr>
      <t xml:space="preserve">Price </t>
    </r>
    <r>
      <rPr>
        <sz val="12"/>
        <color theme="1"/>
        <rFont val="Aptos Narrow"/>
        <family val="2"/>
        <scheme val="minor"/>
      </rPr>
      <t xml:space="preserve">credit using risk assesmments, appropriate interest rate risk and yield given credit worthiness </t>
    </r>
  </si>
  <si>
    <t xml:space="preserve">Letshego </t>
  </si>
  <si>
    <t xml:space="preserve">Group </t>
  </si>
  <si>
    <t>Shares ('000)</t>
  </si>
  <si>
    <t>Market Cap ('000 000)</t>
  </si>
  <si>
    <t xml:space="preserve">COGS </t>
  </si>
  <si>
    <t>Gross income (EBITDA)</t>
  </si>
  <si>
    <t xml:space="preserve">Tax expense </t>
  </si>
  <si>
    <t xml:space="preserve">Balance sheet </t>
  </si>
  <si>
    <t xml:space="preserve">CA </t>
  </si>
  <si>
    <t xml:space="preserve">NOTES </t>
  </si>
  <si>
    <t xml:space="preserve">HIGH DEBT COMPARED TO PEERS </t>
  </si>
  <si>
    <t xml:space="preserve">Reason </t>
  </si>
  <si>
    <t xml:space="preserve">Botswana is a funding source for geographical expansion </t>
  </si>
  <si>
    <t>Non CA</t>
  </si>
  <si>
    <t xml:space="preserve">CL </t>
  </si>
  <si>
    <t xml:space="preserve">Non CL </t>
  </si>
  <si>
    <t xml:space="preserve">Libailities </t>
  </si>
  <si>
    <t xml:space="preserve">Assets </t>
  </si>
  <si>
    <t xml:space="preserve">CFS </t>
  </si>
  <si>
    <t xml:space="preserve">Net income </t>
  </si>
  <si>
    <t xml:space="preserve">Changes in WC </t>
  </si>
  <si>
    <t xml:space="preserve">Non Cash expenses </t>
  </si>
  <si>
    <t xml:space="preserve">CapEX </t>
  </si>
  <si>
    <t xml:space="preserve">Investments </t>
  </si>
  <si>
    <t xml:space="preserve">Sale of assets </t>
  </si>
  <si>
    <t xml:space="preserve">Debt Issued </t>
  </si>
  <si>
    <t xml:space="preserve">Debt Repaid </t>
  </si>
  <si>
    <t xml:space="preserve">Equity Issued </t>
  </si>
  <si>
    <t xml:space="preserve">Dividends Paid </t>
  </si>
  <si>
    <t xml:space="preserve">CFO </t>
  </si>
  <si>
    <t xml:space="preserve">CFI </t>
  </si>
  <si>
    <t xml:space="preserve">CFF </t>
  </si>
  <si>
    <t>Net Cash Flow</t>
  </si>
  <si>
    <t xml:space="preserve">HAVE POSITIVE CASH FLOW BECAUSE OF NEW DEBT ISSUANCE </t>
  </si>
  <si>
    <t xml:space="preserve">HEAVY INVETSMNET IN THEIR RETAIL TECH </t>
  </si>
  <si>
    <t>Current Debt</t>
  </si>
  <si>
    <t>Principal Repayments (% of Total Debt)</t>
  </si>
  <si>
    <t>Interest Rate (% of Total Debt)</t>
  </si>
  <si>
    <t>Current Cash</t>
  </si>
  <si>
    <t>Debt Capacity</t>
  </si>
  <si>
    <t>Min</t>
  </si>
  <si>
    <t>Revenue</t>
  </si>
  <si>
    <t>Gross Margin</t>
  </si>
  <si>
    <t>EBITDA</t>
  </si>
  <si>
    <t>Depreciation (% of EBITDA)</t>
  </si>
  <si>
    <t>Taxes (% of EBIT)</t>
  </si>
  <si>
    <t>Capex</t>
  </si>
  <si>
    <t xml:space="preserve"> </t>
  </si>
  <si>
    <t>EBIT</t>
  </si>
  <si>
    <t>EBITDA - Capex</t>
  </si>
  <si>
    <t>EBITDA - Capex - Cash Taxes</t>
  </si>
  <si>
    <t>Covenants</t>
  </si>
  <si>
    <t>Maximum</t>
  </si>
  <si>
    <t>Total Debt</t>
  </si>
  <si>
    <t>Total Debt/EBITDA</t>
  </si>
  <si>
    <t>Net Debt/EBITDA</t>
  </si>
  <si>
    <t>Interest Coverage (EBIT / Interest)</t>
  </si>
  <si>
    <t>Debt Service Coverage (EBITDA) / (Interest + Principal)</t>
  </si>
  <si>
    <t>Debt Service Coverage (EBITDA - Capex) / (Interest + Principal)</t>
  </si>
  <si>
    <t>Fixed Charge Coverage (EBITDA - Capex - Taxes ) / (Interest + Principal)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</si>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</sst>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(#,##0\)_-;_-* &quot;-&quot;_-;_-@_-"/>
    <numFmt numFmtId="165" formatCode="_(* #,##0_);_(* \(#,##0\);_(* &quot;-&quot;??_);_(@_)"/>
    <numFmt numFmtId="166" formatCode="0.0%"/>
    <numFmt numFmtId="167" formatCode="0.0\x"/>
    <numFmt numFmtId="168" formatCode="_(* #,##0_);_(* \(#,##0\);_(* &quot;-&quot;?_);_(@_)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2" borderId="0" xfId="0" applyFill="1"/>
    <xf numFmtId="0" fontId="2" fillId="2" borderId="0" xfId="0" applyFont="1" applyFill="1"/>
    <xf numFmtId="4" fontId="0" fillId="2" borderId="0" xfId="0" applyNumberFormat="1" applyFill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91DC-50BE-EA41-BDED-F86C2EF8DEF6}">
  <dimension ref="A2:B12"/>
  <sheetViews>
    <sheetView workbookViewId="0">
      <selection activeCell="A13" sqref="A13"/>
    </sheetView>
  </sheetViews>
  <sheetFormatPr baseColWidth="10" defaultRowHeight="16" x14ac:dyDescent="0.2"/>
  <cols>
    <col min="1" max="1" width="78.83203125" style="4" customWidth="1"/>
    <col min="2" max="2" width="63" style="4" customWidth="1"/>
    <col min="3" max="16384" width="10.83203125" style="4"/>
  </cols>
  <sheetData>
    <row r="2" spans="1:2" x14ac:dyDescent="0.2">
      <c r="A2" s="4" t="s">
        <v>14</v>
      </c>
    </row>
    <row r="3" spans="1:2" x14ac:dyDescent="0.2">
      <c r="A3" s="5" t="s">
        <v>17</v>
      </c>
    </row>
    <row r="4" spans="1:2" x14ac:dyDescent="0.2">
      <c r="A4" s="4" t="s">
        <v>18</v>
      </c>
    </row>
    <row r="5" spans="1:2" x14ac:dyDescent="0.2">
      <c r="A5" s="4" t="s">
        <v>15</v>
      </c>
    </row>
    <row r="6" spans="1:2" x14ac:dyDescent="0.2">
      <c r="A6" s="4" t="s">
        <v>19</v>
      </c>
    </row>
    <row r="7" spans="1:2" x14ac:dyDescent="0.2">
      <c r="A7" s="5" t="s">
        <v>20</v>
      </c>
    </row>
    <row r="8" spans="1:2" x14ac:dyDescent="0.2">
      <c r="A8" s="4" t="s">
        <v>16</v>
      </c>
    </row>
    <row r="12" spans="1:2" x14ac:dyDescent="0.2">
      <c r="B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09B1-643E-444F-8DFE-689A8667BCA2}">
  <dimension ref="A1:C20"/>
  <sheetViews>
    <sheetView workbookViewId="0">
      <selection activeCell="B28" sqref="B28"/>
    </sheetView>
  </sheetViews>
  <sheetFormatPr baseColWidth="10" defaultRowHeight="16" x14ac:dyDescent="0.2"/>
  <cols>
    <col min="1" max="1" width="28.6640625" customWidth="1"/>
    <col min="2" max="2" width="60.1640625" customWidth="1"/>
  </cols>
  <sheetData>
    <row r="1" spans="1:3" x14ac:dyDescent="0.2">
      <c r="A1" t="s">
        <v>23</v>
      </c>
      <c r="B1">
        <v>2175</v>
      </c>
      <c r="C1" t="s">
        <v>13</v>
      </c>
    </row>
    <row r="2" spans="1:3" x14ac:dyDescent="0.2">
      <c r="A2" t="s">
        <v>2</v>
      </c>
      <c r="B2">
        <v>1.1499999999999999</v>
      </c>
      <c r="C2" t="s">
        <v>13</v>
      </c>
    </row>
    <row r="3" spans="1:3" x14ac:dyDescent="0.2">
      <c r="A3" t="s">
        <v>24</v>
      </c>
      <c r="B3" s="1">
        <f>B1*B2</f>
        <v>2501.25</v>
      </c>
      <c r="C3" t="s">
        <v>13</v>
      </c>
    </row>
    <row r="4" spans="1:3" x14ac:dyDescent="0.2">
      <c r="B4" s="1"/>
    </row>
    <row r="5" spans="1:3" x14ac:dyDescent="0.2">
      <c r="A5" t="s">
        <v>0</v>
      </c>
      <c r="B5" s="1">
        <v>1401</v>
      </c>
      <c r="C5" t="s">
        <v>13</v>
      </c>
    </row>
    <row r="6" spans="1:3" x14ac:dyDescent="0.2">
      <c r="A6" t="s">
        <v>4</v>
      </c>
      <c r="B6" s="1">
        <f>9626.3</f>
        <v>9626.2999999999993</v>
      </c>
      <c r="C6" t="s">
        <v>13</v>
      </c>
    </row>
    <row r="7" spans="1:3" x14ac:dyDescent="0.2">
      <c r="A7" t="s">
        <v>3</v>
      </c>
      <c r="B7" s="1">
        <f>B3+B6+-B5</f>
        <v>10726.55</v>
      </c>
      <c r="C7" t="s">
        <v>13</v>
      </c>
    </row>
    <row r="9" spans="1:3" x14ac:dyDescent="0.2">
      <c r="A9" t="s">
        <v>5</v>
      </c>
      <c r="B9">
        <v>1897</v>
      </c>
      <c r="C9" t="s">
        <v>13</v>
      </c>
    </row>
    <row r="10" spans="1:3" x14ac:dyDescent="0.2">
      <c r="A10" t="s">
        <v>6</v>
      </c>
      <c r="B10">
        <v>929</v>
      </c>
      <c r="C10" t="s">
        <v>13</v>
      </c>
    </row>
    <row r="11" spans="1:3" x14ac:dyDescent="0.2">
      <c r="A11" t="s">
        <v>7</v>
      </c>
      <c r="B11" s="2">
        <f>B10/B7</f>
        <v>8.660752991409168E-2</v>
      </c>
      <c r="C11" t="s">
        <v>13</v>
      </c>
    </row>
    <row r="12" spans="1:3" x14ac:dyDescent="0.2">
      <c r="A12" t="s">
        <v>8</v>
      </c>
      <c r="B12" s="2">
        <f xml:space="preserve"> B10/B9</f>
        <v>0.48972061149182922</v>
      </c>
      <c r="C12" t="s">
        <v>13</v>
      </c>
    </row>
    <row r="15" spans="1:3" x14ac:dyDescent="0.2">
      <c r="A15" t="s">
        <v>10</v>
      </c>
      <c r="B15">
        <v>414.8</v>
      </c>
      <c r="C15" t="s">
        <v>13</v>
      </c>
    </row>
    <row r="16" spans="1:3" x14ac:dyDescent="0.2">
      <c r="A16" t="s">
        <v>11</v>
      </c>
      <c r="B16" s="2">
        <f>B15/B9</f>
        <v>0.21866104375329468</v>
      </c>
      <c r="C16" t="s">
        <v>13</v>
      </c>
    </row>
    <row r="18" spans="1:3" x14ac:dyDescent="0.2">
      <c r="A18" t="s">
        <v>30</v>
      </c>
      <c r="C18" t="s">
        <v>32</v>
      </c>
    </row>
    <row r="19" spans="1:3" x14ac:dyDescent="0.2">
      <c r="A19">
        <v>1</v>
      </c>
      <c r="B19" t="s">
        <v>31</v>
      </c>
      <c r="C19" t="s">
        <v>33</v>
      </c>
    </row>
    <row r="20" spans="1:3" x14ac:dyDescent="0.2">
      <c r="A20">
        <v>2</v>
      </c>
      <c r="B20" t="s">
        <v>54</v>
      </c>
      <c r="C20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0F95-4E51-F041-ABAC-129B3FE57762}">
  <dimension ref="A1:G39"/>
  <sheetViews>
    <sheetView zoomScale="180" zoomScaleNormal="180" workbookViewId="0">
      <pane xSplit="1" ySplit="3" topLeftCell="B8" activePane="bottomRight" state="frozen"/>
      <selection pane="topRight" activeCell="B1" sqref="B1"/>
      <selection pane="bottomLeft" activeCell="A4" sqref="A4"/>
      <selection pane="bottomRight" activeCell="A12" sqref="A12"/>
    </sheetView>
  </sheetViews>
  <sheetFormatPr baseColWidth="10" defaultRowHeight="16" x14ac:dyDescent="0.2"/>
  <cols>
    <col min="1" max="1" width="23.5" customWidth="1"/>
    <col min="5" max="6" width="12.33203125" bestFit="1" customWidth="1"/>
  </cols>
  <sheetData>
    <row r="1" spans="1:7" x14ac:dyDescent="0.2">
      <c r="A1" t="s">
        <v>21</v>
      </c>
      <c r="B1" t="s">
        <v>22</v>
      </c>
    </row>
    <row r="3" spans="1:7" x14ac:dyDescent="0.2">
      <c r="A3" t="s">
        <v>1</v>
      </c>
      <c r="B3">
        <v>2019</v>
      </c>
      <c r="C3">
        <f>B3+1</f>
        <v>2020</v>
      </c>
      <c r="D3">
        <f t="shared" ref="D3:F3" si="0">C3+1</f>
        <v>2021</v>
      </c>
      <c r="E3">
        <f t="shared" si="0"/>
        <v>2022</v>
      </c>
      <c r="F3">
        <f t="shared" si="0"/>
        <v>2023</v>
      </c>
    </row>
    <row r="4" spans="1:7" x14ac:dyDescent="0.2">
      <c r="A4" t="s">
        <v>12</v>
      </c>
    </row>
    <row r="5" spans="1:7" x14ac:dyDescent="0.2">
      <c r="D5" s="1"/>
      <c r="E5" s="1"/>
      <c r="F5" s="1"/>
    </row>
    <row r="6" spans="1:7" x14ac:dyDescent="0.2">
      <c r="A6" s="1" t="s">
        <v>5</v>
      </c>
      <c r="D6" s="1"/>
      <c r="E6" s="1">
        <v>2285827</v>
      </c>
      <c r="F6" s="1">
        <v>2280807</v>
      </c>
    </row>
    <row r="7" spans="1:7" x14ac:dyDescent="0.2">
      <c r="A7" t="s">
        <v>25</v>
      </c>
      <c r="D7" s="1"/>
      <c r="E7" s="1"/>
      <c r="F7" s="1"/>
    </row>
    <row r="8" spans="1:7" x14ac:dyDescent="0.2">
      <c r="A8" t="s">
        <v>26</v>
      </c>
      <c r="D8" s="1"/>
      <c r="E8" s="1">
        <v>683885</v>
      </c>
      <c r="F8" s="1">
        <v>121461</v>
      </c>
    </row>
    <row r="9" spans="1:7" x14ac:dyDescent="0.2">
      <c r="A9" t="s">
        <v>27</v>
      </c>
      <c r="E9">
        <v>332311</v>
      </c>
      <c r="F9" s="1">
        <v>270260</v>
      </c>
    </row>
    <row r="10" spans="1:7" x14ac:dyDescent="0.2">
      <c r="A10" t="s">
        <v>9</v>
      </c>
      <c r="B10" s="1">
        <f t="shared" ref="B10:E10" si="1">B8-B9</f>
        <v>0</v>
      </c>
      <c r="C10" s="1">
        <f t="shared" si="1"/>
        <v>0</v>
      </c>
      <c r="D10" s="1">
        <f t="shared" si="1"/>
        <v>0</v>
      </c>
      <c r="E10" s="1">
        <f t="shared" si="1"/>
        <v>351574</v>
      </c>
      <c r="F10" s="1">
        <f>F8-F9</f>
        <v>-148799</v>
      </c>
    </row>
    <row r="12" spans="1:7" x14ac:dyDescent="0.2">
      <c r="A12" t="s">
        <v>28</v>
      </c>
    </row>
    <row r="14" spans="1:7" x14ac:dyDescent="0.2">
      <c r="A14" t="s">
        <v>0</v>
      </c>
      <c r="E14" s="1">
        <v>1020771</v>
      </c>
      <c r="F14" s="1">
        <v>1401824</v>
      </c>
      <c r="G14" s="1">
        <f>F14-E14</f>
        <v>381053</v>
      </c>
    </row>
    <row r="15" spans="1:7" x14ac:dyDescent="0.2">
      <c r="A15" t="s">
        <v>29</v>
      </c>
      <c r="E15" s="1">
        <f>257471+92150+12654857+1178969+692101</f>
        <v>14875548</v>
      </c>
      <c r="F15" s="1">
        <f>333672+105549+13487892+952610+866718</f>
        <v>15746441</v>
      </c>
    </row>
    <row r="16" spans="1:7" x14ac:dyDescent="0.2">
      <c r="A16" t="s">
        <v>34</v>
      </c>
      <c r="E16" s="1">
        <f>43107+81454+116761+101654+305798+31910+142685</f>
        <v>823369</v>
      </c>
      <c r="F16" s="1">
        <f>11038+108436+104812+89241+398710+30591+219000</f>
        <v>961828</v>
      </c>
    </row>
    <row r="17" spans="1:7" x14ac:dyDescent="0.2">
      <c r="A17" s="3" t="s">
        <v>38</v>
      </c>
      <c r="E17" s="1">
        <f>SUM(E14:E16)</f>
        <v>16719688</v>
      </c>
      <c r="F17" s="1">
        <f>SUM(F14:F16)</f>
        <v>18110093</v>
      </c>
    </row>
    <row r="18" spans="1:7" x14ac:dyDescent="0.2">
      <c r="A18" t="s">
        <v>35</v>
      </c>
      <c r="E18" s="1">
        <f xml:space="preserve"> 11134137-8027840-339</f>
        <v>3105958</v>
      </c>
      <c r="F18" s="1">
        <f>13190206-9626301-19903</f>
        <v>3544002</v>
      </c>
    </row>
    <row r="19" spans="1:7" x14ac:dyDescent="0.2">
      <c r="A19" t="s">
        <v>36</v>
      </c>
      <c r="E19" s="1">
        <f>E20-E18</f>
        <v>8028179</v>
      </c>
      <c r="F19" s="1">
        <f>F20-F18</f>
        <v>9646204</v>
      </c>
    </row>
    <row r="20" spans="1:7" x14ac:dyDescent="0.2">
      <c r="A20" s="3" t="s">
        <v>37</v>
      </c>
      <c r="E20" s="1">
        <v>11134137</v>
      </c>
      <c r="F20" s="1">
        <v>13190206</v>
      </c>
    </row>
    <row r="22" spans="1:7" x14ac:dyDescent="0.2">
      <c r="A22" t="s">
        <v>39</v>
      </c>
    </row>
    <row r="24" spans="1:7" x14ac:dyDescent="0.2">
      <c r="A24" t="s">
        <v>40</v>
      </c>
      <c r="B24" s="1"/>
      <c r="C24" s="1"/>
      <c r="D24" s="1"/>
      <c r="E24" s="1">
        <f>E10</f>
        <v>351574</v>
      </c>
      <c r="F24" s="1">
        <f t="shared" ref="F24" si="2">F10</f>
        <v>-148799</v>
      </c>
    </row>
    <row r="25" spans="1:7" x14ac:dyDescent="0.2">
      <c r="A25" t="s">
        <v>41</v>
      </c>
      <c r="B25" s="1"/>
      <c r="C25" s="1"/>
      <c r="D25" s="1"/>
      <c r="E25" s="1"/>
      <c r="F25" s="1">
        <f>(F15-F18)-(E15-E18)</f>
        <v>432849</v>
      </c>
    </row>
    <row r="26" spans="1:7" x14ac:dyDescent="0.2">
      <c r="A26" t="s">
        <v>42</v>
      </c>
      <c r="B26" s="1"/>
      <c r="C26" s="1"/>
      <c r="D26" s="1"/>
      <c r="E26" s="1">
        <f>11716+36906</f>
        <v>48622</v>
      </c>
      <c r="F26" s="1">
        <f>9994+44750</f>
        <v>54744</v>
      </c>
    </row>
    <row r="27" spans="1:7" x14ac:dyDescent="0.2">
      <c r="A27" t="s">
        <v>43</v>
      </c>
      <c r="B27" s="1"/>
      <c r="C27" s="1"/>
      <c r="D27" s="1"/>
      <c r="E27" s="1">
        <f>222531+71520</f>
        <v>294051</v>
      </c>
      <c r="F27" s="1">
        <f>120026+26052</f>
        <v>146078</v>
      </c>
    </row>
    <row r="28" spans="1:7" x14ac:dyDescent="0.2">
      <c r="A28" t="s">
        <v>44</v>
      </c>
      <c r="B28" s="1"/>
      <c r="C28" s="1"/>
      <c r="D28" s="1"/>
      <c r="E28" s="1"/>
      <c r="F28" s="1">
        <f>11038+165351</f>
        <v>176389</v>
      </c>
    </row>
    <row r="29" spans="1:7" x14ac:dyDescent="0.2">
      <c r="A29" t="s">
        <v>45</v>
      </c>
      <c r="E29" s="1">
        <v>131370</v>
      </c>
      <c r="F29" s="1">
        <v>0</v>
      </c>
    </row>
    <row r="30" spans="1:7" x14ac:dyDescent="0.2">
      <c r="A30" t="s">
        <v>46</v>
      </c>
      <c r="E30" s="1">
        <f>3425610</f>
        <v>3425610</v>
      </c>
      <c r="F30" s="1">
        <v>3449546</v>
      </c>
      <c r="G30" s="7">
        <f>F30/E30-1</f>
        <v>6.9873686730246298E-3</v>
      </c>
    </row>
    <row r="31" spans="1:7" x14ac:dyDescent="0.2">
      <c r="A31" t="s">
        <v>47</v>
      </c>
      <c r="E31" s="1">
        <f>2778539</f>
        <v>2778539</v>
      </c>
      <c r="F31" s="1">
        <f>1919648</f>
        <v>1919648</v>
      </c>
      <c r="G31" s="2">
        <f>F31/E31-1</f>
        <v>-0.30911604983770247</v>
      </c>
    </row>
    <row r="32" spans="1:7" x14ac:dyDescent="0.2">
      <c r="A32" t="s">
        <v>48</v>
      </c>
      <c r="E32" s="1">
        <v>0</v>
      </c>
      <c r="F32" s="1">
        <v>0</v>
      </c>
    </row>
    <row r="33" spans="1:6" x14ac:dyDescent="0.2">
      <c r="A33" t="s">
        <v>49</v>
      </c>
      <c r="E33" s="1">
        <f>332726+50997</f>
        <v>383723</v>
      </c>
      <c r="F33" s="1">
        <f>320181+68136</f>
        <v>388317</v>
      </c>
    </row>
    <row r="35" spans="1:6" x14ac:dyDescent="0.2">
      <c r="A35" t="s">
        <v>50</v>
      </c>
      <c r="E35" s="1">
        <f>E24+E26+0</f>
        <v>400196</v>
      </c>
      <c r="F35" s="1">
        <f>F24-F25+F26</f>
        <v>-526904</v>
      </c>
    </row>
    <row r="36" spans="1:6" x14ac:dyDescent="0.2">
      <c r="A36" t="s">
        <v>51</v>
      </c>
      <c r="E36" s="1">
        <f>E29+E29+E28</f>
        <v>262740</v>
      </c>
      <c r="F36" s="1">
        <f>(F29+F29+F28)*-1</f>
        <v>-176389</v>
      </c>
    </row>
    <row r="37" spans="1:6" x14ac:dyDescent="0.2">
      <c r="A37" t="s">
        <v>52</v>
      </c>
      <c r="E37" s="1">
        <f>E30-E31-E33+E32</f>
        <v>263348</v>
      </c>
      <c r="F37" s="1">
        <f t="shared" ref="F37" si="3">F30-F31-F33+F32</f>
        <v>1141581</v>
      </c>
    </row>
    <row r="39" spans="1:6" x14ac:dyDescent="0.2">
      <c r="A39" t="s">
        <v>53</v>
      </c>
      <c r="F39" s="1">
        <f>SUM(F35:F37)</f>
        <v>438288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9E8E-AED2-8349-BA4E-04535E1B54F9}">
  <dimension ref="A1:N27"/>
  <sheetViews>
    <sheetView tabSelected="1" zoomScale="150" zoomScaleNormal="150" workbookViewId="0">
      <selection activeCell="F23" sqref="F23"/>
    </sheetView>
  </sheetViews>
  <sheetFormatPr baseColWidth="10" defaultRowHeight="16" x14ac:dyDescent="0.2"/>
  <cols>
    <col min="4" max="4" width="42.83203125" customWidth="1"/>
  </cols>
  <sheetData>
    <row r="1" spans="1:14" x14ac:dyDescent="0.2">
      <c r="A1" s="8"/>
      <c r="B1" s="8"/>
      <c r="C1" s="8"/>
    </row>
    <row r="3" spans="1:14" x14ac:dyDescent="0.2">
      <c r="B3" t="s">
        <v>56</v>
      </c>
      <c r="E3" s="9">
        <v>30000</v>
      </c>
    </row>
    <row r="4" spans="1:14" x14ac:dyDescent="0.2">
      <c r="B4" t="s">
        <v>57</v>
      </c>
      <c r="E4" s="10">
        <v>7.0000000000000007E-2</v>
      </c>
      <c r="L4" s="8"/>
    </row>
    <row r="5" spans="1:14" x14ac:dyDescent="0.2">
      <c r="B5" t="s">
        <v>58</v>
      </c>
      <c r="E5" s="10">
        <v>0.05</v>
      </c>
      <c r="L5" s="8"/>
    </row>
    <row r="6" spans="1:14" x14ac:dyDescent="0.2">
      <c r="B6" t="s">
        <v>59</v>
      </c>
      <c r="E6" s="9">
        <v>8000</v>
      </c>
      <c r="L6" s="8"/>
    </row>
    <row r="7" spans="1:14" x14ac:dyDescent="0.2">
      <c r="B7" t="s">
        <v>60</v>
      </c>
      <c r="C7" t="s">
        <v>61</v>
      </c>
      <c r="E7" s="9">
        <f>IF(C7=E26,F26-E3,IF(C7=E27,F27-E3,""))</f>
        <v>54635.416666666657</v>
      </c>
      <c r="L7" s="8"/>
    </row>
    <row r="8" spans="1:14" x14ac:dyDescent="0.2">
      <c r="E8" s="9"/>
      <c r="L8" s="8"/>
    </row>
    <row r="9" spans="1:14" x14ac:dyDescent="0.2">
      <c r="B9" t="s">
        <v>62</v>
      </c>
      <c r="E9" s="9">
        <v>83100</v>
      </c>
      <c r="L9" s="8"/>
    </row>
    <row r="10" spans="1:14" x14ac:dyDescent="0.2">
      <c r="B10" t="s">
        <v>63</v>
      </c>
      <c r="E10" s="9">
        <v>49860</v>
      </c>
      <c r="L10" s="8"/>
    </row>
    <row r="11" spans="1:14" x14ac:dyDescent="0.2">
      <c r="B11" t="s">
        <v>64</v>
      </c>
      <c r="E11" s="9">
        <v>32500</v>
      </c>
      <c r="L11" s="8"/>
    </row>
    <row r="12" spans="1:14" x14ac:dyDescent="0.2">
      <c r="B12" t="s">
        <v>65</v>
      </c>
      <c r="E12" s="10">
        <v>0.2</v>
      </c>
      <c r="L12" s="8"/>
    </row>
    <row r="13" spans="1:14" x14ac:dyDescent="0.2">
      <c r="B13" t="s">
        <v>66</v>
      </c>
      <c r="E13" s="10">
        <v>0.25</v>
      </c>
      <c r="L13" s="8"/>
    </row>
    <row r="14" spans="1:14" x14ac:dyDescent="0.2">
      <c r="B14" t="s">
        <v>67</v>
      </c>
      <c r="E14" s="9">
        <v>7530</v>
      </c>
      <c r="L14" s="8"/>
      <c r="N14" t="s">
        <v>68</v>
      </c>
    </row>
    <row r="15" spans="1:14" x14ac:dyDescent="0.2">
      <c r="B15" t="s">
        <v>69</v>
      </c>
      <c r="E15" s="9">
        <f>E11*(1-E12)</f>
        <v>26000</v>
      </c>
      <c r="L15" s="8"/>
    </row>
    <row r="16" spans="1:14" x14ac:dyDescent="0.2">
      <c r="B16" t="s">
        <v>70</v>
      </c>
      <c r="E16" s="9">
        <f>E11-E14</f>
        <v>24970</v>
      </c>
      <c r="L16" s="8"/>
    </row>
    <row r="17" spans="2:12" x14ac:dyDescent="0.2">
      <c r="B17" t="s">
        <v>71</v>
      </c>
      <c r="E17" s="9">
        <f>E11*(1-E12)-E15*E13</f>
        <v>19500</v>
      </c>
      <c r="L17" s="8"/>
    </row>
    <row r="19" spans="2:12" x14ac:dyDescent="0.2">
      <c r="B19" t="s">
        <v>72</v>
      </c>
      <c r="E19" t="s">
        <v>73</v>
      </c>
      <c r="F19" t="s">
        <v>74</v>
      </c>
    </row>
    <row r="20" spans="2:12" x14ac:dyDescent="0.2">
      <c r="B20" t="s">
        <v>75</v>
      </c>
      <c r="E20" s="11">
        <v>3</v>
      </c>
      <c r="F20" s="12">
        <f>E20*E11</f>
        <v>97500</v>
      </c>
    </row>
    <row r="21" spans="2:12" x14ac:dyDescent="0.2">
      <c r="B21" t="s">
        <v>76</v>
      </c>
      <c r="E21" s="11">
        <v>2.6</v>
      </c>
      <c r="F21">
        <f>E21*E11+E6</f>
        <v>92500</v>
      </c>
    </row>
    <row r="22" spans="2:12" x14ac:dyDescent="0.2">
      <c r="B22" t="s">
        <v>77</v>
      </c>
      <c r="E22" s="11">
        <v>4</v>
      </c>
      <c r="F22" s="9">
        <f>E15/E22/E5</f>
        <v>130000</v>
      </c>
    </row>
    <row r="23" spans="2:12" x14ac:dyDescent="0.2">
      <c r="B23" t="s">
        <v>78</v>
      </c>
      <c r="E23" s="11">
        <v>3.2</v>
      </c>
      <c r="F23" s="12">
        <f>E11/E23/(E4+E5)</f>
        <v>84635.416666666657</v>
      </c>
    </row>
    <row r="24" spans="2:12" x14ac:dyDescent="0.2">
      <c r="B24" t="s">
        <v>79</v>
      </c>
      <c r="E24" s="11">
        <v>2</v>
      </c>
      <c r="F24" s="12">
        <f>E16/E24/(E4+E5)</f>
        <v>104041.66666666666</v>
      </c>
    </row>
    <row r="25" spans="2:12" x14ac:dyDescent="0.2">
      <c r="B25" t="s">
        <v>80</v>
      </c>
      <c r="E25" s="11">
        <v>1.5</v>
      </c>
      <c r="F25" s="12">
        <f>E17/E25/(E4+E5)</f>
        <v>108333.33333333333</v>
      </c>
    </row>
    <row r="26" spans="2:12" x14ac:dyDescent="0.2">
      <c r="E26" t="s">
        <v>61</v>
      </c>
      <c r="F26" s="12">
        <f>MIN(F20:F25)</f>
        <v>84635.416666666657</v>
      </c>
    </row>
    <row r="27" spans="2:12" x14ac:dyDescent="0.2">
      <c r="E27" t="s">
        <v>81</v>
      </c>
      <c r="F27" s="12">
        <f>AVERAGE(F20:F25)</f>
        <v>102835.06944444444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 </vt:lpstr>
      <vt:lpstr>Main </vt:lpstr>
      <vt:lpstr>Model </vt:lpstr>
      <vt:lpstr>Debt Capacity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rambanapasi</dc:creator>
  <cp:lastModifiedBy>gabriel rambanapasi</cp:lastModifiedBy>
  <dcterms:created xsi:type="dcterms:W3CDTF">2025-02-19T08:23:17Z</dcterms:created>
  <dcterms:modified xsi:type="dcterms:W3CDTF">2025-02-20T22:09:07Z</dcterms:modified>
</cp:coreProperties>
</file>