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D7B140B-EE08-439E-94C4-346AA3836643}" xr6:coauthVersionLast="28" xr6:coauthVersionMax="28" xr10:uidLastSave="{00000000-0000-0000-0000-000000000000}"/>
  <bookViews>
    <workbookView xWindow="0" yWindow="0" windowWidth="22260" windowHeight="12650" activeTab="4" xr2:uid="{00000000-000D-0000-FFFF-FFFF00000000}"/>
  </bookViews>
  <sheets>
    <sheet name="Sheet1" sheetId="1" r:id="rId1"/>
    <sheet name="Sheet4" sheetId="5" r:id="rId2"/>
    <sheet name="confeidence interval" sheetId="6" r:id="rId3"/>
    <sheet name="Sheet6" sheetId="7" r:id="rId4"/>
    <sheet name="predicted value AUDPC" sheetId="3" r:id="rId5"/>
    <sheet name="Sheet3" sheetId="4" r:id="rId6"/>
    <sheet name="Sheet7" sheetId="8" r:id="rId7"/>
    <sheet name="Sheet2" sheetId="2" r:id="rId8"/>
  </sheets>
  <definedNames>
    <definedName name="_Hlk507513311" localSheetId="2">'confeidence interval'!$K$30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3" l="1"/>
  <c r="T21" i="3"/>
  <c r="T15" i="3"/>
  <c r="T16" i="3"/>
  <c r="T17" i="3"/>
  <c r="T18" i="3"/>
  <c r="T19" i="3"/>
  <c r="T20" i="3"/>
  <c r="T14" i="3"/>
  <c r="N69" i="1"/>
  <c r="S23" i="3"/>
  <c r="S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M3" i="3"/>
  <c r="D65" i="1"/>
  <c r="E65" i="1"/>
  <c r="D64" i="1"/>
  <c r="D66" i="1"/>
  <c r="D67" i="1"/>
  <c r="D68" i="1"/>
  <c r="D69" i="1"/>
  <c r="D70" i="1"/>
  <c r="D71" i="1"/>
  <c r="N70" i="1"/>
  <c r="K38" i="8" l="1"/>
  <c r="L38" i="8" s="1"/>
  <c r="L37" i="8"/>
  <c r="L39" i="8"/>
  <c r="L36" i="8"/>
  <c r="L35" i="8"/>
  <c r="K39" i="8"/>
  <c r="K35" i="8"/>
  <c r="K32" i="8"/>
  <c r="K31" i="8"/>
  <c r="K30" i="8"/>
  <c r="K29" i="8"/>
  <c r="K36" i="8"/>
  <c r="J36" i="8"/>
  <c r="L21" i="8" l="1"/>
  <c r="L20" i="8"/>
  <c r="L19" i="8"/>
  <c r="K17" i="8"/>
  <c r="K18" i="8"/>
  <c r="K19" i="8"/>
  <c r="K20" i="8"/>
  <c r="K21" i="8"/>
  <c r="K22" i="8"/>
  <c r="K23" i="8"/>
  <c r="K16" i="8"/>
  <c r="G17" i="8"/>
  <c r="G18" i="8"/>
  <c r="G19" i="8"/>
  <c r="G20" i="8"/>
  <c r="G16" i="8"/>
  <c r="D32" i="3"/>
  <c r="F16" i="8"/>
  <c r="F17" i="8"/>
  <c r="K3" i="8"/>
  <c r="J4" i="8"/>
  <c r="J3" i="8"/>
  <c r="H3" i="8"/>
  <c r="L3" i="8" s="1"/>
  <c r="H4" i="8"/>
  <c r="J12" i="8"/>
  <c r="I13" i="8"/>
  <c r="J13" i="8" s="1"/>
  <c r="I12" i="8"/>
  <c r="H13" i="8"/>
  <c r="H12" i="8"/>
  <c r="N35" i="6"/>
  <c r="K35" i="6"/>
  <c r="M35" i="6"/>
  <c r="M34" i="6"/>
  <c r="M33" i="6"/>
  <c r="M32" i="6"/>
  <c r="J30" i="6"/>
  <c r="P24" i="6"/>
  <c r="P23" i="6"/>
  <c r="O24" i="6"/>
  <c r="O23" i="6"/>
  <c r="N24" i="6"/>
  <c r="M24" i="6"/>
  <c r="N23" i="6"/>
  <c r="M23" i="6"/>
  <c r="L5" i="6"/>
  <c r="M5" i="6" s="1"/>
  <c r="K5" i="6"/>
  <c r="J5" i="6"/>
  <c r="L6" i="6"/>
  <c r="O6" i="6" s="1"/>
  <c r="H6" i="6"/>
  <c r="M3" i="8" l="1"/>
  <c r="N3" i="8" s="1"/>
  <c r="L4" i="8"/>
  <c r="M4" i="8" s="1"/>
  <c r="N4" i="8" s="1"/>
  <c r="K4" i="8"/>
  <c r="K12" i="8"/>
  <c r="K13" i="8"/>
  <c r="J6" i="6"/>
  <c r="N5" i="6"/>
  <c r="N6" i="6"/>
  <c r="M6" i="6"/>
  <c r="K6" i="6"/>
  <c r="O5" i="6"/>
  <c r="L42" i="1"/>
  <c r="L41" i="1"/>
  <c r="C37" i="1"/>
  <c r="D37" i="1"/>
  <c r="E37" i="1"/>
  <c r="F37" i="1"/>
  <c r="C36" i="1"/>
  <c r="D36" i="1"/>
  <c r="E36" i="1"/>
  <c r="F36" i="1"/>
  <c r="M29" i="3"/>
  <c r="M19" i="3"/>
  <c r="M26" i="3"/>
  <c r="C44" i="3"/>
  <c r="E46" i="3"/>
  <c r="E45" i="3"/>
  <c r="E44" i="3"/>
  <c r="D28" i="1"/>
  <c r="J28" i="1" s="1"/>
  <c r="F38" i="3"/>
  <c r="F39" i="3"/>
  <c r="L40" i="3"/>
  <c r="D40" i="3"/>
  <c r="F40" i="3" s="1"/>
  <c r="G40" i="3" s="1"/>
  <c r="F41" i="3"/>
  <c r="F32" i="3"/>
  <c r="G32" i="3" s="1"/>
  <c r="C40" i="3"/>
  <c r="C32" i="3"/>
  <c r="I32" i="3"/>
  <c r="H28" i="1"/>
  <c r="G12" i="4"/>
  <c r="D10" i="4"/>
  <c r="D8" i="4"/>
  <c r="D7" i="4"/>
  <c r="D6" i="4"/>
  <c r="C4" i="4"/>
  <c r="D4" i="4"/>
  <c r="E4" i="4"/>
  <c r="F4" i="4"/>
  <c r="B4" i="4"/>
  <c r="L33" i="3" l="1"/>
  <c r="L34" i="3"/>
  <c r="L35" i="3"/>
  <c r="L36" i="3"/>
  <c r="L37" i="3"/>
  <c r="L38" i="3"/>
  <c r="L41" i="3"/>
  <c r="K33" i="3"/>
  <c r="K34" i="3"/>
  <c r="K35" i="3"/>
  <c r="K36" i="3"/>
  <c r="K37" i="3"/>
  <c r="K38" i="3"/>
  <c r="K39" i="3"/>
  <c r="L39" i="3" s="1"/>
  <c r="K40" i="3"/>
  <c r="K41" i="3"/>
  <c r="L32" i="3"/>
  <c r="K32" i="3"/>
  <c r="G41" i="3"/>
  <c r="G33" i="3"/>
  <c r="G34" i="3"/>
  <c r="G35" i="3"/>
  <c r="G36" i="3"/>
  <c r="G37" i="3"/>
  <c r="G38" i="3"/>
  <c r="F33" i="3"/>
  <c r="F34" i="3"/>
  <c r="F35" i="3"/>
  <c r="F36" i="3"/>
  <c r="F37" i="3"/>
  <c r="G39" i="3"/>
  <c r="I42" i="3"/>
  <c r="I39" i="3"/>
  <c r="E40" i="3" l="1"/>
  <c r="C41" i="3"/>
  <c r="D41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K26" i="3"/>
  <c r="J26" i="3"/>
  <c r="K25" i="3"/>
  <c r="J25" i="3"/>
  <c r="M25" i="3" s="1"/>
  <c r="K24" i="3"/>
  <c r="J24" i="3"/>
  <c r="K23" i="3"/>
  <c r="J23" i="3"/>
  <c r="M23" i="3" s="1"/>
  <c r="K22" i="3"/>
  <c r="J22" i="3"/>
  <c r="K21" i="3"/>
  <c r="J21" i="3"/>
  <c r="K20" i="3"/>
  <c r="J20" i="3"/>
  <c r="K19" i="3"/>
  <c r="J19" i="3"/>
  <c r="M10" i="3"/>
  <c r="M4" i="3"/>
  <c r="M5" i="3"/>
  <c r="M6" i="3"/>
  <c r="M7" i="3"/>
  <c r="M8" i="3"/>
  <c r="M9" i="3"/>
  <c r="L5" i="3"/>
  <c r="L11" i="3"/>
  <c r="L12" i="3"/>
  <c r="L6" i="3"/>
  <c r="L7" i="3"/>
  <c r="L8" i="3"/>
  <c r="L9" i="3"/>
  <c r="L10" i="3"/>
  <c r="K4" i="3"/>
  <c r="K5" i="3"/>
  <c r="K6" i="3"/>
  <c r="K7" i="3"/>
  <c r="K8" i="3"/>
  <c r="K9" i="3"/>
  <c r="K10" i="3"/>
  <c r="K3" i="3"/>
  <c r="J10" i="3"/>
  <c r="J9" i="3"/>
  <c r="J8" i="3"/>
  <c r="J7" i="3"/>
  <c r="J6" i="3"/>
  <c r="J5" i="3"/>
  <c r="J4" i="3"/>
  <c r="J3" i="3"/>
  <c r="C9" i="1"/>
  <c r="P5" i="1"/>
  <c r="P6" i="1"/>
  <c r="P7" i="1"/>
  <c r="P8" i="1"/>
  <c r="P9" i="1"/>
  <c r="O5" i="1"/>
  <c r="O6" i="1"/>
  <c r="O7" i="1"/>
  <c r="O8" i="1"/>
  <c r="O9" i="1"/>
  <c r="C2" i="1"/>
  <c r="H2" i="1"/>
  <c r="M21" i="3" l="1"/>
  <c r="M20" i="3"/>
  <c r="M24" i="3"/>
  <c r="M22" i="3"/>
  <c r="G58" i="1"/>
  <c r="I58" i="1" s="1"/>
  <c r="M58" i="1" s="1"/>
  <c r="F58" i="1"/>
  <c r="H58" i="1" s="1"/>
  <c r="L58" i="1" s="1"/>
  <c r="E58" i="1"/>
  <c r="K58" i="1" s="1"/>
  <c r="O58" i="1" s="1"/>
  <c r="D58" i="1"/>
  <c r="J58" i="1" s="1"/>
  <c r="N58" i="1" s="1"/>
  <c r="G57" i="1"/>
  <c r="I57" i="1" s="1"/>
  <c r="M57" i="1" s="1"/>
  <c r="F57" i="1"/>
  <c r="H57" i="1" s="1"/>
  <c r="L57" i="1" s="1"/>
  <c r="E57" i="1"/>
  <c r="D57" i="1"/>
  <c r="H56" i="1"/>
  <c r="L56" i="1" s="1"/>
  <c r="G56" i="1"/>
  <c r="F56" i="1"/>
  <c r="E56" i="1"/>
  <c r="K55" i="1" s="1"/>
  <c r="O55" i="1" s="1"/>
  <c r="D56" i="1"/>
  <c r="J55" i="1" s="1"/>
  <c r="N55" i="1" s="1"/>
  <c r="G55" i="1"/>
  <c r="I55" i="1" s="1"/>
  <c r="M55" i="1" s="1"/>
  <c r="F55" i="1"/>
  <c r="H55" i="1" s="1"/>
  <c r="L55" i="1" s="1"/>
  <c r="E55" i="1"/>
  <c r="D55" i="1"/>
  <c r="I54" i="1"/>
  <c r="M54" i="1" s="1"/>
  <c r="H54" i="1"/>
  <c r="L54" i="1" s="1"/>
  <c r="G54" i="1"/>
  <c r="F54" i="1"/>
  <c r="E54" i="1"/>
  <c r="K53" i="1" s="1"/>
  <c r="O53" i="1" s="1"/>
  <c r="D54" i="1"/>
  <c r="J53" i="1" s="1"/>
  <c r="N53" i="1" s="1"/>
  <c r="G53" i="1"/>
  <c r="I53" i="1" s="1"/>
  <c r="M53" i="1" s="1"/>
  <c r="F53" i="1"/>
  <c r="H53" i="1" s="1"/>
  <c r="L53" i="1" s="1"/>
  <c r="E53" i="1"/>
  <c r="D53" i="1"/>
  <c r="I52" i="1"/>
  <c r="M52" i="1" s="1"/>
  <c r="G52" i="1"/>
  <c r="F52" i="1"/>
  <c r="H52" i="1" s="1"/>
  <c r="L52" i="1" s="1"/>
  <c r="E52" i="1"/>
  <c r="K51" i="1" s="1"/>
  <c r="O51" i="1" s="1"/>
  <c r="D52" i="1"/>
  <c r="G51" i="1"/>
  <c r="I51" i="1" s="1"/>
  <c r="M51" i="1" s="1"/>
  <c r="F51" i="1"/>
  <c r="H51" i="1" s="1"/>
  <c r="L51" i="1" s="1"/>
  <c r="E51" i="1"/>
  <c r="D51" i="1"/>
  <c r="N29" i="1"/>
  <c r="N30" i="1"/>
  <c r="N31" i="1"/>
  <c r="N32" i="1"/>
  <c r="N33" i="1"/>
  <c r="N34" i="1"/>
  <c r="N28" i="1"/>
  <c r="M29" i="1"/>
  <c r="M30" i="1"/>
  <c r="M31" i="1"/>
  <c r="M32" i="1"/>
  <c r="M33" i="1"/>
  <c r="M34" i="1"/>
  <c r="M28" i="1"/>
  <c r="L29" i="1"/>
  <c r="L30" i="1"/>
  <c r="L31" i="1"/>
  <c r="L32" i="1"/>
  <c r="L33" i="1"/>
  <c r="L34" i="1"/>
  <c r="L28" i="1"/>
  <c r="K29" i="1"/>
  <c r="K30" i="1"/>
  <c r="K31" i="1"/>
  <c r="K32" i="1"/>
  <c r="K33" i="1"/>
  <c r="K34" i="1"/>
  <c r="K28" i="1"/>
  <c r="J29" i="1"/>
  <c r="J30" i="1"/>
  <c r="J31" i="1"/>
  <c r="J32" i="1"/>
  <c r="J33" i="1"/>
  <c r="J34" i="1"/>
  <c r="J35" i="1"/>
  <c r="N35" i="1" s="1"/>
  <c r="I29" i="1"/>
  <c r="I30" i="1"/>
  <c r="I31" i="1"/>
  <c r="I32" i="1"/>
  <c r="I33" i="1"/>
  <c r="I34" i="1"/>
  <c r="I35" i="1"/>
  <c r="M35" i="1" s="1"/>
  <c r="I28" i="1"/>
  <c r="H29" i="1"/>
  <c r="H30" i="1"/>
  <c r="H31" i="1"/>
  <c r="H32" i="1"/>
  <c r="H33" i="1"/>
  <c r="H34" i="1"/>
  <c r="H35" i="1"/>
  <c r="L35" i="1" s="1"/>
  <c r="G30" i="1"/>
  <c r="G29" i="1"/>
  <c r="G31" i="1"/>
  <c r="G32" i="1"/>
  <c r="G33" i="1"/>
  <c r="G34" i="1"/>
  <c r="G35" i="1"/>
  <c r="K35" i="1" s="1"/>
  <c r="G2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29" i="1"/>
  <c r="F30" i="1"/>
  <c r="F31" i="1"/>
  <c r="F32" i="1"/>
  <c r="F33" i="1"/>
  <c r="F34" i="1"/>
  <c r="F35" i="1"/>
  <c r="E29" i="1"/>
  <c r="E30" i="1"/>
  <c r="E31" i="1"/>
  <c r="E32" i="1"/>
  <c r="E33" i="1"/>
  <c r="E34" i="1"/>
  <c r="E35" i="1"/>
  <c r="D29" i="1"/>
  <c r="D30" i="1"/>
  <c r="D31" i="1"/>
  <c r="D32" i="1"/>
  <c r="D33" i="1"/>
  <c r="D34" i="1"/>
  <c r="D35" i="1"/>
  <c r="C29" i="1"/>
  <c r="C30" i="1"/>
  <c r="C31" i="1"/>
  <c r="C32" i="1"/>
  <c r="C33" i="1"/>
  <c r="C34" i="1"/>
  <c r="C35" i="1"/>
  <c r="F28" i="1"/>
  <c r="E28" i="1"/>
  <c r="C28" i="1"/>
  <c r="L11" i="2"/>
  <c r="L12" i="2"/>
  <c r="L13" i="2"/>
  <c r="L14" i="2"/>
  <c r="L15" i="2"/>
  <c r="L16" i="2"/>
  <c r="L10" i="2"/>
  <c r="K11" i="2"/>
  <c r="K12" i="2"/>
  <c r="K13" i="2"/>
  <c r="K14" i="2"/>
  <c r="K15" i="2"/>
  <c r="K16" i="2"/>
  <c r="K10" i="2"/>
  <c r="J11" i="2"/>
  <c r="J12" i="2"/>
  <c r="J13" i="2"/>
  <c r="J14" i="2"/>
  <c r="J15" i="2"/>
  <c r="J16" i="2"/>
  <c r="J10" i="2"/>
  <c r="I11" i="2"/>
  <c r="I12" i="2"/>
  <c r="I13" i="2"/>
  <c r="I14" i="2"/>
  <c r="I15" i="2"/>
  <c r="I16" i="2"/>
  <c r="I10" i="2"/>
  <c r="J52" i="1" l="1"/>
  <c r="N52" i="1" s="1"/>
  <c r="J54" i="1"/>
  <c r="N54" i="1" s="1"/>
  <c r="J56" i="1"/>
  <c r="N56" i="1" s="1"/>
  <c r="I56" i="1"/>
  <c r="M56" i="1" s="1"/>
  <c r="K52" i="1"/>
  <c r="O52" i="1" s="1"/>
  <c r="K54" i="1"/>
  <c r="O54" i="1" s="1"/>
  <c r="K56" i="1"/>
  <c r="O56" i="1" s="1"/>
  <c r="J51" i="1"/>
  <c r="N51" i="1" s="1"/>
  <c r="J57" i="1"/>
  <c r="N57" i="1" s="1"/>
  <c r="K57" i="1"/>
  <c r="O57" i="1" s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G16" i="1"/>
  <c r="P2" i="1"/>
  <c r="S2" i="1" s="1"/>
  <c r="R4" i="1"/>
  <c r="R8" i="1"/>
  <c r="R2" i="1"/>
  <c r="Q2" i="1"/>
  <c r="S5" i="1"/>
  <c r="S6" i="1"/>
  <c r="O3" i="1"/>
  <c r="P3" i="1" s="1"/>
  <c r="O4" i="1"/>
  <c r="P4" i="1" s="1"/>
  <c r="O2" i="1"/>
  <c r="H4" i="1"/>
  <c r="Q4" i="1" s="1"/>
  <c r="H5" i="1"/>
  <c r="R5" i="1" s="1"/>
  <c r="H8" i="1"/>
  <c r="Q8" i="1" s="1"/>
  <c r="G3" i="1"/>
  <c r="H3" i="1" s="1"/>
  <c r="G4" i="1"/>
  <c r="G5" i="1"/>
  <c r="G6" i="1"/>
  <c r="H6" i="1" s="1"/>
  <c r="G7" i="1"/>
  <c r="H7" i="1" s="1"/>
  <c r="G8" i="1"/>
  <c r="G2" i="1"/>
  <c r="F3" i="1"/>
  <c r="F4" i="1"/>
  <c r="F5" i="1"/>
  <c r="F6" i="1"/>
  <c r="F7" i="1"/>
  <c r="F8" i="1"/>
  <c r="F2" i="1"/>
  <c r="C7" i="1"/>
  <c r="C8" i="1"/>
  <c r="C3" i="1"/>
  <c r="C4" i="1"/>
  <c r="C5" i="1"/>
  <c r="C6" i="1"/>
  <c r="T2" i="1" l="1"/>
  <c r="S8" i="1"/>
  <c r="T8" i="1"/>
  <c r="S4" i="1"/>
  <c r="T4" i="1"/>
  <c r="S7" i="1"/>
  <c r="T7" i="1"/>
  <c r="S3" i="1"/>
  <c r="T3" i="1"/>
  <c r="R3" i="1"/>
  <c r="Q3" i="1"/>
  <c r="Q7" i="1"/>
  <c r="R7" i="1"/>
  <c r="Q6" i="1"/>
  <c r="R6" i="1"/>
  <c r="T6" i="1"/>
  <c r="T5" i="1"/>
  <c r="Q5" i="1"/>
</calcChain>
</file>

<file path=xl/sharedStrings.xml><?xml version="1.0" encoding="utf-8"?>
<sst xmlns="http://schemas.openxmlformats.org/spreadsheetml/2006/main" count="256" uniqueCount="127">
  <si>
    <t xml:space="preserve">-- </t>
  </si>
  <si>
    <r>
      <t xml:space="preserve"> </t>
    </r>
    <r>
      <rPr>
        <b/>
        <i/>
        <sz val="13"/>
        <color rgb="FF000000"/>
        <rFont val="Times New Roman"/>
        <family val="1"/>
      </rPr>
      <t xml:space="preserve">t </t>
    </r>
  </si>
  <si>
    <t xml:space="preserve">y(CMS) </t>
  </si>
  <si>
    <t xml:space="preserve">y(WMV-2) </t>
  </si>
  <si>
    <t>dt</t>
  </si>
  <si>
    <t xml:space="preserve">dy(CMS) </t>
  </si>
  <si>
    <t>dy/dt</t>
  </si>
  <si>
    <t>logdy/td</t>
  </si>
  <si>
    <t>lndy/dt</t>
  </si>
  <si>
    <t xml:space="preserve">y </t>
  </si>
  <si>
    <t>exp.</t>
  </si>
  <si>
    <t xml:space="preserve">mono. </t>
  </si>
  <si>
    <t xml:space="preserve">logistic </t>
  </si>
  <si>
    <t>Gomp.</t>
  </si>
  <si>
    <t>Re</t>
  </si>
  <si>
    <t xml:space="preserve">Δy/Δt
</t>
  </si>
  <si>
    <t>y*</t>
  </si>
  <si>
    <t>ln(y/(1-y)</t>
  </si>
  <si>
    <t>gomp</t>
  </si>
  <si>
    <t>logistic</t>
  </si>
  <si>
    <t>expo</t>
  </si>
  <si>
    <t>ln(y)</t>
  </si>
  <si>
    <t>ln(1/(1-y)</t>
  </si>
  <si>
    <t>mono</t>
  </si>
  <si>
    <t xml:space="preserve">y  (CMS) </t>
  </si>
  <si>
    <t>re.y</t>
  </si>
  <si>
    <t>exp</t>
  </si>
  <si>
    <t>rm(1-y)</t>
  </si>
  <si>
    <t>Gompertz</t>
  </si>
  <si>
    <t>Rl *y(1-y)</t>
  </si>
  <si>
    <t>Rg*y(ln(1)-ln(y))</t>
  </si>
  <si>
    <t>Rl=1/t</t>
  </si>
  <si>
    <t>rm=1/t</t>
  </si>
  <si>
    <t>re=(ln(y at t2)-ln(y at t1))/(t2-t1)</t>
  </si>
  <si>
    <t>re</t>
  </si>
  <si>
    <t>T</t>
  </si>
  <si>
    <t>rm</t>
  </si>
  <si>
    <t>rl</t>
  </si>
  <si>
    <t>rg</t>
  </si>
  <si>
    <t>dy/dt=re.y</t>
  </si>
  <si>
    <t>logi</t>
  </si>
  <si>
    <t>gompert</t>
  </si>
  <si>
    <t>dy/dt=rm(1-y)</t>
  </si>
  <si>
    <t>dy/dt=Rl.y(1-y)</t>
  </si>
  <si>
    <t>Exp_dy/dt</t>
  </si>
  <si>
    <t>mono_dy/dt</t>
  </si>
  <si>
    <t>Logi_dy/dt</t>
  </si>
  <si>
    <t>Gomp_dy/dt</t>
  </si>
  <si>
    <t>y*  =  -6.16138 + 0.14372 T</t>
  </si>
  <si>
    <t>back transformed</t>
  </si>
  <si>
    <t>1/1+e(-y*)</t>
  </si>
  <si>
    <t>AUDPC</t>
  </si>
  <si>
    <t>y-CMS</t>
  </si>
  <si>
    <t>gomp  =  -1.74238 + 0.105343 t</t>
  </si>
  <si>
    <t>Initial disease</t>
  </si>
  <si>
    <t>days required</t>
  </si>
  <si>
    <t>logistic model</t>
  </si>
  <si>
    <t>y_CMS</t>
  </si>
  <si>
    <t>logit</t>
  </si>
  <si>
    <t xml:space="preserve">gomp versus t_CMS </t>
  </si>
  <si>
    <t>Expe</t>
  </si>
  <si>
    <t>Mono</t>
  </si>
  <si>
    <t>r-sq</t>
  </si>
  <si>
    <t>MSE</t>
  </si>
  <si>
    <t>sqrt of s</t>
  </si>
  <si>
    <r>
      <rPr>
        <sz val="11"/>
        <color theme="1"/>
        <rFont val="Times New Roman"/>
        <family val="1"/>
      </rPr>
      <t>β</t>
    </r>
    <r>
      <rPr>
        <sz val="11"/>
        <color theme="1"/>
        <rFont val="Calibri"/>
        <family val="2"/>
      </rPr>
      <t>1</t>
    </r>
  </si>
  <si>
    <t xml:space="preserve">  </t>
  </si>
  <si>
    <t>rechard model</t>
  </si>
  <si>
    <t>Model</t>
  </si>
  <si>
    <t>Intercept</t>
  </si>
  <si>
    <t>Slope</t>
  </si>
  <si>
    <t>R-square</t>
  </si>
  <si>
    <t>SEEy</t>
  </si>
  <si>
    <t>Linear</t>
  </si>
  <si>
    <t>Monomolecular</t>
  </si>
  <si>
    <t>Exponential</t>
  </si>
  <si>
    <t>Logistic</t>
  </si>
  <si>
    <t>ln(-ln(y)</t>
  </si>
  <si>
    <t>\\\\\\\\\\\\\\\\\\\\\\\\\\\\\\\\\\\\\\\\\\\\\\\\\\</t>
  </si>
  <si>
    <t>((0.01+0.05)*7/2)+((0.05+0.17)*5/2)+((0.17+0.36)*7/2)+((0.36+0.71)*7/2)+((0.71+0.86)*7/2)+((0.86+0.93)*7/2)+((0.93+0.95)*6/2)</t>
  </si>
  <si>
    <t>R-sq</t>
  </si>
  <si>
    <t xml:space="preserve">Intercept (β)  </t>
  </si>
  <si>
    <r>
      <t xml:space="preserve">Intercept Standard error of SE 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β1</t>
    </r>
    <r>
      <rPr>
        <sz val="12"/>
        <color theme="1"/>
        <rFont val="Times New Roman"/>
        <family val="1"/>
      </rPr>
      <t xml:space="preserve"> )=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</si>
  <si>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 Slope (R</t>
    </r>
    <r>
      <rPr>
        <vertAlign val="subscript"/>
        <sz val="12"/>
        <color theme="1"/>
        <rFont val="Times New Roman"/>
        <family val="1"/>
      </rPr>
      <t>g)</t>
    </r>
  </si>
  <si>
    <t>Slope standard error (Se)</t>
  </si>
  <si>
    <r>
      <t>S</t>
    </r>
    <r>
      <rPr>
        <vertAlign val="subscript"/>
        <sz val="11"/>
        <color theme="1"/>
        <rFont val="Calibri"/>
        <family val="2"/>
        <scheme val="minor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Arial"/>
        <family val="2"/>
      </rPr>
      <t>√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</si>
  <si>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ɑ/2,df</t>
    </r>
    <r>
      <rPr>
        <i/>
        <sz val="11"/>
        <color theme="1"/>
        <rFont val="Calibri"/>
        <family val="2"/>
        <scheme val="minor"/>
      </rPr>
      <t>,</t>
    </r>
  </si>
  <si>
    <r>
      <t>S</t>
    </r>
    <r>
      <rPr>
        <vertAlign val="subscript"/>
        <sz val="11"/>
        <color theme="1"/>
        <rFont val="Calibri"/>
        <family val="2"/>
        <scheme val="minor"/>
      </rPr>
      <t>β</t>
    </r>
    <r>
      <rPr>
        <sz val="12"/>
        <color theme="1"/>
        <rFont val="Times New Roman"/>
        <family val="1"/>
      </rPr>
      <t xml:space="preserve"> ×</t>
    </r>
    <r>
      <rPr>
        <i/>
        <sz val="11"/>
        <color theme="1"/>
        <rFont val="Calibri"/>
        <family val="2"/>
        <scheme val="minor"/>
      </rPr>
      <t xml:space="preserve"> t</t>
    </r>
    <r>
      <rPr>
        <vertAlign val="subscript"/>
        <sz val="11"/>
        <color theme="1"/>
        <rFont val="Calibri"/>
        <family val="2"/>
        <scheme val="minor"/>
      </rPr>
      <t>0.05/2,6</t>
    </r>
  </si>
  <si>
    <r>
      <t>S</t>
    </r>
    <r>
      <rPr>
        <vertAlign val="subscript"/>
        <sz val="11"/>
        <color theme="1"/>
        <rFont val="Calibri"/>
        <family val="2"/>
        <scheme val="minor"/>
      </rPr>
      <t>β</t>
    </r>
    <r>
      <rPr>
        <sz val="12"/>
        <color theme="1"/>
        <rFont val="Times New Roman"/>
        <family val="1"/>
      </rPr>
      <t xml:space="preserve"> ×</t>
    </r>
    <r>
      <rPr>
        <i/>
        <sz val="11"/>
        <color theme="1"/>
        <rFont val="Calibri"/>
        <family val="2"/>
        <scheme val="minor"/>
      </rPr>
      <t xml:space="preserve"> -t</t>
    </r>
    <r>
      <rPr>
        <vertAlign val="subscript"/>
        <sz val="11"/>
        <color theme="1"/>
        <rFont val="Calibri"/>
        <family val="2"/>
        <scheme val="minor"/>
      </rPr>
      <t>0.05/2,6</t>
    </r>
  </si>
  <si>
    <r>
      <t>Confidence interval (β×±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β</t>
    </r>
    <r>
      <rPr>
        <sz val="12"/>
        <color theme="1"/>
        <rFont val="Times New Roman"/>
        <family val="1"/>
      </rPr>
      <t xml:space="preserve"> ×</t>
    </r>
    <r>
      <rPr>
        <i/>
        <sz val="11"/>
        <color theme="1"/>
        <rFont val="Calibri"/>
        <family val="2"/>
        <scheme val="minor"/>
      </rPr>
      <t xml:space="preserve"> t</t>
    </r>
    <r>
      <rPr>
        <vertAlign val="subscript"/>
        <sz val="11"/>
        <color theme="1"/>
        <rFont val="Calibri"/>
        <family val="2"/>
        <scheme val="minor"/>
      </rPr>
      <t>0.05/2,</t>
    </r>
    <r>
      <rPr>
        <sz val="11"/>
        <color theme="1"/>
        <rFont val="Calibri"/>
        <family val="2"/>
        <scheme val="minor"/>
      </rPr>
      <t>)</t>
    </r>
  </si>
  <si>
    <r>
      <t xml:space="preserve">T calculated= β </t>
    </r>
    <r>
      <rPr>
        <b/>
        <sz val="12"/>
        <color theme="1"/>
        <rFont val="Times New Roman"/>
        <family val="1"/>
      </rPr>
      <t>/</t>
    </r>
    <r>
      <rPr>
        <sz val="11"/>
        <color theme="1"/>
        <rFont val="Calibri"/>
        <family val="2"/>
        <scheme val="minor"/>
      </rPr>
      <t xml:space="preserve"> S</t>
    </r>
    <r>
      <rPr>
        <vertAlign val="subscript"/>
        <sz val="11"/>
        <color theme="1"/>
        <rFont val="Calibri"/>
        <family val="2"/>
        <scheme val="minor"/>
      </rPr>
      <t>β</t>
    </r>
  </si>
  <si>
    <t>CMS gompert (Intercpet)</t>
  </si>
  <si>
    <t>-0.907 to -2.573</t>
  </si>
  <si>
    <t>-5.11</t>
  </si>
  <si>
    <t>WMVgompert (Intercpet)</t>
  </si>
  <si>
    <t>1.24 to 3.518</t>
  </si>
  <si>
    <t>For slope</t>
  </si>
  <si>
    <t>Sβ= √s</t>
  </si>
  <si>
    <t>(t)= (β)/ Sβ1</t>
  </si>
  <si>
    <t>Confidence interval (β×±Sβ × t0.05/2,)</t>
  </si>
  <si>
    <t>Sβ= √s2</t>
  </si>
  <si>
    <t>Degree of freedom</t>
  </si>
  <si>
    <t> Data</t>
  </si>
  <si>
    <r>
      <t>t</t>
    </r>
    <r>
      <rPr>
        <i/>
        <vertAlign val="subscript"/>
        <sz val="11"/>
        <color rgb="FF000000"/>
        <rFont val="Times New Roman"/>
        <family val="1"/>
      </rPr>
      <t>ɑ/2,df</t>
    </r>
    <r>
      <rPr>
        <i/>
        <sz val="11"/>
        <color rgb="FF000000"/>
        <rFont val="Times New Roman"/>
        <family val="1"/>
      </rPr>
      <t>,</t>
    </r>
  </si>
  <si>
    <t>df</t>
  </si>
  <si>
    <r>
      <t>Standard Error (s</t>
    </r>
    <r>
      <rPr>
        <vertAlign val="super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</si>
  <si>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r>
      <t>S</t>
    </r>
    <r>
      <rPr>
        <vertAlign val="subscript"/>
        <sz val="11"/>
        <color rgb="FF000000"/>
        <rFont val="Times New Roman"/>
        <family val="1"/>
      </rPr>
      <t>β</t>
    </r>
    <r>
      <rPr>
        <sz val="11"/>
        <color rgb="FF000000"/>
        <rFont val="Times New Roman"/>
        <family val="1"/>
      </rPr>
      <t>= √s</t>
    </r>
    <r>
      <rPr>
        <vertAlign val="superscript"/>
        <sz val="11"/>
        <color rgb="FF000000"/>
        <rFont val="Times New Roman"/>
        <family val="1"/>
      </rPr>
      <t>2</t>
    </r>
  </si>
  <si>
    <r>
      <t>Slope (R</t>
    </r>
    <r>
      <rPr>
        <vertAlign val="subscript"/>
        <sz val="11"/>
        <color rgb="FF000000"/>
        <rFont val="Times New Roman"/>
        <family val="1"/>
      </rPr>
      <t>g)</t>
    </r>
  </si>
  <si>
    <r>
      <t>T</t>
    </r>
    <r>
      <rPr>
        <vertAlign val="subscript"/>
        <sz val="12"/>
        <color rgb="FF000000"/>
        <rFont val="Times New Roman"/>
        <family val="1"/>
      </rPr>
      <t>cal.</t>
    </r>
    <r>
      <rPr>
        <sz val="12"/>
        <color rgb="FF000000"/>
        <rFont val="Times New Roman"/>
        <family val="1"/>
      </rPr>
      <t>=</t>
    </r>
    <r>
      <rPr>
        <sz val="12"/>
        <color theme="1"/>
        <rFont val="Times New Roman"/>
        <family val="1"/>
      </rPr>
      <t xml:space="preserve"> β</t>
    </r>
    <r>
      <rPr>
        <vertAlign val="subscript"/>
        <sz val="12"/>
        <color theme="1"/>
        <rFont val="Times New Roman"/>
        <family val="1"/>
      </rPr>
      <t>1/</t>
    </r>
    <r>
      <rPr>
        <sz val="12"/>
        <color theme="1"/>
        <rFont val="Times New Roman"/>
        <family val="1"/>
      </rPr>
      <t xml:space="preserve"> S</t>
    </r>
    <r>
      <rPr>
        <vertAlign val="subscript"/>
        <sz val="12"/>
        <color theme="1"/>
        <rFont val="Times New Roman"/>
        <family val="1"/>
      </rPr>
      <t>β</t>
    </r>
  </si>
  <si>
    <t>Confidence interval (Rg×±Sβ × t0.05/2,)</t>
  </si>
  <si>
    <t xml:space="preserve">CMS </t>
  </si>
  <si>
    <t>WMV</t>
  </si>
  <si>
    <r>
      <t>0.004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Times New Roman"/>
        <family val="1"/>
      </rPr>
      <t>+</t>
    </r>
    <r>
      <rPr>
        <sz val="12"/>
        <color rgb="FF000000"/>
        <rFont val="Times New Roman"/>
        <family val="1"/>
      </rPr>
      <t>0.0564</t>
    </r>
    <r>
      <rPr>
        <vertAlign val="superscript"/>
        <sz val="12"/>
        <color rgb="FF000000"/>
        <rFont val="Times New Roman"/>
        <family val="1"/>
      </rPr>
      <t>2</t>
    </r>
  </si>
  <si>
    <t>sb1</t>
  </si>
  <si>
    <t>Standard Error (SE)</t>
  </si>
  <si>
    <t>Sβ1= √(SE/df)^2</t>
  </si>
  <si>
    <t>s^b1</t>
  </si>
  <si>
    <t xml:space="preserve">Intercept </t>
  </si>
  <si>
    <t>EXP(-EXP(y*))</t>
  </si>
  <si>
    <r>
      <t xml:space="preserve">0.10534- </t>
    </r>
    <r>
      <rPr>
        <sz val="11"/>
        <color rgb="FF000000"/>
        <rFont val="Times New Roman"/>
        <family val="1"/>
      </rPr>
      <t>2.45×</t>
    </r>
    <r>
      <rPr>
        <sz val="11"/>
        <color rgb="FFFF0000"/>
        <rFont val="Times New Roman"/>
        <family val="1"/>
      </rPr>
      <t>0.0043</t>
    </r>
  </si>
  <si>
    <r>
      <t>0.10534+</t>
    </r>
    <r>
      <rPr>
        <sz val="11"/>
        <color rgb="FF000000"/>
        <rFont val="Times New Roman"/>
        <family val="1"/>
      </rPr>
      <t>2.45×</t>
    </r>
    <r>
      <rPr>
        <sz val="11"/>
        <color rgb="FFFF0000"/>
        <rFont val="Times New Roman"/>
        <family val="1"/>
      </rPr>
      <t>0.0043</t>
    </r>
  </si>
  <si>
    <t>0.06199+ 2.78×0.00564</t>
  </si>
  <si>
    <t>0.06199- 2.78×0.00564</t>
  </si>
  <si>
    <t>-1.74±2.45×0.12</t>
  </si>
  <si>
    <t>-2.3792±2.78× 0.17813</t>
  </si>
  <si>
    <t>y* = -2.37923 + 0.0619865 T</t>
  </si>
  <si>
    <r>
      <t>1.135 ×10</t>
    </r>
    <r>
      <rPr>
        <vertAlign val="superscript"/>
        <sz val="11"/>
        <color rgb="FF000000"/>
        <rFont val="Calibri"/>
        <family val="2"/>
        <scheme val="minor"/>
      </rPr>
      <t>-60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</si>
</sst>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"/>
  </numFmts>
  <fonts count="3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9"/>
      <color rgb="FF000000"/>
      <name val="Courier New"/>
      <family val="3"/>
    </font>
    <font>
      <sz val="9"/>
      <color rgb="FFFF0000"/>
      <name val="Courier New"/>
      <family val="3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  <font>
      <vertAlign val="subscript"/>
      <sz val="11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.5"/>
      <color rgb="FF000000"/>
      <name val="Times New Roman"/>
      <family val="1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FF0000"/>
      <name val="Lucida Console"/>
      <family val="3"/>
    </font>
    <font>
      <sz val="10"/>
      <color rgb="FF000000"/>
      <name val="Lucida Console"/>
      <family val="3"/>
    </font>
    <font>
      <sz val="12"/>
      <color rgb="FFFF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vertAlign val="subscript"/>
      <sz val="11"/>
      <color rgb="FF000000"/>
      <name val="Times New Roman"/>
      <family val="1"/>
    </font>
    <font>
      <sz val="11"/>
      <color rgb="FFFF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2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 indent="1"/>
    </xf>
    <xf numFmtId="164" fontId="4" fillId="0" borderId="4" xfId="0" applyNumberFormat="1" applyFont="1" applyBorder="1" applyAlignment="1">
      <alignment vertical="center" wrapText="1"/>
    </xf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1" fontId="7" fillId="0" borderId="3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/>
    <xf numFmtId="0" fontId="4" fillId="0" borderId="5" xfId="0" applyFont="1" applyFill="1" applyBorder="1" applyAlignment="1">
      <alignment vertical="center" wrapText="1"/>
    </xf>
    <xf numFmtId="0" fontId="0" fillId="0" borderId="1" xfId="0" applyBorder="1"/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1" fillId="0" borderId="4" xfId="0" applyFont="1" applyBorder="1" applyAlignment="1">
      <alignment horizontal="right" vertical="center"/>
    </xf>
    <xf numFmtId="10" fontId="11" fillId="0" borderId="4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5" fillId="0" borderId="0" xfId="0" applyFont="1"/>
    <xf numFmtId="166" fontId="16" fillId="0" borderId="0" xfId="0" applyNumberFormat="1" applyFont="1"/>
    <xf numFmtId="166" fontId="12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7" fillId="0" borderId="0" xfId="1"/>
    <xf numFmtId="10" fontId="0" fillId="0" borderId="0" xfId="0" applyNumberFormat="1"/>
    <xf numFmtId="0" fontId="7" fillId="0" borderId="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6" fillId="0" borderId="4" xfId="0" applyFont="1" applyBorder="1" applyAlignment="1">
      <alignment vertical="center" wrapText="1"/>
    </xf>
    <xf numFmtId="0" fontId="0" fillId="0" borderId="12" xfId="0" applyBorder="1"/>
    <xf numFmtId="0" fontId="0" fillId="0" borderId="13" xfId="0" applyBorder="1" applyAlignment="1">
      <alignment horizontal="center"/>
    </xf>
    <xf numFmtId="164" fontId="27" fillId="0" borderId="12" xfId="0" applyNumberFormat="1" applyFont="1" applyBorder="1" applyAlignment="1">
      <alignment vertical="center" wrapText="1"/>
    </xf>
    <xf numFmtId="164" fontId="19" fillId="0" borderId="12" xfId="0" applyNumberFormat="1" applyFont="1" applyBorder="1"/>
    <xf numFmtId="0" fontId="25" fillId="0" borderId="8" xfId="0" applyFont="1" applyBorder="1" applyAlignment="1">
      <alignment vertical="center" wrapText="1"/>
    </xf>
    <xf numFmtId="0" fontId="26" fillId="0" borderId="8" xfId="0" applyFont="1" applyBorder="1" applyAlignment="1">
      <alignment vertical="center" wrapText="1"/>
    </xf>
    <xf numFmtId="0" fontId="0" fillId="0" borderId="13" xfId="0" applyBorder="1"/>
    <xf numFmtId="0" fontId="0" fillId="0" borderId="12" xfId="0" applyBorder="1" applyAlignment="1">
      <alignment vertical="center" textRotation="1" wrapText="1"/>
    </xf>
    <xf numFmtId="0" fontId="28" fillId="0" borderId="2" xfId="0" applyFont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0" fontId="28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8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right" vertical="center" wrapText="1"/>
    </xf>
    <xf numFmtId="0" fontId="26" fillId="0" borderId="4" xfId="0" applyFont="1" applyBorder="1" applyAlignment="1">
      <alignment horizontal="right" vertical="center" wrapText="1"/>
    </xf>
    <xf numFmtId="0" fontId="31" fillId="0" borderId="4" xfId="0" applyFont="1" applyBorder="1" applyAlignment="1">
      <alignment horizontal="right" vertical="center" wrapText="1"/>
    </xf>
    <xf numFmtId="0" fontId="28" fillId="0" borderId="4" xfId="0" applyFont="1" applyBorder="1" applyAlignment="1">
      <alignment horizontal="right" vertical="center"/>
    </xf>
    <xf numFmtId="0" fontId="31" fillId="0" borderId="4" xfId="0" applyFont="1" applyBorder="1" applyAlignment="1">
      <alignment horizontal="right" vertical="center"/>
    </xf>
    <xf numFmtId="0" fontId="28" fillId="0" borderId="7" xfId="0" applyFont="1" applyBorder="1" applyAlignment="1">
      <alignment vertical="center" wrapText="1"/>
    </xf>
    <xf numFmtId="0" fontId="31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31" fillId="0" borderId="2" xfId="0" applyFont="1" applyBorder="1" applyAlignment="1">
      <alignment horizontal="right" vertical="center"/>
    </xf>
    <xf numFmtId="0" fontId="31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26" fillId="0" borderId="0" xfId="0" applyFont="1" applyAlignment="1">
      <alignment vertical="center"/>
    </xf>
    <xf numFmtId="0" fontId="28" fillId="0" borderId="0" xfId="0" applyFont="1"/>
    <xf numFmtId="0" fontId="31" fillId="0" borderId="0" xfId="0" applyFont="1"/>
    <xf numFmtId="0" fontId="7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0" borderId="3" xfId="0" applyFont="1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0" fontId="29" fillId="0" borderId="3" xfId="0" applyFont="1" applyBorder="1" applyAlignment="1">
      <alignment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8" fillId="0" borderId="15" xfId="0" applyFont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7" fillId="0" borderId="0" xfId="0" applyFont="1"/>
    <xf numFmtId="0" fontId="9" fillId="0" borderId="1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548123</xdr:colOff>
      <xdr:row>78</xdr:row>
      <xdr:rowOff>99787</xdr:rowOff>
    </xdr:from>
    <xdr:to>
      <xdr:col>9</xdr:col>
      <xdr:colOff>560614</xdr:colOff>
      <xdr:row>101</xdr:row>
      <xdr:rowOff>37194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F0F2C-B84C-4895-A531-8AD49093C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6980" y="15738930"/>
          <a:ext cx="4901991" cy="4799693"/>
        </a:xfrm>
        <a:prstGeom prst="rect">
          <a:avLst/>
        </a:prstGeom>
      </xdr:spPr>
    </xdr:pic>
    <xdr:clientData/>
  </xdr:twoCellAnchor>
  <xdr:twoCellAnchor editAs="oneCell">
    <xdr:from>
      <xdr:col>16</xdr:col>
      <xdr:colOff>221450</xdr:colOff>
      <xdr:row>65</xdr:row>
      <xdr:rowOff>1</xdr:rowOff>
    </xdr:from>
    <xdr:to>
      <xdr:col>23</xdr:col>
      <xdr:colOff>381000</xdr:colOff>
      <xdr:row>88</xdr:row>
      <xdr:rowOff>104322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4C27C3-4554-49BB-8AED-6C7443A0D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3900" y="13227051"/>
          <a:ext cx="4426750" cy="4394200"/>
        </a:xfrm>
        <a:prstGeom prst="rect">
          <a:avLst/>
        </a:prstGeom>
      </xdr:spPr>
    </xdr:pic>
    <xdr:clientData/>
  </xdr:twoCellAnchor>
  <xdr:twoCellAnchor editAs="oneCell">
    <xdr:from>
      <xdr:col>17</xdr:col>
      <xdr:colOff>59267</xdr:colOff>
      <xdr:row>46</xdr:row>
      <xdr:rowOff>93134</xdr:rowOff>
    </xdr:from>
    <xdr:to>
      <xdr:col>34</xdr:col>
      <xdr:colOff>224368</xdr:colOff>
      <xdr:row>63</xdr:row>
      <xdr:rowOff>41729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AE71FD-925E-42F2-87DD-0EA1B6B19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206" t="27267" r="13187" b="40888"/>
        <a:stretch/>
      </xdr:blipFill>
      <xdr:spPr>
        <a:xfrm>
          <a:off x="11400367" y="9630834"/>
          <a:ext cx="10528300" cy="3386666"/>
        </a:xfrm>
        <a:prstGeom prst="rect">
          <a:avLst/>
        </a:prstGeom>
      </xdr:spPr>
    </xdr:pic>
    <xdr:clientData/>
  </xdr:twoCellAnchor>
  <xdr:twoCellAnchor editAs="oneCell">
    <xdr:from>
      <xdr:col>31</xdr:col>
      <xdr:colOff>105833</xdr:colOff>
      <xdr:row>70</xdr:row>
      <xdr:rowOff>105834</xdr:rowOff>
    </xdr:from>
    <xdr:to>
      <xdr:col>48</xdr:col>
      <xdr:colOff>296333</xdr:colOff>
      <xdr:row>88</xdr:row>
      <xdr:rowOff>12095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7D7A54-34BC-4DEF-ACAD-BD3FEC81BF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8286" t="28210" r="13993" b="39255"/>
        <a:stretch/>
      </xdr:blipFill>
      <xdr:spPr>
        <a:xfrm>
          <a:off x="20044833" y="14372167"/>
          <a:ext cx="10625666" cy="334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6"/>
  <sheetViews>
    <sheetView topLeftCell="A50" zoomScale="70" zoomScaleNormal="70" workbookViewId="0">
      <selection activeCell="D64" sqref="D64:D71"/>
    </sheetView>
  </sheetViews>
  <sheetFormatPr defaultRowHeight="14.5" x14ac:dyDescent="0.35"/>
  <cols>
    <col min="2" max="3" width="11" customWidth="1"/>
    <col min="4" max="4" width="10.90625" customWidth="1"/>
    <col min="5" max="5" width="9.81640625" bestFit="1" customWidth="1"/>
    <col min="8" max="8" width="10.36328125" bestFit="1" customWidth="1"/>
    <col min="9" max="9" width="10.36328125" customWidth="1"/>
    <col min="10" max="10" width="9.36328125" bestFit="1" customWidth="1"/>
    <col min="12" max="12" width="11.81640625" bestFit="1" customWidth="1"/>
  </cols>
  <sheetData>
    <row r="1" spans="1:20" ht="44" thickBot="1" x14ac:dyDescent="0.4">
      <c r="A1" s="1" t="s">
        <v>1</v>
      </c>
      <c r="B1" s="2" t="s">
        <v>2</v>
      </c>
      <c r="C1" s="2" t="s">
        <v>6</v>
      </c>
      <c r="D1" s="3" t="s">
        <v>3</v>
      </c>
      <c r="F1" t="s">
        <v>4</v>
      </c>
      <c r="G1" s="2" t="s">
        <v>5</v>
      </c>
      <c r="H1" s="2" t="s">
        <v>15</v>
      </c>
      <c r="I1" s="2" t="s">
        <v>14</v>
      </c>
      <c r="J1" s="2" t="s">
        <v>6</v>
      </c>
      <c r="O1" s="3" t="s">
        <v>3</v>
      </c>
      <c r="P1" t="s">
        <v>6</v>
      </c>
      <c r="Q1" t="s">
        <v>7</v>
      </c>
      <c r="R1" t="s">
        <v>8</v>
      </c>
      <c r="S1" t="s">
        <v>7</v>
      </c>
      <c r="T1" t="s">
        <v>8</v>
      </c>
    </row>
    <row r="2" spans="1:20" ht="15" thickBot="1" x14ac:dyDescent="0.4">
      <c r="A2" s="4">
        <v>0</v>
      </c>
      <c r="B2" s="5">
        <v>0.01</v>
      </c>
      <c r="C2" s="9">
        <f>(B3-B2)/(A3-A2)</f>
        <v>5.7142857142857143E-3</v>
      </c>
      <c r="D2" s="5" t="s">
        <v>0</v>
      </c>
      <c r="F2">
        <f>A3-A2</f>
        <v>7</v>
      </c>
      <c r="G2">
        <f>B3-B2</f>
        <v>0.04</v>
      </c>
      <c r="H2" s="12">
        <f>G2/F2</f>
        <v>5.7142857142857143E-3</v>
      </c>
      <c r="I2" s="12">
        <f>H2/B2</f>
        <v>0.5714285714285714</v>
      </c>
      <c r="J2" s="10">
        <f>I2*H2</f>
        <v>3.2653061224489793E-3</v>
      </c>
      <c r="O2" t="e">
        <f t="shared" ref="O2:O9" si="0">D3-D2</f>
        <v>#VALUE!</v>
      </c>
      <c r="P2" t="e">
        <f t="shared" ref="P2:P9" si="1">O2/F2</f>
        <v>#VALUE!</v>
      </c>
      <c r="Q2" s="12">
        <f t="shared" ref="Q2:Q8" si="2">LOG(H2)</f>
        <v>-2.2430380486862944</v>
      </c>
      <c r="R2" s="12">
        <f t="shared" ref="R2:R8" si="3">LN(H2)</f>
        <v>-5.1647859739235145</v>
      </c>
      <c r="S2" s="12" t="e">
        <f>LOG(P2)</f>
        <v>#VALUE!</v>
      </c>
      <c r="T2" t="e">
        <f>LN(P2)</f>
        <v>#VALUE!</v>
      </c>
    </row>
    <row r="3" spans="1:20" ht="15" thickBot="1" x14ac:dyDescent="0.4">
      <c r="A3" s="4">
        <v>7</v>
      </c>
      <c r="B3" s="5">
        <v>0.05</v>
      </c>
      <c r="C3" s="9">
        <f t="shared" ref="C3:C6" si="4">(B4-B3)/(A4-A3)</f>
        <v>2.4E-2</v>
      </c>
      <c r="D3" s="5" t="s">
        <v>0</v>
      </c>
      <c r="E3">
        <v>5.7142857142857099E-3</v>
      </c>
      <c r="F3">
        <f t="shared" ref="F3:F8" si="5">A4-A3</f>
        <v>5</v>
      </c>
      <c r="G3">
        <f t="shared" ref="G3:G8" si="6">B4-B3</f>
        <v>0.12000000000000001</v>
      </c>
      <c r="H3" s="12">
        <f t="shared" ref="H3:H8" si="7">G3/F3</f>
        <v>2.4E-2</v>
      </c>
      <c r="I3" s="12">
        <f t="shared" ref="I3:I8" si="8">H3/B3</f>
        <v>0.48</v>
      </c>
      <c r="J3" s="10">
        <f t="shared" ref="J3:J8" si="9">I3*H3</f>
        <v>1.1519999999999999E-2</v>
      </c>
      <c r="O3" t="e">
        <f t="shared" si="0"/>
        <v>#VALUE!</v>
      </c>
      <c r="P3" t="e">
        <f t="shared" si="1"/>
        <v>#VALUE!</v>
      </c>
      <c r="Q3" s="12">
        <f t="shared" si="2"/>
        <v>-1.6197887582883939</v>
      </c>
      <c r="R3" s="12">
        <f t="shared" si="3"/>
        <v>-3.7297014486341915</v>
      </c>
      <c r="S3" s="12" t="e">
        <f t="shared" ref="S3:S8" si="10">LOG(P3)</f>
        <v>#VALUE!</v>
      </c>
      <c r="T3" t="e">
        <f t="shared" ref="T3:T8" si="11">LN(P3)</f>
        <v>#VALUE!</v>
      </c>
    </row>
    <row r="4" spans="1:20" ht="15" thickBot="1" x14ac:dyDescent="0.4">
      <c r="A4" s="4">
        <v>12</v>
      </c>
      <c r="B4" s="5">
        <v>0.17</v>
      </c>
      <c r="C4" s="9">
        <f t="shared" si="4"/>
        <v>2.7142857142857139E-2</v>
      </c>
      <c r="D4" s="5">
        <v>0.01</v>
      </c>
      <c r="E4">
        <v>5.7142857142857099E-3</v>
      </c>
      <c r="F4">
        <f t="shared" si="5"/>
        <v>7</v>
      </c>
      <c r="G4">
        <f t="shared" si="6"/>
        <v>0.18999999999999997</v>
      </c>
      <c r="H4" s="12">
        <f t="shared" si="7"/>
        <v>2.7142857142857139E-2</v>
      </c>
      <c r="I4" s="12">
        <f t="shared" si="8"/>
        <v>0.15966386554621845</v>
      </c>
      <c r="J4" s="10">
        <f t="shared" si="9"/>
        <v>4.333733493397357E-3</v>
      </c>
      <c r="O4">
        <f t="shared" si="0"/>
        <v>1.9999999999999997E-2</v>
      </c>
      <c r="P4" s="11">
        <f t="shared" si="1"/>
        <v>2.8571428571428567E-3</v>
      </c>
      <c r="Q4" s="12">
        <f t="shared" si="2"/>
        <v>-1.5663444390614278</v>
      </c>
      <c r="R4" s="12">
        <f t="shared" si="3"/>
        <v>-3.6066413558769645</v>
      </c>
      <c r="S4" s="12">
        <f t="shared" si="10"/>
        <v>-2.5440680443502757</v>
      </c>
      <c r="T4">
        <f t="shared" si="11"/>
        <v>-5.8579331544834599</v>
      </c>
    </row>
    <row r="5" spans="1:20" ht="15" thickBot="1" x14ac:dyDescent="0.4">
      <c r="A5" s="4">
        <v>19</v>
      </c>
      <c r="B5" s="6">
        <v>0.36</v>
      </c>
      <c r="C5" s="9">
        <f t="shared" si="4"/>
        <v>4.9999999999999996E-2</v>
      </c>
      <c r="D5" s="5">
        <v>0.03</v>
      </c>
      <c r="E5">
        <v>5.7142857142857099E-3</v>
      </c>
      <c r="F5">
        <f t="shared" si="5"/>
        <v>7</v>
      </c>
      <c r="G5">
        <f t="shared" si="6"/>
        <v>0.35</v>
      </c>
      <c r="H5" s="12">
        <f t="shared" si="7"/>
        <v>4.9999999999999996E-2</v>
      </c>
      <c r="I5" s="12">
        <f t="shared" si="8"/>
        <v>0.1388888888888889</v>
      </c>
      <c r="J5" s="10">
        <f t="shared" si="9"/>
        <v>6.9444444444444441E-3</v>
      </c>
      <c r="O5">
        <f t="shared" si="0"/>
        <v>0.06</v>
      </c>
      <c r="P5" s="11">
        <f t="shared" si="1"/>
        <v>8.5714285714285719E-3</v>
      </c>
      <c r="Q5" s="12">
        <f t="shared" si="2"/>
        <v>-1.3010299956639813</v>
      </c>
      <c r="R5" s="12">
        <f t="shared" si="3"/>
        <v>-2.9957322735539913</v>
      </c>
      <c r="S5" s="12">
        <f t="shared" si="10"/>
        <v>-2.0669467896306131</v>
      </c>
      <c r="T5">
        <f t="shared" si="11"/>
        <v>-4.7593208658153499</v>
      </c>
    </row>
    <row r="6" spans="1:20" ht="15" thickBot="1" x14ac:dyDescent="0.4">
      <c r="A6" s="4">
        <v>26</v>
      </c>
      <c r="B6" s="6">
        <v>0.71</v>
      </c>
      <c r="C6" s="9">
        <f t="shared" si="4"/>
        <v>2.1428571428571432E-2</v>
      </c>
      <c r="D6" s="5">
        <v>0.09</v>
      </c>
      <c r="E6">
        <v>5.7142857142857099E-3</v>
      </c>
      <c r="F6">
        <f t="shared" si="5"/>
        <v>7</v>
      </c>
      <c r="G6">
        <f t="shared" si="6"/>
        <v>0.15000000000000002</v>
      </c>
      <c r="H6" s="12">
        <f t="shared" si="7"/>
        <v>2.1428571428571432E-2</v>
      </c>
      <c r="I6" s="12">
        <f t="shared" si="8"/>
        <v>3.0181086519114695E-2</v>
      </c>
      <c r="J6" s="10">
        <f t="shared" si="9"/>
        <v>6.4673756826674354E-4</v>
      </c>
      <c r="O6">
        <f t="shared" si="0"/>
        <v>0.19000000000000003</v>
      </c>
      <c r="P6" s="11">
        <f t="shared" si="1"/>
        <v>2.7142857142857146E-2</v>
      </c>
      <c r="Q6" s="12">
        <f t="shared" si="2"/>
        <v>-1.6690067809585756</v>
      </c>
      <c r="R6" s="12">
        <f t="shared" si="3"/>
        <v>-3.8430301339411943</v>
      </c>
      <c r="S6" s="12">
        <f t="shared" si="10"/>
        <v>-1.5663444390614278</v>
      </c>
      <c r="T6">
        <f t="shared" si="11"/>
        <v>-3.6066413558769641</v>
      </c>
    </row>
    <row r="7" spans="1:20" ht="15" thickBot="1" x14ac:dyDescent="0.4">
      <c r="A7" s="4">
        <v>33</v>
      </c>
      <c r="B7" s="5">
        <v>0.86</v>
      </c>
      <c r="C7" s="9">
        <f>(B8-B7)/(A8-A7)</f>
        <v>1.0000000000000009E-2</v>
      </c>
      <c r="D7" s="5">
        <v>0.28000000000000003</v>
      </c>
      <c r="E7">
        <v>5.7142857142857099E-3</v>
      </c>
      <c r="F7">
        <f t="shared" si="5"/>
        <v>7</v>
      </c>
      <c r="G7">
        <f t="shared" si="6"/>
        <v>7.0000000000000062E-2</v>
      </c>
      <c r="H7" s="12">
        <f t="shared" si="7"/>
        <v>1.0000000000000009E-2</v>
      </c>
      <c r="I7" s="12">
        <f t="shared" si="8"/>
        <v>1.1627906976744196E-2</v>
      </c>
      <c r="J7" s="10">
        <f t="shared" si="9"/>
        <v>1.1627906976744207E-4</v>
      </c>
      <c r="O7">
        <f t="shared" si="0"/>
        <v>4.9999999999999989E-2</v>
      </c>
      <c r="P7" s="11">
        <f t="shared" si="1"/>
        <v>7.1428571428571409E-3</v>
      </c>
      <c r="Q7" s="12">
        <f t="shared" si="2"/>
        <v>-1.9999999999999996</v>
      </c>
      <c r="R7" s="12">
        <f t="shared" si="3"/>
        <v>-4.6051701859880909</v>
      </c>
      <c r="S7" s="12">
        <f t="shared" si="10"/>
        <v>-2.1461280356782382</v>
      </c>
      <c r="T7">
        <f t="shared" si="11"/>
        <v>-4.9416424226093048</v>
      </c>
    </row>
    <row r="8" spans="1:20" ht="15" thickBot="1" x14ac:dyDescent="0.4">
      <c r="A8" s="4">
        <v>40</v>
      </c>
      <c r="B8" s="5">
        <v>0.93</v>
      </c>
      <c r="C8" s="9">
        <f>(B9-B8)/(A9-A8)</f>
        <v>3.3333333333333179E-3</v>
      </c>
      <c r="D8" s="5">
        <v>0.33</v>
      </c>
      <c r="E8">
        <v>5.7142857142857099E-3</v>
      </c>
      <c r="F8">
        <f t="shared" si="5"/>
        <v>6</v>
      </c>
      <c r="G8">
        <f t="shared" si="6"/>
        <v>1.9999999999999907E-2</v>
      </c>
      <c r="H8" s="12">
        <f t="shared" si="7"/>
        <v>3.3333333333333179E-3</v>
      </c>
      <c r="I8" s="12">
        <f t="shared" si="8"/>
        <v>3.5842293906809867E-3</v>
      </c>
      <c r="J8" s="10">
        <f t="shared" si="9"/>
        <v>1.1947431302269901E-5</v>
      </c>
      <c r="O8">
        <f t="shared" si="0"/>
        <v>0.25999999999999995</v>
      </c>
      <c r="P8" s="11">
        <f t="shared" si="1"/>
        <v>4.3333333333333328E-2</v>
      </c>
      <c r="Q8" s="12">
        <f t="shared" si="2"/>
        <v>-2.4771212547196644</v>
      </c>
      <c r="R8" s="12">
        <f t="shared" si="3"/>
        <v>-5.7037824746562054</v>
      </c>
      <c r="S8" s="12">
        <f t="shared" si="10"/>
        <v>-1.3631779024128257</v>
      </c>
      <c r="T8">
        <f t="shared" si="11"/>
        <v>-3.1388331171946646</v>
      </c>
    </row>
    <row r="9" spans="1:20" ht="15" thickBot="1" x14ac:dyDescent="0.4">
      <c r="A9" s="7">
        <v>46</v>
      </c>
      <c r="B9" s="8">
        <v>0.95</v>
      </c>
      <c r="C9" s="9">
        <f>(B10-B9)/(A10-A9)</f>
        <v>2.0652173913043477E-2</v>
      </c>
      <c r="D9" s="8">
        <v>0.59</v>
      </c>
      <c r="E9">
        <v>5.7142857142857099E-3</v>
      </c>
      <c r="O9">
        <f t="shared" si="0"/>
        <v>-0.59</v>
      </c>
      <c r="P9" s="11" t="e">
        <f t="shared" si="1"/>
        <v>#DIV/0!</v>
      </c>
    </row>
    <row r="10" spans="1:20" ht="15" thickBot="1" x14ac:dyDescent="0.4"/>
    <row r="11" spans="1:20" ht="29.5" thickBot="1" x14ac:dyDescent="0.4">
      <c r="B11" s="2" t="s">
        <v>2</v>
      </c>
      <c r="C11" s="3" t="s">
        <v>3</v>
      </c>
    </row>
    <row r="12" spans="1:20" x14ac:dyDescent="0.35">
      <c r="D12" t="s">
        <v>33</v>
      </c>
      <c r="E12" t="s">
        <v>32</v>
      </c>
      <c r="F12" t="s">
        <v>31</v>
      </c>
    </row>
    <row r="13" spans="1:20" ht="15" thickBot="1" x14ac:dyDescent="0.4">
      <c r="D13" t="s">
        <v>26</v>
      </c>
      <c r="E13" t="s">
        <v>23</v>
      </c>
      <c r="F13" t="s">
        <v>19</v>
      </c>
      <c r="G13" t="s">
        <v>28</v>
      </c>
    </row>
    <row r="14" spans="1:20" ht="15" thickBot="1" x14ac:dyDescent="0.4">
      <c r="B14" s="2" t="s">
        <v>2</v>
      </c>
      <c r="C14" s="2" t="s">
        <v>6</v>
      </c>
      <c r="D14" t="s">
        <v>25</v>
      </c>
      <c r="E14" t="s">
        <v>27</v>
      </c>
      <c r="F14" t="s">
        <v>29</v>
      </c>
      <c r="G14" t="s">
        <v>30</v>
      </c>
    </row>
    <row r="15" spans="1:20" ht="15" thickBot="1" x14ac:dyDescent="0.4">
      <c r="B15" s="5">
        <v>0.01</v>
      </c>
    </row>
    <row r="16" spans="1:20" ht="15" thickBot="1" x14ac:dyDescent="0.4">
      <c r="B16" s="5">
        <v>0.05</v>
      </c>
      <c r="F16" s="13">
        <v>1E-10</v>
      </c>
      <c r="G16">
        <f>LOG10(F16)</f>
        <v>-10</v>
      </c>
    </row>
    <row r="17" spans="1:15" ht="15" thickBot="1" x14ac:dyDescent="0.4">
      <c r="B17" s="5">
        <v>0.17</v>
      </c>
    </row>
    <row r="18" spans="1:15" ht="15" thickBot="1" x14ac:dyDescent="0.4">
      <c r="B18" s="5">
        <v>0.36</v>
      </c>
    </row>
    <row r="19" spans="1:15" ht="15" thickBot="1" x14ac:dyDescent="0.4">
      <c r="B19" s="5">
        <v>0.71</v>
      </c>
    </row>
    <row r="20" spans="1:15" ht="15" thickBot="1" x14ac:dyDescent="0.4">
      <c r="B20" s="5">
        <v>0.86</v>
      </c>
    </row>
    <row r="21" spans="1:15" ht="15" thickBot="1" x14ac:dyDescent="0.4">
      <c r="B21" s="5">
        <v>0.93</v>
      </c>
    </row>
    <row r="22" spans="1:15" ht="15" thickBot="1" x14ac:dyDescent="0.4">
      <c r="B22" s="5">
        <v>0.95</v>
      </c>
    </row>
    <row r="25" spans="1:15" x14ac:dyDescent="0.35">
      <c r="C25" t="s">
        <v>19</v>
      </c>
      <c r="K25" s="19" t="s">
        <v>26</v>
      </c>
      <c r="L25" s="19" t="s">
        <v>23</v>
      </c>
      <c r="M25" s="19" t="s">
        <v>40</v>
      </c>
      <c r="N25" s="19" t="s">
        <v>41</v>
      </c>
    </row>
    <row r="26" spans="1:15" ht="29.5" thickBot="1" x14ac:dyDescent="0.4">
      <c r="C26" t="s">
        <v>17</v>
      </c>
      <c r="D26" t="s">
        <v>77</v>
      </c>
      <c r="E26" t="s">
        <v>21</v>
      </c>
      <c r="F26" t="s">
        <v>22</v>
      </c>
      <c r="G26" t="s">
        <v>34</v>
      </c>
      <c r="H26" t="s">
        <v>36</v>
      </c>
      <c r="I26" t="s">
        <v>37</v>
      </c>
      <c r="J26" t="s">
        <v>38</v>
      </c>
      <c r="K26" s="19" t="s">
        <v>39</v>
      </c>
      <c r="L26" s="19" t="s">
        <v>42</v>
      </c>
      <c r="M26" s="19" t="s">
        <v>43</v>
      </c>
      <c r="N26" s="19" t="s">
        <v>30</v>
      </c>
      <c r="O26" s="19" t="s">
        <v>67</v>
      </c>
    </row>
    <row r="27" spans="1:15" ht="15.5" thickBot="1" x14ac:dyDescent="0.4">
      <c r="A27" t="s">
        <v>35</v>
      </c>
      <c r="B27" s="14" t="s">
        <v>24</v>
      </c>
      <c r="C27" s="18" t="s">
        <v>16</v>
      </c>
      <c r="D27" t="s">
        <v>18</v>
      </c>
      <c r="E27" t="s">
        <v>20</v>
      </c>
      <c r="F27" t="s">
        <v>23</v>
      </c>
      <c r="G27" t="s">
        <v>34</v>
      </c>
      <c r="H27" t="s">
        <v>36</v>
      </c>
      <c r="I27" t="s">
        <v>37</v>
      </c>
      <c r="J27" t="s">
        <v>38</v>
      </c>
      <c r="K27" t="s">
        <v>44</v>
      </c>
      <c r="L27" t="s">
        <v>45</v>
      </c>
      <c r="M27" t="s">
        <v>46</v>
      </c>
      <c r="N27" t="s">
        <v>47</v>
      </c>
    </row>
    <row r="28" spans="1:15" ht="15" thickBot="1" x14ac:dyDescent="0.4">
      <c r="A28" s="4">
        <v>0</v>
      </c>
      <c r="B28" s="5">
        <v>0.01</v>
      </c>
      <c r="C28">
        <f>LN(B28/(1-B28))</f>
        <v>-4.5951198501345898</v>
      </c>
      <c r="D28">
        <f>-LN(-LN(B28))</f>
        <v>-1.5271796258079011</v>
      </c>
      <c r="E28">
        <f>LN(B28)</f>
        <v>-4.6051701859880909</v>
      </c>
      <c r="F28">
        <f>LN(1/(1-B28))</f>
        <v>1.0050335853501506E-2</v>
      </c>
      <c r="G28">
        <f>(E29-E28)/(A29-A28)</f>
        <v>0.2299197017763</v>
      </c>
      <c r="H28">
        <f>(F29-F28)/(A29-A28)</f>
        <v>5.8918512191498537E-3</v>
      </c>
      <c r="I28">
        <f>(C29-C28)/(A29-A28)</f>
        <v>0.23581155299544992</v>
      </c>
      <c r="J28">
        <f>(D29-D28)/(A29-A28)</f>
        <v>6.1427275063278906E-2</v>
      </c>
      <c r="K28">
        <f>G28*B28</f>
        <v>2.2991970177630001E-3</v>
      </c>
      <c r="L28">
        <f>H28*B28*(1-B28)</f>
        <v>5.8329327069583551E-5</v>
      </c>
      <c r="M28">
        <f>I28*(B28)*(1-B28)</f>
        <v>2.3345343746549543E-3</v>
      </c>
      <c r="N28">
        <f>J28*B28*(LN(1)-LN(B28))</f>
        <v>2.8288305572790177E-3</v>
      </c>
    </row>
    <row r="29" spans="1:15" ht="15" thickBot="1" x14ac:dyDescent="0.4">
      <c r="A29" s="4">
        <v>7</v>
      </c>
      <c r="B29" s="5">
        <v>0.05</v>
      </c>
      <c r="C29">
        <f t="shared" ref="C29:C37" si="12">LN(B29/(1-B29))</f>
        <v>-2.9444389791664403</v>
      </c>
      <c r="D29">
        <f t="shared" ref="D29:D37" si="13">-LN(-LN(B29))</f>
        <v>-1.0971887003649488</v>
      </c>
      <c r="E29">
        <f t="shared" ref="E29:E37" si="14">LN(B29)</f>
        <v>-2.9957322735539909</v>
      </c>
      <c r="F29">
        <f t="shared" ref="F29:F37" si="15">LN(1/(1-B29))</f>
        <v>5.1293294387550481E-2</v>
      </c>
      <c r="G29">
        <f t="shared" ref="G29:G35" si="16">(E30-E29)/(A30-A29)</f>
        <v>0.24475508632442314</v>
      </c>
      <c r="H29">
        <f t="shared" ref="H29:H35" si="17">(F30-F29)/(A30-A29)</f>
        <v>2.7007256760788613E-2</v>
      </c>
      <c r="I29">
        <f t="shared" ref="I29:I35" si="18">(C30-C29)/(A30-A29)</f>
        <v>0.27176234308521174</v>
      </c>
      <c r="J29">
        <f t="shared" ref="J29:J35" si="19">(D30-D29)/(A30-A29)</f>
        <v>0.10502084080951608</v>
      </c>
      <c r="K29">
        <f t="shared" ref="K29:K35" si="20">G29*B29</f>
        <v>1.2237754316221157E-2</v>
      </c>
      <c r="L29">
        <f t="shared" ref="L29:L35" si="21">H29*B29*(1-B29)</f>
        <v>1.2828446961374591E-3</v>
      </c>
      <c r="M29">
        <f t="shared" ref="M29:M35" si="22">I29*(B29)*(1-B29)</f>
        <v>1.2908711296547557E-2</v>
      </c>
      <c r="N29">
        <f t="shared" ref="N29:N35" si="23">J29*B29*(LN(1)-LN(B29))</f>
        <v>1.5730716110442168E-2</v>
      </c>
    </row>
    <row r="30" spans="1:15" ht="15" thickBot="1" x14ac:dyDescent="0.4">
      <c r="A30" s="4">
        <v>12</v>
      </c>
      <c r="B30" s="5">
        <v>0.17</v>
      </c>
      <c r="C30">
        <f t="shared" si="12"/>
        <v>-1.5856272637403817</v>
      </c>
      <c r="D30">
        <f t="shared" si="13"/>
        <v>-0.57208449631736835</v>
      </c>
      <c r="E30">
        <f t="shared" si="14"/>
        <v>-1.7719568419318752</v>
      </c>
      <c r="F30">
        <f t="shared" si="15"/>
        <v>0.18632957819149354</v>
      </c>
      <c r="G30">
        <f>(E31-E30)/(A31-A30)</f>
        <v>0.1071865134856991</v>
      </c>
      <c r="H30">
        <f t="shared" si="17"/>
        <v>3.7136789205275141E-2</v>
      </c>
      <c r="I30">
        <f t="shared" si="18"/>
        <v>0.14432330269097426</v>
      </c>
      <c r="J30">
        <f t="shared" si="19"/>
        <v>7.866632969279215E-2</v>
      </c>
      <c r="K30">
        <f t="shared" si="20"/>
        <v>1.8221707292568848E-2</v>
      </c>
      <c r="L30">
        <f t="shared" si="21"/>
        <v>5.240000956864322E-3</v>
      </c>
      <c r="M30">
        <f t="shared" si="22"/>
        <v>2.0364018009696467E-2</v>
      </c>
      <c r="N30">
        <f t="shared" si="23"/>
        <v>2.3696867991897987E-2</v>
      </c>
    </row>
    <row r="31" spans="1:15" ht="15" thickBot="1" x14ac:dyDescent="0.4">
      <c r="A31" s="4">
        <v>19</v>
      </c>
      <c r="B31" s="5">
        <v>0.36</v>
      </c>
      <c r="C31">
        <f t="shared" si="12"/>
        <v>-0.5753641449035618</v>
      </c>
      <c r="D31">
        <f t="shared" si="13"/>
        <v>-2.1420188467823349E-2</v>
      </c>
      <c r="E31">
        <f t="shared" si="14"/>
        <v>-1.0216512475319814</v>
      </c>
      <c r="F31">
        <f t="shared" si="15"/>
        <v>0.44628710262841953</v>
      </c>
      <c r="G31">
        <f t="shared" si="16"/>
        <v>9.7022991226457925E-2</v>
      </c>
      <c r="H31">
        <f t="shared" si="17"/>
        <v>0.11308389333902824</v>
      </c>
      <c r="I31">
        <f t="shared" si="18"/>
        <v>0.21010688456548615</v>
      </c>
      <c r="J31">
        <f t="shared" si="19"/>
        <v>0.15613315788484319</v>
      </c>
      <c r="K31">
        <f t="shared" si="20"/>
        <v>3.4928276841524851E-2</v>
      </c>
      <c r="L31">
        <f t="shared" si="21"/>
        <v>2.6054529025312106E-2</v>
      </c>
      <c r="M31">
        <f t="shared" si="22"/>
        <v>4.8408626203888007E-2</v>
      </c>
      <c r="N31">
        <f t="shared" si="23"/>
        <v>5.7424908792296829E-2</v>
      </c>
    </row>
    <row r="32" spans="1:15" ht="15" thickBot="1" x14ac:dyDescent="0.4">
      <c r="A32" s="4">
        <v>26</v>
      </c>
      <c r="B32" s="5">
        <v>0.71</v>
      </c>
      <c r="C32">
        <f t="shared" si="12"/>
        <v>0.89538404705484131</v>
      </c>
      <c r="D32">
        <f t="shared" si="13"/>
        <v>1.0715119167260789</v>
      </c>
      <c r="E32">
        <f t="shared" si="14"/>
        <v>-0.34249030894677601</v>
      </c>
      <c r="F32">
        <f t="shared" si="15"/>
        <v>1.2378743560016172</v>
      </c>
      <c r="G32">
        <f t="shared" si="16"/>
        <v>2.7381059887456049E-2</v>
      </c>
      <c r="H32">
        <f t="shared" si="17"/>
        <v>0.10403407148160222</v>
      </c>
      <c r="I32">
        <f t="shared" si="18"/>
        <v>0.13141513136905822</v>
      </c>
      <c r="J32">
        <f t="shared" si="19"/>
        <v>0.11716244707286672</v>
      </c>
      <c r="K32">
        <f t="shared" si="20"/>
        <v>1.9440552520093794E-2</v>
      </c>
      <c r="L32">
        <f t="shared" si="21"/>
        <v>2.14206153180619E-2</v>
      </c>
      <c r="M32">
        <f t="shared" si="22"/>
        <v>2.705837554888909E-2</v>
      </c>
      <c r="N32">
        <f t="shared" si="23"/>
        <v>2.8490171913411955E-2</v>
      </c>
    </row>
    <row r="33" spans="1:14" ht="15" thickBot="1" x14ac:dyDescent="0.4">
      <c r="A33" s="4">
        <v>33</v>
      </c>
      <c r="B33" s="5">
        <v>0.86</v>
      </c>
      <c r="C33">
        <f t="shared" si="12"/>
        <v>1.8152899666382489</v>
      </c>
      <c r="D33">
        <f t="shared" si="13"/>
        <v>1.8916490462361459</v>
      </c>
      <c r="E33">
        <f t="shared" si="14"/>
        <v>-0.15082288973458366</v>
      </c>
      <c r="F33">
        <f t="shared" si="15"/>
        <v>1.9661128563728327</v>
      </c>
      <c r="G33">
        <f t="shared" si="16"/>
        <v>1.1178885271392613E-2</v>
      </c>
      <c r="H33">
        <f t="shared" si="17"/>
        <v>9.9021025794278003E-2</v>
      </c>
      <c r="I33">
        <f t="shared" si="18"/>
        <v>0.11019991106567062</v>
      </c>
      <c r="J33">
        <f t="shared" si="19"/>
        <v>0.10450643891098221</v>
      </c>
      <c r="K33">
        <f t="shared" si="20"/>
        <v>9.613841333397646E-3</v>
      </c>
      <c r="L33">
        <f t="shared" si="21"/>
        <v>1.1922131505631072E-2</v>
      </c>
      <c r="M33">
        <f t="shared" si="22"/>
        <v>1.3268069292306743E-2</v>
      </c>
      <c r="N33">
        <f t="shared" si="23"/>
        <v>1.3555288276685564E-2</v>
      </c>
    </row>
    <row r="34" spans="1:14" ht="15" thickBot="1" x14ac:dyDescent="0.4">
      <c r="A34" s="4">
        <v>40</v>
      </c>
      <c r="B34" s="5">
        <v>0.93</v>
      </c>
      <c r="C34">
        <f t="shared" si="12"/>
        <v>2.5866893440979433</v>
      </c>
      <c r="D34">
        <f t="shared" si="13"/>
        <v>2.6231941186130214</v>
      </c>
      <c r="E34">
        <f t="shared" si="14"/>
        <v>-7.2570692834835374E-2</v>
      </c>
      <c r="F34">
        <f t="shared" si="15"/>
        <v>2.6592600369327788</v>
      </c>
      <c r="G34">
        <f t="shared" si="16"/>
        <v>3.5462330745474661E-3</v>
      </c>
      <c r="H34">
        <f t="shared" si="17"/>
        <v>5.6078706103535193E-2</v>
      </c>
      <c r="I34">
        <f t="shared" si="18"/>
        <v>5.9624939178082682E-2</v>
      </c>
      <c r="J34">
        <f t="shared" si="19"/>
        <v>5.7833521738190376E-2</v>
      </c>
      <c r="K34">
        <f t="shared" si="20"/>
        <v>3.2979967593291435E-3</v>
      </c>
      <c r="L34">
        <f t="shared" si="21"/>
        <v>3.6507237673401387E-3</v>
      </c>
      <c r="M34">
        <f t="shared" si="22"/>
        <v>3.8815835404931802E-3</v>
      </c>
      <c r="N34">
        <f t="shared" si="23"/>
        <v>3.9032274297056591E-3</v>
      </c>
    </row>
    <row r="35" spans="1:14" ht="15" thickBot="1" x14ac:dyDescent="0.4">
      <c r="A35" s="7">
        <v>46</v>
      </c>
      <c r="B35" s="5">
        <v>0.95</v>
      </c>
      <c r="C35">
        <f t="shared" si="12"/>
        <v>2.9444389791664394</v>
      </c>
      <c r="D35">
        <f t="shared" si="13"/>
        <v>2.9701952490421637</v>
      </c>
      <c r="E35">
        <f t="shared" si="14"/>
        <v>-5.1293294387550578E-2</v>
      </c>
      <c r="F35">
        <f t="shared" si="15"/>
        <v>2.99573227355399</v>
      </c>
      <c r="G35">
        <f t="shared" si="16"/>
        <v>1.8804292119274008E-2</v>
      </c>
      <c r="H35">
        <f t="shared" si="17"/>
        <v>5.4019709777999976E-2</v>
      </c>
      <c r="I35">
        <f t="shared" si="18"/>
        <v>7.2824001897273991E-2</v>
      </c>
      <c r="J35">
        <f t="shared" si="19"/>
        <v>6.2668992983726274E-2</v>
      </c>
      <c r="K35">
        <f t="shared" si="20"/>
        <v>1.7864077513310306E-2</v>
      </c>
      <c r="L35">
        <f t="shared" si="21"/>
        <v>2.5659362144550011E-3</v>
      </c>
      <c r="M35">
        <f t="shared" si="22"/>
        <v>3.4591400901205177E-3</v>
      </c>
      <c r="N35">
        <f t="shared" si="23"/>
        <v>3.0537741507813323E-3</v>
      </c>
    </row>
    <row r="36" spans="1:14" x14ac:dyDescent="0.35">
      <c r="B36" s="23">
        <v>0.4</v>
      </c>
      <c r="C36">
        <f t="shared" si="12"/>
        <v>-0.40546510810816427</v>
      </c>
      <c r="D36">
        <f t="shared" si="13"/>
        <v>8.7421571790755173E-2</v>
      </c>
      <c r="E36">
        <f t="shared" si="14"/>
        <v>-0.916290731874155</v>
      </c>
      <c r="F36">
        <f t="shared" si="15"/>
        <v>0.51082562376599072</v>
      </c>
    </row>
    <row r="37" spans="1:14" x14ac:dyDescent="0.35">
      <c r="B37" s="23">
        <v>0.8</v>
      </c>
      <c r="C37">
        <f t="shared" si="12"/>
        <v>1.3862943611198908</v>
      </c>
      <c r="D37">
        <f t="shared" si="13"/>
        <v>1.4999399867595158</v>
      </c>
      <c r="E37">
        <f t="shared" si="14"/>
        <v>-0.22314355131420971</v>
      </c>
      <c r="F37">
        <f t="shared" si="15"/>
        <v>1.6094379124341005</v>
      </c>
    </row>
    <row r="38" spans="1:14" ht="15" thickBot="1" x14ac:dyDescent="0.4">
      <c r="C38" t="s">
        <v>17</v>
      </c>
      <c r="D38" t="s">
        <v>18</v>
      </c>
      <c r="E38" t="s">
        <v>21</v>
      </c>
      <c r="F38" t="s">
        <v>22</v>
      </c>
    </row>
    <row r="39" spans="1:14" ht="15.5" thickBot="1" x14ac:dyDescent="0.4">
      <c r="B39" s="14" t="s">
        <v>3</v>
      </c>
      <c r="C39" s="18" t="s">
        <v>16</v>
      </c>
      <c r="D39" t="s">
        <v>18</v>
      </c>
      <c r="E39" t="s">
        <v>20</v>
      </c>
      <c r="F39" t="s">
        <v>23</v>
      </c>
    </row>
    <row r="40" spans="1:14" ht="15" thickBot="1" x14ac:dyDescent="0.4">
      <c r="B40" s="5" t="s">
        <v>0</v>
      </c>
      <c r="C40" t="e">
        <f>LN(B40/(1-B40))</f>
        <v>#VALUE!</v>
      </c>
      <c r="D40" t="e">
        <f>-LN(-LN(B40))</f>
        <v>#VALUE!</v>
      </c>
      <c r="E40" t="e">
        <f>LN(B40)</f>
        <v>#VALUE!</v>
      </c>
      <c r="F40" t="e">
        <f>LN(1/(1-B40))</f>
        <v>#VALUE!</v>
      </c>
    </row>
    <row r="41" spans="1:14" ht="15" thickBot="1" x14ac:dyDescent="0.4">
      <c r="B41" s="5" t="s">
        <v>0</v>
      </c>
      <c r="C41" t="e">
        <f t="shared" ref="C41:C47" si="24">LN(B41/(1-B41))</f>
        <v>#VALUE!</v>
      </c>
      <c r="D41" t="e">
        <f t="shared" ref="D41:D47" si="25">-LN(-LN(B41))</f>
        <v>#VALUE!</v>
      </c>
      <c r="E41" t="e">
        <f t="shared" ref="E41:E47" si="26">LN(B41)</f>
        <v>#VALUE!</v>
      </c>
      <c r="F41" t="e">
        <f t="shared" ref="F41:F47" si="27">LN(1/(1-B41))</f>
        <v>#VALUE!</v>
      </c>
      <c r="K41">
        <v>0.4</v>
      </c>
      <c r="L41">
        <f>LN(K41/(1-K41))</f>
        <v>-0.40546510810816427</v>
      </c>
    </row>
    <row r="42" spans="1:14" ht="15" thickBot="1" x14ac:dyDescent="0.4">
      <c r="B42" s="5">
        <v>0.01</v>
      </c>
      <c r="C42">
        <f t="shared" si="24"/>
        <v>-4.5951198501345898</v>
      </c>
      <c r="D42">
        <f t="shared" si="25"/>
        <v>-1.5271796258079011</v>
      </c>
      <c r="E42">
        <f t="shared" si="26"/>
        <v>-4.6051701859880909</v>
      </c>
      <c r="F42">
        <f t="shared" si="27"/>
        <v>1.0050335853501506E-2</v>
      </c>
      <c r="K42">
        <v>0.8</v>
      </c>
      <c r="L42">
        <f>LN(K42/(1-K42))</f>
        <v>1.3862943611198908</v>
      </c>
    </row>
    <row r="43" spans="1:14" ht="15" thickBot="1" x14ac:dyDescent="0.4">
      <c r="B43" s="5">
        <v>0.03</v>
      </c>
      <c r="C43">
        <f t="shared" si="24"/>
        <v>-3.4760986898352733</v>
      </c>
      <c r="D43">
        <f t="shared" si="25"/>
        <v>-1.2546349002858599</v>
      </c>
      <c r="E43">
        <f t="shared" si="26"/>
        <v>-3.5065578973199818</v>
      </c>
      <c r="F43">
        <f t="shared" si="27"/>
        <v>3.0459207484708654E-2</v>
      </c>
    </row>
    <row r="44" spans="1:14" ht="15" thickBot="1" x14ac:dyDescent="0.4">
      <c r="B44" s="5">
        <v>0.09</v>
      </c>
      <c r="C44">
        <f t="shared" si="24"/>
        <v>-2.3136349291806306</v>
      </c>
      <c r="D44">
        <f t="shared" si="25"/>
        <v>-0.87877393942231108</v>
      </c>
      <c r="E44">
        <f t="shared" si="26"/>
        <v>-2.4079456086518722</v>
      </c>
      <c r="F44">
        <f t="shared" si="27"/>
        <v>9.4310679471241207E-2</v>
      </c>
    </row>
    <row r="45" spans="1:14" ht="15" thickBot="1" x14ac:dyDescent="0.4">
      <c r="B45" s="5">
        <v>0.28000000000000003</v>
      </c>
      <c r="C45">
        <f t="shared" si="24"/>
        <v>-0.94446160884085117</v>
      </c>
      <c r="D45">
        <f t="shared" si="25"/>
        <v>-0.24134935598542939</v>
      </c>
      <c r="E45">
        <f t="shared" si="26"/>
        <v>-1.2729656758128873</v>
      </c>
      <c r="F45">
        <f t="shared" si="27"/>
        <v>0.32850406697203605</v>
      </c>
    </row>
    <row r="46" spans="1:14" ht="15" thickBot="1" x14ac:dyDescent="0.4">
      <c r="B46" s="5">
        <v>0.33</v>
      </c>
      <c r="C46">
        <f t="shared" si="24"/>
        <v>-0.70818505792448561</v>
      </c>
      <c r="D46">
        <f t="shared" si="25"/>
        <v>-0.10315444614433614</v>
      </c>
      <c r="E46">
        <f t="shared" si="26"/>
        <v>-1.1086626245216111</v>
      </c>
      <c r="F46">
        <f t="shared" si="27"/>
        <v>0.40047756659712536</v>
      </c>
    </row>
    <row r="47" spans="1:14" ht="15" thickBot="1" x14ac:dyDescent="0.4">
      <c r="B47" s="5">
        <v>0.59</v>
      </c>
      <c r="C47">
        <f t="shared" si="24"/>
        <v>0.36396537720141148</v>
      </c>
      <c r="D47">
        <f t="shared" si="25"/>
        <v>0.63935480153084412</v>
      </c>
      <c r="E47">
        <f t="shared" si="26"/>
        <v>-0.52763274208237199</v>
      </c>
      <c r="F47">
        <f t="shared" si="27"/>
        <v>0.89159811928378352</v>
      </c>
    </row>
    <row r="49" spans="2:15" ht="15" thickBot="1" x14ac:dyDescent="0.4"/>
    <row r="50" spans="2:15" ht="29.5" thickBot="1" x14ac:dyDescent="0.4">
      <c r="B50" t="s">
        <v>35</v>
      </c>
      <c r="C50" s="3" t="s">
        <v>3</v>
      </c>
      <c r="D50" s="18" t="s">
        <v>16</v>
      </c>
      <c r="E50" t="s">
        <v>18</v>
      </c>
      <c r="F50" t="s">
        <v>20</v>
      </c>
      <c r="G50" t="s">
        <v>23</v>
      </c>
      <c r="H50" t="s">
        <v>34</v>
      </c>
      <c r="I50" t="s">
        <v>36</v>
      </c>
      <c r="J50" t="s">
        <v>37</v>
      </c>
      <c r="K50" t="s">
        <v>38</v>
      </c>
      <c r="L50" t="s">
        <v>44</v>
      </c>
      <c r="M50" t="s">
        <v>45</v>
      </c>
      <c r="N50" t="s">
        <v>46</v>
      </c>
      <c r="O50" t="s">
        <v>47</v>
      </c>
    </row>
    <row r="51" spans="2:15" ht="15" thickBot="1" x14ac:dyDescent="0.4">
      <c r="B51" s="4">
        <v>0</v>
      </c>
      <c r="C51" s="5" t="s">
        <v>0</v>
      </c>
      <c r="D51" t="e">
        <f>LN(C51/(1-C51))</f>
        <v>#VALUE!</v>
      </c>
      <c r="E51" t="e">
        <f>-LN(-LN(C51))</f>
        <v>#VALUE!</v>
      </c>
      <c r="F51" t="e">
        <f>LN(C51)</f>
        <v>#VALUE!</v>
      </c>
      <c r="G51" t="e">
        <f>LN(1/(1-C51))</f>
        <v>#VALUE!</v>
      </c>
      <c r="H51" t="e">
        <f>(F52-F51)/(B52-B51)</f>
        <v>#VALUE!</v>
      </c>
      <c r="I51" t="e">
        <f>(G52-G51)/(B52-B51)</f>
        <v>#VALUE!</v>
      </c>
      <c r="J51" t="e">
        <f>(D52-D51)/(B52-B51)</f>
        <v>#VALUE!</v>
      </c>
      <c r="K51" t="e">
        <f>(E52-E51)/(B52-B51)</f>
        <v>#VALUE!</v>
      </c>
      <c r="L51" t="e">
        <f>H51*C51</f>
        <v>#VALUE!</v>
      </c>
      <c r="M51" t="e">
        <f>I51*C51*(1-C51)</f>
        <v>#VALUE!</v>
      </c>
      <c r="N51" t="e">
        <f>J51*(C51)*(1-C51)</f>
        <v>#VALUE!</v>
      </c>
      <c r="O51" t="e">
        <f>K51*C51*(LN(1)-LN(C51))</f>
        <v>#VALUE!</v>
      </c>
    </row>
    <row r="52" spans="2:15" ht="15" thickBot="1" x14ac:dyDescent="0.4">
      <c r="B52" s="4">
        <v>7</v>
      </c>
      <c r="C52" s="5" t="s">
        <v>0</v>
      </c>
      <c r="D52" t="e">
        <f t="shared" ref="D52:D58" si="28">LN(C52/(1-C52))</f>
        <v>#VALUE!</v>
      </c>
      <c r="E52" t="e">
        <f t="shared" ref="E52:E58" si="29">-LN(-LN(C52))</f>
        <v>#VALUE!</v>
      </c>
      <c r="F52" t="e">
        <f t="shared" ref="F52:F58" si="30">LN(C52)</f>
        <v>#VALUE!</v>
      </c>
      <c r="G52" t="e">
        <f t="shared" ref="G52:G58" si="31">LN(1/(1-C52))</f>
        <v>#VALUE!</v>
      </c>
      <c r="H52" t="e">
        <f t="shared" ref="H52" si="32">(F53-F52)/(B53-B52)</f>
        <v>#VALUE!</v>
      </c>
      <c r="I52" t="e">
        <f t="shared" ref="I52:I58" si="33">(G53-G52)/(B53-B52)</f>
        <v>#VALUE!</v>
      </c>
      <c r="J52" t="e">
        <f t="shared" ref="J52:J58" si="34">(D53-D52)/(B53-B52)</f>
        <v>#VALUE!</v>
      </c>
      <c r="K52" t="e">
        <f t="shared" ref="K52:K58" si="35">(E53-E52)/(B53-B52)</f>
        <v>#VALUE!</v>
      </c>
      <c r="L52" t="e">
        <f t="shared" ref="L52:L58" si="36">H52*C52</f>
        <v>#VALUE!</v>
      </c>
      <c r="M52" t="e">
        <f t="shared" ref="M52:M58" si="37">I52*C52*(1-C52)</f>
        <v>#VALUE!</v>
      </c>
      <c r="N52" t="e">
        <f t="shared" ref="N52:N58" si="38">J52*(C52)*(1-C52)</f>
        <v>#VALUE!</v>
      </c>
      <c r="O52" t="e">
        <f t="shared" ref="O52:O58" si="39">K52*C52*(LN(1)-LN(C52))</f>
        <v>#VALUE!</v>
      </c>
    </row>
    <row r="53" spans="2:15" ht="15" thickBot="1" x14ac:dyDescent="0.4">
      <c r="B53" s="4">
        <v>12</v>
      </c>
      <c r="C53" s="5">
        <v>0.01</v>
      </c>
      <c r="D53">
        <f t="shared" si="28"/>
        <v>-4.5951198501345898</v>
      </c>
      <c r="E53">
        <f t="shared" si="29"/>
        <v>-1.5271796258079011</v>
      </c>
      <c r="F53">
        <f t="shared" si="30"/>
        <v>-4.6051701859880909</v>
      </c>
      <c r="G53">
        <f t="shared" si="31"/>
        <v>1.0050335853501506E-2</v>
      </c>
      <c r="H53">
        <f>(F54-F53)/(B54-B53)</f>
        <v>0.15694461266687273</v>
      </c>
      <c r="I53">
        <f t="shared" si="33"/>
        <v>2.9155530901724498E-3</v>
      </c>
      <c r="J53">
        <f t="shared" si="34"/>
        <v>0.15986016575704523</v>
      </c>
      <c r="K53">
        <f t="shared" si="35"/>
        <v>3.8934960788863035E-2</v>
      </c>
      <c r="L53">
        <f t="shared" si="36"/>
        <v>1.5694461266687273E-3</v>
      </c>
      <c r="M53">
        <f t="shared" si="37"/>
        <v>2.8863975592707251E-5</v>
      </c>
      <c r="N53">
        <f t="shared" si="38"/>
        <v>1.5826156409947478E-3</v>
      </c>
      <c r="O53">
        <f t="shared" si="39"/>
        <v>1.7930212061748742E-3</v>
      </c>
    </row>
    <row r="54" spans="2:15" ht="15" thickBot="1" x14ac:dyDescent="0.4">
      <c r="B54" s="4">
        <v>19</v>
      </c>
      <c r="C54" s="5">
        <v>0.03</v>
      </c>
      <c r="D54">
        <f t="shared" si="28"/>
        <v>-3.4760986898352733</v>
      </c>
      <c r="E54">
        <f t="shared" si="29"/>
        <v>-1.2546349002858599</v>
      </c>
      <c r="F54">
        <f t="shared" si="30"/>
        <v>-3.5065578973199818</v>
      </c>
      <c r="G54">
        <f t="shared" si="31"/>
        <v>3.0459207484708654E-2</v>
      </c>
      <c r="H54">
        <f t="shared" ref="H54:H58" si="40">(F55-F54)/(B55-B54)</f>
        <v>0.15694461266687279</v>
      </c>
      <c r="I54">
        <f t="shared" si="33"/>
        <v>9.121638855218937E-3</v>
      </c>
      <c r="J54">
        <f t="shared" si="34"/>
        <v>0.16606625152209181</v>
      </c>
      <c r="K54">
        <f t="shared" si="35"/>
        <v>5.3694422980506973E-2</v>
      </c>
      <c r="L54">
        <f t="shared" si="36"/>
        <v>4.7083383800061839E-3</v>
      </c>
      <c r="M54">
        <f t="shared" si="37"/>
        <v>2.6543969068687105E-4</v>
      </c>
      <c r="N54">
        <f t="shared" si="38"/>
        <v>4.8325279192928715E-3</v>
      </c>
      <c r="O54">
        <f t="shared" si="39"/>
        <v>5.6484780883300873E-3</v>
      </c>
    </row>
    <row r="55" spans="2:15" ht="15" thickBot="1" x14ac:dyDescent="0.4">
      <c r="B55" s="4">
        <v>26</v>
      </c>
      <c r="C55" s="5">
        <v>0.09</v>
      </c>
      <c r="D55">
        <f t="shared" si="28"/>
        <v>-2.3136349291806306</v>
      </c>
      <c r="E55">
        <f t="shared" si="29"/>
        <v>-0.87877393942231108</v>
      </c>
      <c r="F55">
        <f t="shared" si="30"/>
        <v>-2.4079456086518722</v>
      </c>
      <c r="G55">
        <f t="shared" si="31"/>
        <v>9.4310679471241207E-2</v>
      </c>
      <c r="H55">
        <f t="shared" si="40"/>
        <v>0.16213999040556928</v>
      </c>
      <c r="I55">
        <f t="shared" si="33"/>
        <v>3.3456198214399262E-2</v>
      </c>
      <c r="J55">
        <f t="shared" si="34"/>
        <v>0.1955961886199685</v>
      </c>
      <c r="K55">
        <f t="shared" si="35"/>
        <v>9.1060654776697378E-2</v>
      </c>
      <c r="L55">
        <f t="shared" si="36"/>
        <v>1.4592599136501235E-2</v>
      </c>
      <c r="M55">
        <f t="shared" si="37"/>
        <v>2.7400626337592995E-3</v>
      </c>
      <c r="N55">
        <f t="shared" si="38"/>
        <v>1.6019327847975419E-2</v>
      </c>
      <c r="O55">
        <f t="shared" si="39"/>
        <v>1.9734219341146129E-2</v>
      </c>
    </row>
    <row r="56" spans="2:15" ht="15" thickBot="1" x14ac:dyDescent="0.4">
      <c r="B56" s="4">
        <v>33</v>
      </c>
      <c r="C56" s="5">
        <v>0.28000000000000003</v>
      </c>
      <c r="D56">
        <f t="shared" si="28"/>
        <v>-0.94446160884085117</v>
      </c>
      <c r="E56">
        <f t="shared" si="29"/>
        <v>-0.24134935598542939</v>
      </c>
      <c r="F56">
        <f t="shared" si="30"/>
        <v>-1.2729656758128873</v>
      </c>
      <c r="G56">
        <f t="shared" si="31"/>
        <v>0.32850406697203605</v>
      </c>
      <c r="H56">
        <f t="shared" si="40"/>
        <v>2.3471864470182315E-2</v>
      </c>
      <c r="I56">
        <f t="shared" si="33"/>
        <v>1.0281928517869901E-2</v>
      </c>
      <c r="J56">
        <f t="shared" si="34"/>
        <v>3.3753792988052221E-2</v>
      </c>
      <c r="K56">
        <f t="shared" si="35"/>
        <v>1.9742129977299037E-2</v>
      </c>
      <c r="L56">
        <f t="shared" si="36"/>
        <v>6.5721220516510486E-3</v>
      </c>
      <c r="M56">
        <f t="shared" si="37"/>
        <v>2.072836789202572E-3</v>
      </c>
      <c r="N56">
        <f t="shared" si="38"/>
        <v>6.8047646663913289E-3</v>
      </c>
      <c r="O56">
        <f t="shared" si="39"/>
        <v>7.0366950719907336E-3</v>
      </c>
    </row>
    <row r="57" spans="2:15" ht="15" thickBot="1" x14ac:dyDescent="0.4">
      <c r="B57" s="4">
        <v>40</v>
      </c>
      <c r="C57" s="5">
        <v>0.33</v>
      </c>
      <c r="D57">
        <f t="shared" si="28"/>
        <v>-0.70818505792448561</v>
      </c>
      <c r="E57">
        <f t="shared" si="29"/>
        <v>-0.10315444614433614</v>
      </c>
      <c r="F57">
        <f t="shared" si="30"/>
        <v>-1.1086626245216111</v>
      </c>
      <c r="G57">
        <f t="shared" si="31"/>
        <v>0.40047756659712536</v>
      </c>
      <c r="H57">
        <f t="shared" si="40"/>
        <v>9.6838313739873186E-2</v>
      </c>
      <c r="I57">
        <f t="shared" si="33"/>
        <v>8.1853425447776365E-2</v>
      </c>
      <c r="J57">
        <f t="shared" si="34"/>
        <v>0.1786917391876495</v>
      </c>
      <c r="K57">
        <f t="shared" si="35"/>
        <v>0.1237515412791967</v>
      </c>
      <c r="L57">
        <f t="shared" si="36"/>
        <v>3.1956643534158155E-2</v>
      </c>
      <c r="M57">
        <f t="shared" si="37"/>
        <v>1.8097792366503353E-2</v>
      </c>
      <c r="N57">
        <f t="shared" si="38"/>
        <v>3.9508743534389303E-2</v>
      </c>
      <c r="O57">
        <f t="shared" si="39"/>
        <v>4.5275573819252277E-2</v>
      </c>
    </row>
    <row r="58" spans="2:15" ht="15" thickBot="1" x14ac:dyDescent="0.4">
      <c r="B58" s="7">
        <v>46</v>
      </c>
      <c r="C58" s="8">
        <v>0.59</v>
      </c>
      <c r="D58">
        <f t="shared" si="28"/>
        <v>0.36396537720141148</v>
      </c>
      <c r="E58">
        <f t="shared" si="29"/>
        <v>0.63935480153084412</v>
      </c>
      <c r="F58">
        <f t="shared" si="30"/>
        <v>-0.52763274208237199</v>
      </c>
      <c r="G58">
        <f t="shared" si="31"/>
        <v>0.89159811928378352</v>
      </c>
      <c r="H58">
        <f t="shared" si="40"/>
        <v>-1.1470277001790695E-2</v>
      </c>
      <c r="I58">
        <f t="shared" si="33"/>
        <v>1.9382567810517032E-2</v>
      </c>
      <c r="J58">
        <f t="shared" si="34"/>
        <v>7.9122908087263365E-3</v>
      </c>
      <c r="K58">
        <f t="shared" si="35"/>
        <v>1.3899017424583568E-2</v>
      </c>
      <c r="L58">
        <f t="shared" si="36"/>
        <v>-6.7674634310565095E-3</v>
      </c>
      <c r="M58">
        <f t="shared" si="37"/>
        <v>4.6886431533640699E-3</v>
      </c>
      <c r="N58">
        <f t="shared" si="38"/>
        <v>1.9139831466309007E-3</v>
      </c>
      <c r="O58">
        <f t="shared" si="39"/>
        <v>4.3268102388303795E-3</v>
      </c>
    </row>
    <row r="63" spans="2:15" ht="15" thickBot="1" x14ac:dyDescent="0.4"/>
    <row r="64" spans="2:15" ht="15" thickBot="1" x14ac:dyDescent="0.4">
      <c r="B64" s="103">
        <v>-11.3561</v>
      </c>
      <c r="D64" s="10">
        <f>EXP(-EXP(-B64))</f>
        <v>0</v>
      </c>
    </row>
    <row r="65" spans="2:14" ht="16" thickBot="1" x14ac:dyDescent="0.4">
      <c r="B65" s="105">
        <v>-4.92746</v>
      </c>
      <c r="D65">
        <f>EXP(-EXP(-A65))</f>
        <v>0.36787944117144233</v>
      </c>
      <c r="E65">
        <f>EXP(-EXP(-B65))</f>
        <v>1.1349983464883229E-60</v>
      </c>
      <c r="N65" s="102" t="s">
        <v>125</v>
      </c>
    </row>
    <row r="66" spans="2:14" ht="15" thickBot="1" x14ac:dyDescent="0.4">
      <c r="B66" s="104">
        <v>-1.5271796259999999</v>
      </c>
      <c r="D66" s="10">
        <f t="shared" ref="D65:D71" si="41">EXP(-EXP(-B66))</f>
        <v>9.9999999911535246E-3</v>
      </c>
    </row>
    <row r="67" spans="2:14" ht="15" thickBot="1" x14ac:dyDescent="0.4">
      <c r="B67" s="104">
        <v>-1.2546349000000001</v>
      </c>
      <c r="D67" s="10">
        <f t="shared" si="41"/>
        <v>3.0000000030071527E-2</v>
      </c>
    </row>
    <row r="68" spans="2:14" ht="15" thickBot="1" x14ac:dyDescent="0.4">
      <c r="B68" s="104">
        <v>-0.878773939</v>
      </c>
      <c r="D68" s="10">
        <f t="shared" si="41"/>
        <v>9.0000000091521162E-2</v>
      </c>
    </row>
    <row r="69" spans="2:14" ht="15" thickBot="1" x14ac:dyDescent="0.4">
      <c r="B69" s="104">
        <v>-0.24134935599999999</v>
      </c>
      <c r="D69" s="10">
        <f t="shared" si="41"/>
        <v>0.27999999999480663</v>
      </c>
      <c r="N69">
        <f>E53/(5*0.0619865)</f>
        <v>-4.927458804119933</v>
      </c>
    </row>
    <row r="70" spans="2:14" ht="15" thickBot="1" x14ac:dyDescent="0.4">
      <c r="B70" s="104">
        <v>-0.103154446</v>
      </c>
      <c r="D70" s="10">
        <f t="shared" si="41"/>
        <v>0.33000000005280661</v>
      </c>
      <c r="N70">
        <f>N69/(7*0.0619865)</f>
        <v>-11.3560644060053</v>
      </c>
    </row>
    <row r="71" spans="2:14" ht="15" thickBot="1" x14ac:dyDescent="0.4">
      <c r="B71" s="104">
        <v>0.63935480200000006</v>
      </c>
      <c r="D71" s="10">
        <f t="shared" si="41"/>
        <v>0.59000000014604981</v>
      </c>
    </row>
    <row r="90" spans="33:37" ht="15" thickBot="1" x14ac:dyDescent="0.4"/>
    <row r="91" spans="33:37" ht="15.5" thickBot="1" x14ac:dyDescent="0.4">
      <c r="AG91" s="37" t="s">
        <v>68</v>
      </c>
      <c r="AH91" s="38" t="s">
        <v>69</v>
      </c>
      <c r="AI91" s="38" t="s">
        <v>70</v>
      </c>
      <c r="AJ91" s="38" t="s">
        <v>71</v>
      </c>
      <c r="AK91" s="38" t="s">
        <v>72</v>
      </c>
    </row>
    <row r="92" spans="33:37" ht="15.5" thickBot="1" x14ac:dyDescent="0.4">
      <c r="AG92" s="39" t="s">
        <v>73</v>
      </c>
      <c r="AH92" s="40">
        <v>-0.26</v>
      </c>
      <c r="AI92" s="40">
        <v>0.01</v>
      </c>
      <c r="AJ92" s="40">
        <v>0.9</v>
      </c>
      <c r="AK92" s="40">
        <v>7.9000000000000001E-2</v>
      </c>
    </row>
    <row r="93" spans="33:37" ht="30.5" thickBot="1" x14ac:dyDescent="0.4">
      <c r="AG93" s="39" t="s">
        <v>74</v>
      </c>
      <c r="AH93" s="40">
        <v>-0.4</v>
      </c>
      <c r="AI93" s="40">
        <v>0.12</v>
      </c>
      <c r="AJ93" s="40">
        <v>0.83</v>
      </c>
      <c r="AK93" s="40">
        <v>0.15</v>
      </c>
    </row>
    <row r="94" spans="33:37" ht="30.5" thickBot="1" x14ac:dyDescent="0.4">
      <c r="AG94" s="39" t="s">
        <v>75</v>
      </c>
      <c r="AH94" s="40">
        <v>-5.7</v>
      </c>
      <c r="AI94" s="40">
        <v>0.11</v>
      </c>
      <c r="AJ94" s="40">
        <v>0.96</v>
      </c>
      <c r="AK94" s="40">
        <v>0.36</v>
      </c>
    </row>
    <row r="95" spans="33:37" ht="15.5" thickBot="1" x14ac:dyDescent="0.4">
      <c r="AG95" s="39" t="s">
        <v>76</v>
      </c>
      <c r="AH95" s="40">
        <v>-6.16</v>
      </c>
      <c r="AI95" s="40">
        <v>0.14000000000000001</v>
      </c>
      <c r="AJ95" s="40">
        <v>0.98</v>
      </c>
      <c r="AK95" s="40">
        <v>0.28999999999999998</v>
      </c>
    </row>
    <row r="96" spans="33:37" ht="30.5" thickBot="1" x14ac:dyDescent="0.4">
      <c r="AG96" s="39" t="s">
        <v>28</v>
      </c>
      <c r="AH96" s="40">
        <v>-2.37</v>
      </c>
      <c r="AI96" s="40">
        <v>6.0999999999999999E-2</v>
      </c>
      <c r="AJ96" s="40">
        <v>0.97</v>
      </c>
      <c r="AK96" s="40">
        <v>0.16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5605-4BA8-4970-94EB-B10D660EFDCC}">
  <dimension ref="A1:F3"/>
  <sheetViews>
    <sheetView workbookViewId="0">
      <selection sqref="A1:G3"/>
    </sheetView>
  </sheetViews>
  <sheetFormatPr defaultRowHeight="14.5" x14ac:dyDescent="0.35"/>
  <sheetData>
    <row r="1" spans="1:6" x14ac:dyDescent="0.35">
      <c r="B1" t="s">
        <v>3</v>
      </c>
      <c r="C1" t="s">
        <v>16</v>
      </c>
      <c r="D1" t="s">
        <v>18</v>
      </c>
      <c r="E1" t="s">
        <v>20</v>
      </c>
      <c r="F1" t="s">
        <v>23</v>
      </c>
    </row>
    <row r="2" spans="1:6" x14ac:dyDescent="0.35">
      <c r="A2" t="s">
        <v>80</v>
      </c>
      <c r="B2" s="42">
        <v>0.87409999999999999</v>
      </c>
      <c r="C2" s="42">
        <v>0.97419999999999995</v>
      </c>
      <c r="D2" s="42">
        <v>0.95989999999999998</v>
      </c>
      <c r="F2" s="42">
        <v>0.78510000000000002</v>
      </c>
    </row>
    <row r="3" spans="1:6" x14ac:dyDescent="0.35">
      <c r="A3" t="s">
        <v>63</v>
      </c>
      <c r="B3">
        <v>6.2859999999999999E-3</v>
      </c>
      <c r="C3">
        <v>8.9800000000000005E-2</v>
      </c>
      <c r="D3">
        <v>2.6190000000000001E-2</v>
      </c>
      <c r="F3">
        <v>2.4048E-2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A5D7-F857-4CFF-B8C3-334C2ACF7B87}">
  <dimension ref="A2:V35"/>
  <sheetViews>
    <sheetView topLeftCell="A17" workbookViewId="0">
      <selection activeCell="N35" sqref="N35"/>
    </sheetView>
  </sheetViews>
  <sheetFormatPr defaultRowHeight="14.5" x14ac:dyDescent="0.35"/>
  <cols>
    <col min="1" max="2" width="10.08984375" customWidth="1"/>
    <col min="8" max="8" width="0.26953125" customWidth="1"/>
    <col min="9" max="9" width="11.90625" customWidth="1"/>
    <col min="10" max="11" width="13.08984375" bestFit="1" customWidth="1"/>
  </cols>
  <sheetData>
    <row r="2" spans="1:22" ht="15" thickBot="1" x14ac:dyDescent="0.4">
      <c r="H2" s="48"/>
      <c r="I2" s="82"/>
      <c r="J2" s="82"/>
      <c r="K2" s="82"/>
      <c r="L2" s="48"/>
      <c r="M2" s="48"/>
      <c r="N2" s="48"/>
      <c r="O2" s="48"/>
    </row>
    <row r="3" spans="1:22" ht="64.5" customHeight="1" x14ac:dyDescent="0.35">
      <c r="A3" s="75"/>
      <c r="B3" s="43"/>
      <c r="C3" s="79" t="s">
        <v>86</v>
      </c>
      <c r="D3" s="75" t="s">
        <v>81</v>
      </c>
      <c r="E3" s="75" t="s">
        <v>82</v>
      </c>
      <c r="F3" s="75" t="s">
        <v>83</v>
      </c>
      <c r="G3" s="77" t="s">
        <v>84</v>
      </c>
      <c r="H3" s="81"/>
      <c r="I3" s="55" t="s">
        <v>85</v>
      </c>
      <c r="J3" s="83" t="s">
        <v>69</v>
      </c>
      <c r="K3" s="83"/>
      <c r="L3" s="82" t="s">
        <v>96</v>
      </c>
      <c r="M3" s="82"/>
      <c r="N3" s="82"/>
      <c r="O3" s="82"/>
      <c r="P3" s="49"/>
      <c r="Q3" s="48"/>
      <c r="R3" s="79" t="s">
        <v>86</v>
      </c>
      <c r="S3" s="85" t="s">
        <v>87</v>
      </c>
      <c r="T3" s="85" t="s">
        <v>88</v>
      </c>
      <c r="U3" s="75" t="s">
        <v>89</v>
      </c>
      <c r="V3" s="75" t="s">
        <v>90</v>
      </c>
    </row>
    <row r="4" spans="1:22" ht="15" customHeight="1" thickBot="1" x14ac:dyDescent="0.4">
      <c r="A4" s="76"/>
      <c r="B4" s="17" t="s">
        <v>101</v>
      </c>
      <c r="C4" s="80"/>
      <c r="D4" s="76"/>
      <c r="E4" s="76"/>
      <c r="F4" s="76"/>
      <c r="G4" s="78"/>
      <c r="H4" s="81"/>
      <c r="I4" s="48" t="s">
        <v>100</v>
      </c>
      <c r="J4" s="84" t="s">
        <v>99</v>
      </c>
      <c r="K4" s="84"/>
      <c r="L4" s="48" t="s">
        <v>97</v>
      </c>
      <c r="M4" s="48" t="s">
        <v>98</v>
      </c>
      <c r="N4" s="84" t="s">
        <v>99</v>
      </c>
      <c r="O4" s="84"/>
      <c r="P4" s="49"/>
      <c r="Q4" s="48"/>
      <c r="R4" s="80"/>
      <c r="S4" s="86"/>
      <c r="T4" s="86"/>
      <c r="U4" s="76"/>
      <c r="V4" s="76"/>
    </row>
    <row r="5" spans="1:22" ht="62.5" thickBot="1" x14ac:dyDescent="0.4">
      <c r="A5" s="44" t="s">
        <v>91</v>
      </c>
      <c r="B5" s="17">
        <v>6</v>
      </c>
      <c r="C5" s="45">
        <v>2.4500000000000002</v>
      </c>
      <c r="D5" s="17">
        <v>-1.74</v>
      </c>
      <c r="E5" s="17">
        <v>0.12</v>
      </c>
      <c r="F5" s="46">
        <v>0.10534300000000001</v>
      </c>
      <c r="G5" s="52">
        <v>4.0000000000000001E-3</v>
      </c>
      <c r="H5" s="81">
        <v>0.34</v>
      </c>
      <c r="I5" s="81"/>
      <c r="J5" s="50">
        <f>D5+C5*H5</f>
        <v>-0.90699999999999992</v>
      </c>
      <c r="K5" s="50">
        <f>D5-C5*H5</f>
        <v>-2.573</v>
      </c>
      <c r="L5" s="48">
        <f>SQRT(G5)</f>
        <v>6.3245553203367583E-2</v>
      </c>
      <c r="M5" s="48">
        <f>F5/L5</f>
        <v>1.6656190777755882</v>
      </c>
      <c r="N5" s="51">
        <f>F5+L5*C5</f>
        <v>0.26029460534825061</v>
      </c>
      <c r="O5" s="51">
        <f>F5-C5*L5</f>
        <v>-4.9608605348250581E-2</v>
      </c>
      <c r="P5" s="54"/>
      <c r="Q5" s="48"/>
      <c r="R5" s="45">
        <v>2.4500000000000002</v>
      </c>
      <c r="S5" s="17">
        <v>0.83299999999999996</v>
      </c>
      <c r="T5" s="17">
        <v>-0.83299999999999996</v>
      </c>
      <c r="U5" s="17" t="s">
        <v>92</v>
      </c>
      <c r="V5" s="17" t="s">
        <v>93</v>
      </c>
    </row>
    <row r="6" spans="1:22" ht="62.5" thickBot="1" x14ac:dyDescent="0.4">
      <c r="A6" s="44" t="s">
        <v>94</v>
      </c>
      <c r="B6" s="17">
        <v>4</v>
      </c>
      <c r="C6" s="45">
        <v>2.78</v>
      </c>
      <c r="D6" s="47">
        <v>-2.3792300000000002</v>
      </c>
      <c r="E6" s="47">
        <v>0.17813000000000001</v>
      </c>
      <c r="F6" s="47">
        <v>6.1990000000000003E-2</v>
      </c>
      <c r="G6" s="53">
        <v>5.64E-3</v>
      </c>
      <c r="H6" s="81">
        <f>SQRT(E6)</f>
        <v>0.42205449885056318</v>
      </c>
      <c r="I6" s="81"/>
      <c r="J6" s="50">
        <f>D6+C6*H6</f>
        <v>-1.2059184931954345</v>
      </c>
      <c r="K6" s="50">
        <f>D6-C6*H6</f>
        <v>-3.552541506804566</v>
      </c>
      <c r="L6" s="48">
        <f>SQRT(G6)</f>
        <v>7.5099933422074355E-2</v>
      </c>
      <c r="M6" s="48">
        <f>F6/L6</f>
        <v>0.82543348809120376</v>
      </c>
      <c r="N6" s="51">
        <f>F6+L6*C6</f>
        <v>0.27076781491336671</v>
      </c>
      <c r="O6" s="51">
        <f>F6-C6*L6</f>
        <v>-0.14678781491336668</v>
      </c>
      <c r="P6" s="54"/>
      <c r="Q6" s="48"/>
      <c r="R6" s="45">
        <v>2.78</v>
      </c>
      <c r="S6" s="17">
        <v>1.139</v>
      </c>
      <c r="T6" s="17">
        <v>-1.139</v>
      </c>
      <c r="U6" s="17" t="s">
        <v>95</v>
      </c>
      <c r="V6" s="17">
        <v>5.78</v>
      </c>
    </row>
    <row r="20" spans="1:16" ht="15" thickBot="1" x14ac:dyDescent="0.4"/>
    <row r="21" spans="1:16" ht="15" thickBot="1" x14ac:dyDescent="0.4">
      <c r="A21" s="87" t="s">
        <v>102</v>
      </c>
      <c r="B21" s="56"/>
      <c r="C21" s="89" t="s">
        <v>103</v>
      </c>
      <c r="D21" s="91" t="s">
        <v>69</v>
      </c>
      <c r="E21" s="92"/>
      <c r="F21" s="92"/>
      <c r="G21" s="92"/>
      <c r="H21" s="93"/>
      <c r="I21" s="94" t="s">
        <v>96</v>
      </c>
      <c r="J21" s="95"/>
      <c r="K21" s="95"/>
      <c r="L21" s="95"/>
      <c r="M21" s="95"/>
      <c r="N21" s="96"/>
    </row>
    <row r="22" spans="1:16" ht="30.5" thickBot="1" x14ac:dyDescent="0.4">
      <c r="A22" s="88"/>
      <c r="B22" s="57" t="s">
        <v>104</v>
      </c>
      <c r="C22" s="90"/>
      <c r="D22" s="57" t="s">
        <v>81</v>
      </c>
      <c r="E22" s="57" t="s">
        <v>105</v>
      </c>
      <c r="F22" s="58" t="s">
        <v>106</v>
      </c>
      <c r="G22" s="97" t="s">
        <v>99</v>
      </c>
      <c r="H22" s="98"/>
      <c r="I22" s="57" t="s">
        <v>107</v>
      </c>
      <c r="J22" s="57" t="s">
        <v>105</v>
      </c>
      <c r="K22" s="58" t="s">
        <v>97</v>
      </c>
      <c r="L22" s="59" t="s">
        <v>108</v>
      </c>
      <c r="M22" s="97" t="s">
        <v>109</v>
      </c>
      <c r="N22" s="98"/>
    </row>
    <row r="23" spans="1:16" ht="15" thickBot="1" x14ac:dyDescent="0.4">
      <c r="A23" s="60" t="s">
        <v>110</v>
      </c>
      <c r="B23" s="61">
        <v>6</v>
      </c>
      <c r="C23" s="61">
        <v>2.4500000000000002</v>
      </c>
      <c r="D23" s="62">
        <v>-4.6252000000000001E-2</v>
      </c>
      <c r="E23" s="62">
        <v>6.2962000000000004E-2</v>
      </c>
      <c r="F23" s="63">
        <v>0.25</v>
      </c>
      <c r="G23" s="63"/>
      <c r="H23" s="63"/>
      <c r="I23" s="62">
        <v>2.4098000000000001E-2</v>
      </c>
      <c r="J23" s="62">
        <v>2.2920000000000002E-3</v>
      </c>
      <c r="K23" s="64">
        <v>4.6899999999999997E-2</v>
      </c>
      <c r="L23" s="64"/>
      <c r="M23" s="65">
        <f>I23+K23*C23</f>
        <v>0.13900300000000002</v>
      </c>
      <c r="N23" s="65">
        <f>I23-K23*C23</f>
        <v>-9.0806999999999999E-2</v>
      </c>
      <c r="O23">
        <f>D23-C23*F23</f>
        <v>-0.658752</v>
      </c>
      <c r="P23">
        <f>D23+C23*F23</f>
        <v>0.56624800000000008</v>
      </c>
    </row>
    <row r="24" spans="1:16" ht="15" thickBot="1" x14ac:dyDescent="0.4">
      <c r="A24" s="60" t="s">
        <v>111</v>
      </c>
      <c r="B24" s="61">
        <v>4</v>
      </c>
      <c r="C24" s="61">
        <v>2.78</v>
      </c>
      <c r="D24" s="62">
        <v>-0.26274900000000001</v>
      </c>
      <c r="E24" s="62">
        <v>8.7277999999999994E-2</v>
      </c>
      <c r="F24" s="63">
        <v>0.29499999999999998</v>
      </c>
      <c r="G24" s="63"/>
      <c r="H24" s="63"/>
      <c r="I24" s="62">
        <v>1.6514000000000001E-2</v>
      </c>
      <c r="J24" s="62">
        <v>2.7629999999999998E-3</v>
      </c>
      <c r="K24" s="64">
        <v>5.1900000000000002E-2</v>
      </c>
      <c r="L24" s="64"/>
      <c r="M24" s="65">
        <f>I24+K24*C24</f>
        <v>0.16079599999999999</v>
      </c>
      <c r="N24" s="65">
        <f>I24-K24*C24</f>
        <v>-0.12776799999999999</v>
      </c>
      <c r="O24">
        <f>D24-C24*F24</f>
        <v>-1.082849</v>
      </c>
      <c r="P24">
        <f>D24+C24*F24</f>
        <v>0.55735099999999993</v>
      </c>
    </row>
    <row r="30" spans="1:16" ht="18.5" x14ac:dyDescent="0.35">
      <c r="J30">
        <f>(0.0042+0.05642)*1/2</f>
        <v>3.031E-2</v>
      </c>
      <c r="K30" t="s">
        <v>112</v>
      </c>
    </row>
    <row r="32" spans="1:16" x14ac:dyDescent="0.35">
      <c r="K32">
        <v>4.0000000000000001E-3</v>
      </c>
      <c r="L32">
        <v>4.0000000000000001E-3</v>
      </c>
      <c r="M32">
        <f>L32*K32</f>
        <v>1.5999999999999999E-5</v>
      </c>
    </row>
    <row r="33" spans="11:14" x14ac:dyDescent="0.35">
      <c r="K33">
        <v>5.6399999999999999E-2</v>
      </c>
      <c r="L33">
        <v>5.6399999999999999E-2</v>
      </c>
      <c r="M33">
        <f>L33*K33</f>
        <v>3.18096E-3</v>
      </c>
    </row>
    <row r="34" spans="11:14" x14ac:dyDescent="0.35">
      <c r="M34">
        <f>SUM(M32:M33)</f>
        <v>3.19696E-3</v>
      </c>
    </row>
    <row r="35" spans="11:14" x14ac:dyDescent="0.35">
      <c r="K35">
        <f>0.105343 -0.0165142</f>
        <v>8.8828800000000013E-2</v>
      </c>
      <c r="M35">
        <f>SQRTPI(M34)</f>
        <v>0.10021749373148595</v>
      </c>
      <c r="N35">
        <f>K35/M35</f>
        <v>0.88636022207859433</v>
      </c>
    </row>
  </sheetData>
  <mergeCells count="25">
    <mergeCell ref="A21:A22"/>
    <mergeCell ref="C21:C22"/>
    <mergeCell ref="D21:H21"/>
    <mergeCell ref="I21:N21"/>
    <mergeCell ref="G22:H22"/>
    <mergeCell ref="M22:N22"/>
    <mergeCell ref="V3:V4"/>
    <mergeCell ref="H5:I5"/>
    <mergeCell ref="H6:I6"/>
    <mergeCell ref="H3:H4"/>
    <mergeCell ref="I2:K2"/>
    <mergeCell ref="J3:K3"/>
    <mergeCell ref="L3:O3"/>
    <mergeCell ref="N4:O4"/>
    <mergeCell ref="R3:R4"/>
    <mergeCell ref="S3:S4"/>
    <mergeCell ref="T3:T4"/>
    <mergeCell ref="U3:U4"/>
    <mergeCell ref="J4:K4"/>
    <mergeCell ref="A3:A4"/>
    <mergeCell ref="D3:D4"/>
    <mergeCell ref="E3:E4"/>
    <mergeCell ref="F3:F4"/>
    <mergeCell ref="G3:G4"/>
    <mergeCell ref="C3: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1838-CC86-452C-9EC9-7FBD881633D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133A-514C-4122-85D1-06B29B49C87A}">
  <dimension ref="A1:T46"/>
  <sheetViews>
    <sheetView tabSelected="1" topLeftCell="F13" workbookViewId="0">
      <selection activeCell="P25" sqref="P25"/>
    </sheetView>
  </sheetViews>
  <sheetFormatPr defaultRowHeight="14.5" x14ac:dyDescent="0.35"/>
  <cols>
    <col min="7" max="7" width="9.81640625" customWidth="1"/>
    <col min="12" max="12" width="12.6328125" customWidth="1"/>
  </cols>
  <sheetData>
    <row r="1" spans="3:20" ht="15" thickBot="1" x14ac:dyDescent="0.4">
      <c r="J1" t="s">
        <v>17</v>
      </c>
      <c r="L1" t="s">
        <v>49</v>
      </c>
    </row>
    <row r="2" spans="3:20" ht="60.5" thickBot="1" x14ac:dyDescent="0.4">
      <c r="H2" t="s">
        <v>35</v>
      </c>
      <c r="I2" s="3" t="s">
        <v>3</v>
      </c>
      <c r="J2" s="18" t="s">
        <v>16</v>
      </c>
      <c r="K2" s="21" t="s">
        <v>48</v>
      </c>
      <c r="L2" t="s">
        <v>50</v>
      </c>
      <c r="M2" t="s">
        <v>51</v>
      </c>
    </row>
    <row r="3" spans="3:20" ht="16" thickBot="1" x14ac:dyDescent="0.4">
      <c r="H3" s="4">
        <v>0</v>
      </c>
      <c r="I3" s="5" t="s">
        <v>0</v>
      </c>
      <c r="J3" t="e">
        <f>LN(I3/(1-I3))</f>
        <v>#VALUE!</v>
      </c>
      <c r="K3">
        <f>-6.16138 + 0.14372* H3</f>
        <v>-6.1613800000000003</v>
      </c>
      <c r="L3" s="11">
        <v>2.1049004211418387E-3</v>
      </c>
      <c r="M3">
        <f>(L3+L4)*(H4-H3)/2</f>
        <v>2.7441168694175028E-2</v>
      </c>
      <c r="O3" s="106">
        <v>0</v>
      </c>
    </row>
    <row r="4" spans="3:20" ht="17" thickBot="1" x14ac:dyDescent="0.4">
      <c r="H4" s="4">
        <v>7</v>
      </c>
      <c r="I4" s="5" t="s">
        <v>0</v>
      </c>
      <c r="J4" t="e">
        <f t="shared" ref="J4:J10" si="0">LN(I4/(1-I4))</f>
        <v>#VALUE!</v>
      </c>
      <c r="K4">
        <f t="shared" ref="K4:K10" si="1">-6.16138 + 0.14372* H4</f>
        <v>-5.1553400000000007</v>
      </c>
      <c r="L4" s="11">
        <v>5.7354334914795973E-3</v>
      </c>
      <c r="M4">
        <f>(L4+L5)*(H5-H4)/2</f>
        <v>3.9338583728699E-2</v>
      </c>
      <c r="O4" s="105" t="s">
        <v>126</v>
      </c>
    </row>
    <row r="5" spans="3:20" ht="16" thickBot="1" x14ac:dyDescent="0.4">
      <c r="H5" s="4">
        <v>12</v>
      </c>
      <c r="I5" s="5">
        <v>0.01</v>
      </c>
      <c r="J5">
        <f t="shared" si="0"/>
        <v>-4.5951198501345898</v>
      </c>
      <c r="K5">
        <f t="shared" si="1"/>
        <v>-4.4367400000000004</v>
      </c>
      <c r="L5">
        <f>1/(1+EXP(-J5))</f>
        <v>1.0000000000000002E-2</v>
      </c>
      <c r="M5">
        <f t="shared" ref="M5:M9" si="2">(L5+L6)*(H6-H5)/2</f>
        <v>0.14000000000000001</v>
      </c>
      <c r="O5" s="107">
        <v>0.01</v>
      </c>
    </row>
    <row r="6" spans="3:20" ht="16" thickBot="1" x14ac:dyDescent="0.4">
      <c r="H6" s="4">
        <v>19</v>
      </c>
      <c r="I6" s="5">
        <v>0.03</v>
      </c>
      <c r="J6">
        <f t="shared" si="0"/>
        <v>-3.4760986898352733</v>
      </c>
      <c r="K6">
        <f t="shared" si="1"/>
        <v>-3.4307000000000007</v>
      </c>
      <c r="L6">
        <f t="shared" ref="L6:L12" si="3">1/(1+EXP(-J6))</f>
        <v>0.03</v>
      </c>
      <c r="M6">
        <f t="shared" si="2"/>
        <v>0.42</v>
      </c>
      <c r="O6" s="107">
        <v>0.03</v>
      </c>
    </row>
    <row r="7" spans="3:20" ht="16" thickBot="1" x14ac:dyDescent="0.4">
      <c r="H7" s="4">
        <v>26</v>
      </c>
      <c r="I7" s="5">
        <v>0.09</v>
      </c>
      <c r="J7">
        <f t="shared" si="0"/>
        <v>-2.3136349291806306</v>
      </c>
      <c r="K7">
        <f t="shared" si="1"/>
        <v>-2.4246600000000007</v>
      </c>
      <c r="L7">
        <f t="shared" si="3"/>
        <v>0.09</v>
      </c>
      <c r="M7">
        <f t="shared" si="2"/>
        <v>1.2950000000000004</v>
      </c>
      <c r="O7" s="107">
        <v>0.09</v>
      </c>
    </row>
    <row r="8" spans="3:20" ht="16" thickBot="1" x14ac:dyDescent="0.4">
      <c r="H8" s="4">
        <v>33</v>
      </c>
      <c r="I8" s="5">
        <v>0.28000000000000003</v>
      </c>
      <c r="J8">
        <f t="shared" si="0"/>
        <v>-0.94446160884085117</v>
      </c>
      <c r="K8">
        <f t="shared" si="1"/>
        <v>-1.4186200000000007</v>
      </c>
      <c r="L8">
        <f t="shared" si="3"/>
        <v>0.28000000000000008</v>
      </c>
      <c r="M8">
        <f t="shared" si="2"/>
        <v>2.1350000000000002</v>
      </c>
      <c r="O8" s="107">
        <v>0.28000000000000003</v>
      </c>
    </row>
    <row r="9" spans="3:20" ht="16" thickBot="1" x14ac:dyDescent="0.4">
      <c r="H9" s="4">
        <v>40</v>
      </c>
      <c r="I9" s="5">
        <v>0.33</v>
      </c>
      <c r="J9">
        <f t="shared" si="0"/>
        <v>-0.70818505792448561</v>
      </c>
      <c r="K9">
        <f t="shared" si="1"/>
        <v>-0.41258000000000106</v>
      </c>
      <c r="L9">
        <f t="shared" si="3"/>
        <v>0.33000000000000007</v>
      </c>
      <c r="M9">
        <f t="shared" si="2"/>
        <v>2.7600000000000002</v>
      </c>
      <c r="O9" s="107">
        <v>0.33</v>
      </c>
    </row>
    <row r="10" spans="3:20" ht="16" thickBot="1" x14ac:dyDescent="0.4">
      <c r="H10" s="7">
        <v>46</v>
      </c>
      <c r="I10" s="8">
        <v>0.59</v>
      </c>
      <c r="J10">
        <f t="shared" si="0"/>
        <v>0.36396537720141148</v>
      </c>
      <c r="K10">
        <f t="shared" si="1"/>
        <v>0.44973999999999936</v>
      </c>
      <c r="L10">
        <f t="shared" si="3"/>
        <v>0.59</v>
      </c>
      <c r="M10">
        <f>SUM(M3:M9)</f>
        <v>6.8167797524228746</v>
      </c>
      <c r="O10" s="107">
        <v>0.59</v>
      </c>
    </row>
    <row r="11" spans="3:20" x14ac:dyDescent="0.35">
      <c r="J11">
        <v>-6.1613800000000003</v>
      </c>
      <c r="L11">
        <f t="shared" si="3"/>
        <v>2.1049004211418387E-3</v>
      </c>
    </row>
    <row r="12" spans="3:20" ht="15" thickBot="1" x14ac:dyDescent="0.4">
      <c r="C12" s="20" t="s">
        <v>48</v>
      </c>
      <c r="J12">
        <v>-5.1553400000000007</v>
      </c>
      <c r="L12">
        <f t="shared" si="3"/>
        <v>5.7354334914795973E-3</v>
      </c>
    </row>
    <row r="13" spans="3:20" ht="60.5" thickBot="1" x14ac:dyDescent="0.4">
      <c r="O13" t="s">
        <v>35</v>
      </c>
      <c r="P13" s="3" t="s">
        <v>3</v>
      </c>
      <c r="Q13" s="18" t="s">
        <v>16</v>
      </c>
      <c r="R13" s="21" t="s">
        <v>48</v>
      </c>
      <c r="S13" t="s">
        <v>50</v>
      </c>
      <c r="T13" t="s">
        <v>51</v>
      </c>
    </row>
    <row r="14" spans="3:20" ht="16" thickBot="1" x14ac:dyDescent="0.4">
      <c r="O14" s="4">
        <v>0</v>
      </c>
      <c r="P14" s="5" t="s">
        <v>0</v>
      </c>
      <c r="Q14" t="e">
        <f>LN(P14/(1-P14))</f>
        <v>#VALUE!</v>
      </c>
      <c r="R14">
        <f>-6.16138 + 0.14372* O14</f>
        <v>-6.1613800000000003</v>
      </c>
      <c r="S14" s="106">
        <v>0</v>
      </c>
      <c r="T14">
        <f>(S14+S15)*(O15-O14)/2</f>
        <v>0</v>
      </c>
    </row>
    <row r="15" spans="3:20" ht="17" thickBot="1" x14ac:dyDescent="0.4">
      <c r="O15" s="4">
        <v>7</v>
      </c>
      <c r="P15" s="5" t="s">
        <v>0</v>
      </c>
      <c r="Q15" t="e">
        <f t="shared" ref="Q15:Q21" si="4">LN(P15/(1-P15))</f>
        <v>#VALUE!</v>
      </c>
      <c r="R15">
        <f t="shared" ref="R15:R21" si="5">-6.16138 + 0.14372* O15</f>
        <v>-5.1553400000000007</v>
      </c>
      <c r="S15" s="105">
        <v>0</v>
      </c>
      <c r="T15">
        <f t="shared" ref="T15:T21" si="6">(S15+S16)*(O16-O15)/2</f>
        <v>2.5000000000000001E-2</v>
      </c>
    </row>
    <row r="16" spans="3:20" ht="16" thickBot="1" x14ac:dyDescent="0.4">
      <c r="O16" s="4">
        <v>12</v>
      </c>
      <c r="P16" s="5">
        <v>0.01</v>
      </c>
      <c r="Q16">
        <f t="shared" si="4"/>
        <v>-4.5951198501345898</v>
      </c>
      <c r="R16">
        <f t="shared" si="5"/>
        <v>-4.4367400000000004</v>
      </c>
      <c r="S16" s="107">
        <v>0.01</v>
      </c>
      <c r="T16">
        <f t="shared" si="6"/>
        <v>0.14000000000000001</v>
      </c>
    </row>
    <row r="17" spans="1:20" ht="16" thickBot="1" x14ac:dyDescent="0.4">
      <c r="J17" t="s">
        <v>17</v>
      </c>
      <c r="L17" t="s">
        <v>49</v>
      </c>
      <c r="O17" s="4">
        <v>19</v>
      </c>
      <c r="P17" s="5">
        <v>0.03</v>
      </c>
      <c r="Q17">
        <f t="shared" si="4"/>
        <v>-3.4760986898352733</v>
      </c>
      <c r="R17">
        <f t="shared" si="5"/>
        <v>-3.4307000000000007</v>
      </c>
      <c r="S17" s="107">
        <v>0.03</v>
      </c>
      <c r="T17">
        <f t="shared" si="6"/>
        <v>0.42</v>
      </c>
    </row>
    <row r="18" spans="1:20" ht="60.5" thickBot="1" x14ac:dyDescent="0.4">
      <c r="H18" t="s">
        <v>35</v>
      </c>
      <c r="I18" s="3" t="s">
        <v>52</v>
      </c>
      <c r="J18" s="18" t="s">
        <v>16</v>
      </c>
      <c r="K18" s="21" t="s">
        <v>48</v>
      </c>
      <c r="L18" t="s">
        <v>50</v>
      </c>
      <c r="M18" t="s">
        <v>51</v>
      </c>
      <c r="N18" t="s">
        <v>54</v>
      </c>
      <c r="O18" s="4">
        <v>26</v>
      </c>
      <c r="P18" s="5">
        <v>0.09</v>
      </c>
      <c r="Q18">
        <f t="shared" si="4"/>
        <v>-2.3136349291806306</v>
      </c>
      <c r="R18">
        <f t="shared" si="5"/>
        <v>-2.4246600000000007</v>
      </c>
      <c r="S18" s="107">
        <v>0.09</v>
      </c>
      <c r="T18">
        <f t="shared" si="6"/>
        <v>1.2949999999999999</v>
      </c>
    </row>
    <row r="19" spans="1:20" ht="16" thickBot="1" x14ac:dyDescent="0.4">
      <c r="H19" s="4">
        <v>0</v>
      </c>
      <c r="I19" s="5">
        <v>0.01</v>
      </c>
      <c r="J19">
        <f>LN(I19/(1-I19))</f>
        <v>-4.5951198501345898</v>
      </c>
      <c r="K19">
        <f>-6.16138 + 0.14372* H19</f>
        <v>-6.1613800000000003</v>
      </c>
      <c r="L19" s="5">
        <v>0.01</v>
      </c>
      <c r="M19">
        <f>(L19+L20)*(H20-H19)/2</f>
        <v>0.21000000000000002</v>
      </c>
      <c r="N19">
        <v>1E-3</v>
      </c>
      <c r="O19" s="4">
        <v>33</v>
      </c>
      <c r="P19" s="5">
        <v>0.28000000000000003</v>
      </c>
      <c r="Q19">
        <f t="shared" si="4"/>
        <v>-0.94446160884085117</v>
      </c>
      <c r="R19">
        <f t="shared" si="5"/>
        <v>-1.4186200000000007</v>
      </c>
      <c r="S19" s="107">
        <v>0.28000000000000003</v>
      </c>
      <c r="T19">
        <f t="shared" si="6"/>
        <v>2.1350000000000002</v>
      </c>
    </row>
    <row r="20" spans="1:20" ht="16" thickBot="1" x14ac:dyDescent="0.4">
      <c r="H20" s="4">
        <v>7</v>
      </c>
      <c r="I20" s="5">
        <v>0.05</v>
      </c>
      <c r="J20">
        <f t="shared" ref="J20:J26" si="7">LN(I20/(1-I20))</f>
        <v>-2.9444389791664403</v>
      </c>
      <c r="K20">
        <f t="shared" ref="K20:K26" si="8">-6.16138 + 0.14372* H20</f>
        <v>-5.1553400000000007</v>
      </c>
      <c r="L20" s="5">
        <v>0.05</v>
      </c>
      <c r="M20">
        <f>(L20+L21)*(H21-H20)/2</f>
        <v>0.55000000000000004</v>
      </c>
      <c r="O20" s="4">
        <v>40</v>
      </c>
      <c r="P20" s="5">
        <v>0.33</v>
      </c>
      <c r="Q20">
        <f t="shared" si="4"/>
        <v>-0.70818505792448561</v>
      </c>
      <c r="R20">
        <f t="shared" si="5"/>
        <v>-0.41258000000000106</v>
      </c>
      <c r="S20" s="107">
        <v>0.33</v>
      </c>
      <c r="T20">
        <f t="shared" si="6"/>
        <v>2.76</v>
      </c>
    </row>
    <row r="21" spans="1:20" ht="16" thickBot="1" x14ac:dyDescent="0.4">
      <c r="H21" s="4">
        <v>12</v>
      </c>
      <c r="I21" s="5">
        <v>0.17</v>
      </c>
      <c r="J21">
        <f t="shared" si="7"/>
        <v>-1.5856272637403817</v>
      </c>
      <c r="K21">
        <f t="shared" si="8"/>
        <v>-4.4367400000000004</v>
      </c>
      <c r="L21" s="5">
        <v>0.17</v>
      </c>
      <c r="M21">
        <f t="shared" ref="M21:M25" si="9">(L21+L22)*(H22-H21)/2</f>
        <v>1.855</v>
      </c>
      <c r="O21" s="7">
        <v>46</v>
      </c>
      <c r="P21" s="8">
        <v>0.59</v>
      </c>
      <c r="Q21">
        <f t="shared" si="4"/>
        <v>0.36396537720141148</v>
      </c>
      <c r="R21">
        <f t="shared" si="5"/>
        <v>0.44973999999999936</v>
      </c>
      <c r="S21" s="107">
        <v>0.59</v>
      </c>
      <c r="T21">
        <f>SUM(T14:T20)</f>
        <v>6.7750000000000004</v>
      </c>
    </row>
    <row r="22" spans="1:20" ht="15" thickBot="1" x14ac:dyDescent="0.4">
      <c r="H22" s="4">
        <v>19</v>
      </c>
      <c r="I22" s="5">
        <v>0.36</v>
      </c>
      <c r="J22">
        <f t="shared" si="7"/>
        <v>-0.5753641449035618</v>
      </c>
      <c r="K22">
        <f t="shared" si="8"/>
        <v>-3.4307000000000007</v>
      </c>
      <c r="L22" s="5">
        <v>0.36</v>
      </c>
      <c r="M22">
        <f t="shared" si="9"/>
        <v>3.7449999999999992</v>
      </c>
      <c r="Q22">
        <v>-6.1613800000000003</v>
      </c>
      <c r="S22">
        <f t="shared" ref="S17:S23" si="10">1/(1+EXP(-Q22))</f>
        <v>2.1049004211418387E-3</v>
      </c>
    </row>
    <row r="23" spans="1:20" ht="15" thickBot="1" x14ac:dyDescent="0.4">
      <c r="H23" s="4">
        <v>26</v>
      </c>
      <c r="I23" s="5">
        <v>0.71</v>
      </c>
      <c r="J23">
        <f t="shared" si="7"/>
        <v>0.89538404705484131</v>
      </c>
      <c r="K23">
        <f t="shared" si="8"/>
        <v>-2.4246600000000007</v>
      </c>
      <c r="L23" s="5">
        <v>0.71</v>
      </c>
      <c r="M23">
        <f t="shared" si="9"/>
        <v>5.4949999999999992</v>
      </c>
      <c r="Q23">
        <v>-5.1553400000000007</v>
      </c>
      <c r="S23">
        <f t="shared" si="10"/>
        <v>5.7354334914795973E-3</v>
      </c>
    </row>
    <row r="24" spans="1:20" ht="15" thickBot="1" x14ac:dyDescent="0.4">
      <c r="H24" s="4">
        <v>33</v>
      </c>
      <c r="I24" s="5">
        <v>0.86</v>
      </c>
      <c r="J24">
        <f t="shared" si="7"/>
        <v>1.8152899666382489</v>
      </c>
      <c r="K24">
        <f t="shared" si="8"/>
        <v>-1.4186200000000007</v>
      </c>
      <c r="L24" s="5">
        <v>0.86</v>
      </c>
      <c r="M24">
        <f t="shared" si="9"/>
        <v>6.2650000000000006</v>
      </c>
    </row>
    <row r="25" spans="1:20" ht="16" thickBot="1" x14ac:dyDescent="0.4">
      <c r="H25" s="4">
        <v>40</v>
      </c>
      <c r="I25" s="5">
        <v>0.93</v>
      </c>
      <c r="J25">
        <f t="shared" si="7"/>
        <v>2.5866893440979433</v>
      </c>
      <c r="K25">
        <f t="shared" si="8"/>
        <v>-0.41258000000000106</v>
      </c>
      <c r="L25" s="5">
        <v>0.93</v>
      </c>
      <c r="M25">
        <f t="shared" si="9"/>
        <v>5.64</v>
      </c>
      <c r="P25" s="108">
        <f>(1.49993999- 0.08742157)/ 0.062</f>
        <v>22.782555161290318</v>
      </c>
    </row>
    <row r="26" spans="1:20" ht="15" thickBot="1" x14ac:dyDescent="0.4">
      <c r="H26" s="7">
        <v>46</v>
      </c>
      <c r="I26" s="8">
        <v>0.95</v>
      </c>
      <c r="J26">
        <f t="shared" si="7"/>
        <v>2.9444389791664394</v>
      </c>
      <c r="K26">
        <f t="shared" si="8"/>
        <v>0.44973999999999936</v>
      </c>
      <c r="L26" s="8">
        <v>0.95</v>
      </c>
      <c r="M26">
        <f>SUM(M19:M25)</f>
        <v>23.759999999999998</v>
      </c>
    </row>
    <row r="28" spans="1:20" x14ac:dyDescent="0.35">
      <c r="M28" t="s">
        <v>79</v>
      </c>
    </row>
    <row r="29" spans="1:20" x14ac:dyDescent="0.35">
      <c r="M29">
        <f>((0.01+0.05)*7/2)+((0.05+0.17)*5/2)+((0.17+0.36)*7/2)+((0.36+0.71)*7/2)+((0.71+0.86)*7/2)+((0.86+0.93)*7/2)+((0.93+0.95)*6/2)</f>
        <v>23.759999999999998</v>
      </c>
    </row>
    <row r="30" spans="1:20" ht="15" thickBot="1" x14ac:dyDescent="0.4">
      <c r="C30" t="s">
        <v>17</v>
      </c>
      <c r="D30" t="s">
        <v>18</v>
      </c>
    </row>
    <row r="31" spans="1:20" ht="30.5" thickBot="1" x14ac:dyDescent="0.4">
      <c r="A31" t="s">
        <v>35</v>
      </c>
      <c r="B31" s="14" t="s">
        <v>24</v>
      </c>
      <c r="C31" s="18" t="s">
        <v>16</v>
      </c>
      <c r="D31" t="s">
        <v>18</v>
      </c>
      <c r="F31" t="s">
        <v>38</v>
      </c>
      <c r="G31" t="s">
        <v>55</v>
      </c>
      <c r="L31" t="s">
        <v>56</v>
      </c>
    </row>
    <row r="32" spans="1:20" ht="15" thickBot="1" x14ac:dyDescent="0.4">
      <c r="A32" s="4">
        <v>0</v>
      </c>
      <c r="B32" s="5">
        <v>0.01</v>
      </c>
      <c r="C32">
        <f>LN(B32/(1-B32))</f>
        <v>-4.5951198501345898</v>
      </c>
      <c r="D32">
        <f>-LN(-LN(B32))</f>
        <v>-1.5271796258079011</v>
      </c>
      <c r="F32">
        <f>D33-D32</f>
        <v>0.42999092544295237</v>
      </c>
      <c r="G32">
        <f>F32/0.105</f>
        <v>4.0951516708852607</v>
      </c>
      <c r="I32">
        <f>(D33+1.74)/0.105</f>
        <v>6.122012377476679</v>
      </c>
      <c r="K32">
        <f>C33-C32</f>
        <v>1.6506808709681495</v>
      </c>
      <c r="L32">
        <f>K32/0.16</f>
        <v>10.316755443550935</v>
      </c>
    </row>
    <row r="33" spans="1:12" ht="15" thickBot="1" x14ac:dyDescent="0.4">
      <c r="A33" s="4">
        <v>7</v>
      </c>
      <c r="B33" s="5">
        <v>0.05</v>
      </c>
      <c r="C33">
        <f t="shared" ref="C33:C41" si="11">LN(B33/(1-B33))</f>
        <v>-2.9444389791664403</v>
      </c>
      <c r="D33">
        <f t="shared" ref="D33:D41" si="12">-LN(-LN(B33))</f>
        <v>-1.0971887003649488</v>
      </c>
      <c r="F33">
        <f t="shared" ref="F33:F40" si="13">D34-D33</f>
        <v>0.5251042040475804</v>
      </c>
      <c r="G33">
        <f t="shared" ref="G33:G39" si="14">F33/0.105</f>
        <v>5.0009924195007658</v>
      </c>
      <c r="K33">
        <f t="shared" ref="K33:K41" si="15">C34-C33</f>
        <v>1.3588117154260586</v>
      </c>
      <c r="L33">
        <f t="shared" ref="L33:L41" si="16">K33/0.16</f>
        <v>8.4925732214128669</v>
      </c>
    </row>
    <row r="34" spans="1:12" ht="15" thickBot="1" x14ac:dyDescent="0.4">
      <c r="A34" s="4">
        <v>12</v>
      </c>
      <c r="B34" s="5">
        <v>0.17</v>
      </c>
      <c r="C34">
        <f t="shared" si="11"/>
        <v>-1.5856272637403817</v>
      </c>
      <c r="D34">
        <f t="shared" si="12"/>
        <v>-0.57208449631736835</v>
      </c>
      <c r="F34">
        <f t="shared" si="13"/>
        <v>0.55066430784954501</v>
      </c>
      <c r="G34">
        <f t="shared" si="14"/>
        <v>5.2444219795194762</v>
      </c>
      <c r="K34">
        <f t="shared" si="15"/>
        <v>1.0102631188368199</v>
      </c>
      <c r="L34">
        <f t="shared" si="16"/>
        <v>6.314144492730124</v>
      </c>
    </row>
    <row r="35" spans="1:12" ht="15" thickBot="1" x14ac:dyDescent="0.4">
      <c r="A35" s="4">
        <v>19</v>
      </c>
      <c r="B35" s="5">
        <v>0.36</v>
      </c>
      <c r="C35">
        <f t="shared" si="11"/>
        <v>-0.5753641449035618</v>
      </c>
      <c r="D35">
        <f t="shared" si="12"/>
        <v>-2.1420188467823349E-2</v>
      </c>
      <c r="F35">
        <f t="shared" si="13"/>
        <v>1.0929321051939023</v>
      </c>
      <c r="G35">
        <f t="shared" si="14"/>
        <v>10.40887719232288</v>
      </c>
      <c r="K35">
        <f t="shared" si="15"/>
        <v>1.4707481919584031</v>
      </c>
      <c r="L35">
        <f t="shared" si="16"/>
        <v>9.19217619974002</v>
      </c>
    </row>
    <row r="36" spans="1:12" ht="15" thickBot="1" x14ac:dyDescent="0.4">
      <c r="A36" s="4">
        <v>26</v>
      </c>
      <c r="B36" s="5">
        <v>0.71</v>
      </c>
      <c r="C36">
        <f t="shared" si="11"/>
        <v>0.89538404705484131</v>
      </c>
      <c r="D36">
        <f t="shared" si="12"/>
        <v>1.0715119167260789</v>
      </c>
      <c r="F36">
        <f t="shared" si="13"/>
        <v>0.82013712951006701</v>
      </c>
      <c r="G36">
        <f t="shared" si="14"/>
        <v>7.8108298048577813</v>
      </c>
      <c r="H36" s="22" t="s">
        <v>53</v>
      </c>
      <c r="K36">
        <f t="shared" si="15"/>
        <v>0.91990591958340762</v>
      </c>
      <c r="L36">
        <f t="shared" si="16"/>
        <v>5.7494119973962974</v>
      </c>
    </row>
    <row r="37" spans="1:12" ht="15" thickBot="1" x14ac:dyDescent="0.4">
      <c r="A37" s="4">
        <v>33</v>
      </c>
      <c r="B37" s="5">
        <v>0.86</v>
      </c>
      <c r="C37">
        <f t="shared" si="11"/>
        <v>1.8152899666382489</v>
      </c>
      <c r="D37">
        <f t="shared" si="12"/>
        <v>1.8916490462361459</v>
      </c>
      <c r="F37">
        <f t="shared" si="13"/>
        <v>0.73154507237687549</v>
      </c>
      <c r="G37">
        <f t="shared" si="14"/>
        <v>6.9670959273988142</v>
      </c>
      <c r="K37">
        <f t="shared" si="15"/>
        <v>0.77139937745969434</v>
      </c>
      <c r="L37">
        <f t="shared" si="16"/>
        <v>4.8212461091230896</v>
      </c>
    </row>
    <row r="38" spans="1:12" ht="15" thickBot="1" x14ac:dyDescent="0.4">
      <c r="A38" s="4">
        <v>40</v>
      </c>
      <c r="B38" s="5">
        <v>0.93</v>
      </c>
      <c r="C38">
        <f t="shared" si="11"/>
        <v>2.5866893440979433</v>
      </c>
      <c r="D38">
        <f t="shared" si="12"/>
        <v>2.6231941186130214</v>
      </c>
      <c r="F38">
        <f>D39-D38</f>
        <v>0.34700113042914227</v>
      </c>
      <c r="G38">
        <f t="shared" si="14"/>
        <v>3.3047726707537359</v>
      </c>
      <c r="K38">
        <f t="shared" si="15"/>
        <v>0.35774963506849611</v>
      </c>
      <c r="L38">
        <f t="shared" si="16"/>
        <v>2.2359352191781006</v>
      </c>
    </row>
    <row r="39" spans="1:12" ht="15" thickBot="1" x14ac:dyDescent="0.4">
      <c r="A39" s="7">
        <v>46</v>
      </c>
      <c r="B39" s="5">
        <v>0.95</v>
      </c>
      <c r="C39">
        <f t="shared" si="11"/>
        <v>2.9444389791664394</v>
      </c>
      <c r="D39">
        <f t="shared" si="12"/>
        <v>2.9701952490421637</v>
      </c>
      <c r="F39">
        <f>D40-D39</f>
        <v>-4.9028399829582288</v>
      </c>
      <c r="G39">
        <f t="shared" si="14"/>
        <v>-46.693714123411702</v>
      </c>
      <c r="I39">
        <f>0.405*0.105</f>
        <v>4.2525E-2</v>
      </c>
      <c r="K39">
        <f t="shared" si="15"/>
        <v>-9.8511937578149933</v>
      </c>
      <c r="L39">
        <f t="shared" si="16"/>
        <v>-61.569960986343709</v>
      </c>
    </row>
    <row r="40" spans="1:12" x14ac:dyDescent="0.35">
      <c r="B40" s="23">
        <v>1E-3</v>
      </c>
      <c r="C40">
        <f t="shared" si="11"/>
        <v>-6.9067547786485539</v>
      </c>
      <c r="D40">
        <f>-LN(-LN(B40))</f>
        <v>-1.9326447339160655</v>
      </c>
      <c r="E40">
        <f>D41-D40</f>
        <v>0.40546510810816438</v>
      </c>
      <c r="F40">
        <f t="shared" si="13"/>
        <v>0.40546510810816438</v>
      </c>
      <c r="G40">
        <f>F40/0.105</f>
        <v>3.8615724581729944</v>
      </c>
      <c r="K40">
        <f t="shared" si="15"/>
        <v>2.3116349285139641</v>
      </c>
      <c r="L40">
        <f>K40/0.16</f>
        <v>14.447718303212275</v>
      </c>
    </row>
    <row r="41" spans="1:12" x14ac:dyDescent="0.35">
      <c r="B41" s="23">
        <v>0.01</v>
      </c>
      <c r="C41">
        <f t="shared" si="11"/>
        <v>-4.5951198501345898</v>
      </c>
      <c r="D41">
        <f t="shared" si="12"/>
        <v>-1.5271796258079011</v>
      </c>
      <c r="F41">
        <f>D42-D41</f>
        <v>1.5271796258079011</v>
      </c>
      <c r="G41">
        <f>F41/0.105</f>
        <v>14.544567864837154</v>
      </c>
      <c r="K41">
        <f t="shared" si="15"/>
        <v>4.5951198501345898</v>
      </c>
      <c r="L41">
        <f t="shared" si="16"/>
        <v>28.719499063341186</v>
      </c>
    </row>
    <row r="42" spans="1:12" x14ac:dyDescent="0.35">
      <c r="I42">
        <f>0.405/0.105</f>
        <v>3.8571428571428577</v>
      </c>
    </row>
    <row r="44" spans="1:12" x14ac:dyDescent="0.35">
      <c r="C44">
        <f>(-1.5+1.93)/0.105</f>
        <v>4.0952380952380949</v>
      </c>
      <c r="E44">
        <f>D41-D40</f>
        <v>0.40546510810816438</v>
      </c>
    </row>
    <row r="45" spans="1:12" x14ac:dyDescent="0.35">
      <c r="E45">
        <f>E44/0.105</f>
        <v>3.8615724581729944</v>
      </c>
      <c r="H45" s="41" t="s">
        <v>78</v>
      </c>
    </row>
    <row r="46" spans="1:12" x14ac:dyDescent="0.35">
      <c r="E46">
        <f>0.4/0.105</f>
        <v>3.8095238095238098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84F9-C268-4BF8-9611-E2C4DE675DA2}">
  <dimension ref="A1:G12"/>
  <sheetViews>
    <sheetView workbookViewId="0">
      <selection activeCell="G13" sqref="G13"/>
    </sheetView>
  </sheetViews>
  <sheetFormatPr defaultRowHeight="14.5" x14ac:dyDescent="0.35"/>
  <cols>
    <col min="4" max="4" width="11.81640625" bestFit="1" customWidth="1"/>
  </cols>
  <sheetData>
    <row r="1" spans="1:7" ht="15" thickBot="1" x14ac:dyDescent="0.4">
      <c r="A1" s="24"/>
      <c r="B1" s="25" t="s">
        <v>57</v>
      </c>
      <c r="C1" s="25" t="s">
        <v>58</v>
      </c>
      <c r="D1" s="26" t="s">
        <v>59</v>
      </c>
      <c r="E1" s="25" t="s">
        <v>60</v>
      </c>
      <c r="F1" s="25" t="s">
        <v>61</v>
      </c>
    </row>
    <row r="2" spans="1:7" ht="15" thickBot="1" x14ac:dyDescent="0.4">
      <c r="A2" s="27" t="s">
        <v>62</v>
      </c>
      <c r="B2" s="28">
        <v>93.99</v>
      </c>
      <c r="C2" s="29">
        <v>0.97019999999999995</v>
      </c>
      <c r="D2" s="28">
        <v>98.97</v>
      </c>
      <c r="E2" s="29">
        <v>0.78769999999999996</v>
      </c>
      <c r="F2" s="29">
        <v>0.93279999999999996</v>
      </c>
    </row>
    <row r="3" spans="1:7" ht="15" thickBot="1" x14ac:dyDescent="0.4">
      <c r="A3" s="27" t="s">
        <v>63</v>
      </c>
      <c r="B3" s="30">
        <v>9.7199999999999995E-3</v>
      </c>
      <c r="C3" s="30">
        <v>0.25700000000000001</v>
      </c>
      <c r="D3" s="30">
        <v>3.56E-2</v>
      </c>
      <c r="E3" s="28">
        <v>0.58699999999999997</v>
      </c>
      <c r="F3" s="30">
        <v>9.8610000000000003E-2</v>
      </c>
    </row>
    <row r="4" spans="1:7" x14ac:dyDescent="0.35">
      <c r="A4" t="s">
        <v>64</v>
      </c>
      <c r="B4">
        <f>SQRT(B3)</f>
        <v>9.8590060350929903E-2</v>
      </c>
      <c r="C4">
        <f t="shared" ref="C4:F4" si="0">SQRT(C3)</f>
        <v>0.50695167422546306</v>
      </c>
      <c r="D4">
        <f t="shared" si="0"/>
        <v>0.18867962264113208</v>
      </c>
      <c r="E4">
        <f t="shared" si="0"/>
        <v>0.76615925237511817</v>
      </c>
      <c r="F4">
        <f t="shared" si="0"/>
        <v>0.3140222922023212</v>
      </c>
    </row>
    <row r="5" spans="1:7" x14ac:dyDescent="0.35">
      <c r="A5" s="31" t="s">
        <v>65</v>
      </c>
      <c r="D5" s="22">
        <v>0.10534300000000001</v>
      </c>
    </row>
    <row r="6" spans="1:7" ht="17" x14ac:dyDescent="0.45">
      <c r="D6" s="32">
        <f>0.0240984*2.45*0.0985682</f>
        <v>5.8195729816559998E-3</v>
      </c>
    </row>
    <row r="7" spans="1:7" x14ac:dyDescent="0.35">
      <c r="D7" s="33">
        <f>0.0165142*2.78*0.0792869</f>
        <v>3.6400200326643997E-3</v>
      </c>
    </row>
    <row r="8" spans="1:7" x14ac:dyDescent="0.35">
      <c r="D8" s="34">
        <f>0.105343*2.45*0.188691</f>
        <v>4.8699326231850006E-2</v>
      </c>
    </row>
    <row r="9" spans="1:7" x14ac:dyDescent="0.35">
      <c r="D9" s="35"/>
    </row>
    <row r="10" spans="1:7" ht="15" x14ac:dyDescent="0.35">
      <c r="D10" s="36">
        <f>0.14372*2.78*0.299599</f>
        <v>0.11970226381839999</v>
      </c>
      <c r="F10" s="22" t="s">
        <v>66</v>
      </c>
    </row>
    <row r="12" spans="1:7" x14ac:dyDescent="0.35">
      <c r="G12">
        <f>0.0165/0.079</f>
        <v>0.20886075949367089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4866-13A8-4F6F-A48B-889B8A2BFE11}">
  <dimension ref="A1:R42"/>
  <sheetViews>
    <sheetView workbookViewId="0">
      <selection activeCell="L43" sqref="L43"/>
    </sheetView>
  </sheetViews>
  <sheetFormatPr defaultRowHeight="14.5" x14ac:dyDescent="0.35"/>
  <cols>
    <col min="7" max="7" width="8.7265625" customWidth="1"/>
    <col min="8" max="8" width="14" customWidth="1"/>
    <col min="9" max="9" width="11.1796875" customWidth="1"/>
    <col min="10" max="10" width="14" customWidth="1"/>
    <col min="11" max="11" width="18.81640625" customWidth="1"/>
    <col min="12" max="12" width="15.81640625" customWidth="1"/>
    <col min="17" max="17" width="11.6328125" customWidth="1"/>
  </cols>
  <sheetData>
    <row r="1" spans="1:18" ht="15" thickBot="1" x14ac:dyDescent="0.4">
      <c r="A1" s="87" t="s">
        <v>102</v>
      </c>
      <c r="B1" s="66"/>
      <c r="C1" s="89" t="s">
        <v>103</v>
      </c>
      <c r="D1" s="91" t="s">
        <v>69</v>
      </c>
      <c r="E1" s="92"/>
      <c r="F1" s="92"/>
      <c r="G1" s="92"/>
      <c r="H1" s="92"/>
      <c r="I1" s="93"/>
      <c r="J1" s="94" t="s">
        <v>96</v>
      </c>
      <c r="K1" s="95"/>
      <c r="L1" s="95"/>
      <c r="M1" s="95"/>
      <c r="N1" s="95"/>
      <c r="O1" s="96"/>
    </row>
    <row r="2" spans="1:18" ht="42.5" thickBot="1" x14ac:dyDescent="0.4">
      <c r="A2" s="99"/>
      <c r="B2" s="57" t="s">
        <v>104</v>
      </c>
      <c r="C2" s="100"/>
      <c r="D2" s="57" t="s">
        <v>117</v>
      </c>
      <c r="E2" s="57" t="s">
        <v>114</v>
      </c>
      <c r="F2" s="57" t="s">
        <v>107</v>
      </c>
      <c r="G2" s="57" t="s">
        <v>105</v>
      </c>
      <c r="H2" s="58" t="s">
        <v>115</v>
      </c>
      <c r="I2" s="58" t="s">
        <v>115</v>
      </c>
      <c r="J2" s="97" t="s">
        <v>109</v>
      </c>
      <c r="K2" s="98"/>
      <c r="L2" t="s">
        <v>113</v>
      </c>
    </row>
    <row r="3" spans="1:18" ht="15" thickBot="1" x14ac:dyDescent="0.4">
      <c r="A3" s="60" t="s">
        <v>110</v>
      </c>
      <c r="B3" s="61">
        <v>6</v>
      </c>
      <c r="C3" s="61">
        <v>2.4500000000000002</v>
      </c>
      <c r="D3" s="61">
        <v>-1.74</v>
      </c>
      <c r="E3" s="61">
        <v>0.12</v>
      </c>
      <c r="F3" s="63">
        <v>0.10534</v>
      </c>
      <c r="G3" s="63">
        <v>4.0000000000000001E-3</v>
      </c>
      <c r="H3" s="64">
        <f>SQRT((E3/6)^2)</f>
        <v>0.02</v>
      </c>
      <c r="I3" s="64"/>
      <c r="J3" s="65">
        <f>F3+H3*C3</f>
        <v>0.15434</v>
      </c>
      <c r="K3" s="65">
        <f>F3-H3*C3</f>
        <v>5.6340000000000001E-2</v>
      </c>
      <c r="L3">
        <f>H3/B3</f>
        <v>3.3333333333333335E-3</v>
      </c>
      <c r="M3">
        <f>L3^2</f>
        <v>1.1111111111111113E-5</v>
      </c>
      <c r="N3">
        <f>SQRT(M3)</f>
        <v>3.3333333333333335E-3</v>
      </c>
    </row>
    <row r="4" spans="1:18" ht="15" thickBot="1" x14ac:dyDescent="0.4">
      <c r="A4" s="60" t="s">
        <v>111</v>
      </c>
      <c r="B4" s="61">
        <v>4</v>
      </c>
      <c r="C4" s="61">
        <v>2.78</v>
      </c>
      <c r="D4" s="61">
        <v>-2.3792</v>
      </c>
      <c r="E4" s="61">
        <v>0.17813000000000001</v>
      </c>
      <c r="F4" s="61">
        <v>6.1990000000000003E-2</v>
      </c>
      <c r="G4" s="61">
        <v>5.64E-3</v>
      </c>
      <c r="H4" s="64">
        <f>SQRT((E4/6)^2)</f>
        <v>2.9688333333333334E-2</v>
      </c>
      <c r="I4" s="64">
        <v>0.82499999999999996</v>
      </c>
      <c r="J4" s="65">
        <f>F4+H4*C4</f>
        <v>0.14452356666666666</v>
      </c>
      <c r="K4" s="65">
        <f>F4-H4*C4</f>
        <v>-2.0543566666666666E-2</v>
      </c>
      <c r="L4">
        <f>H4/B4</f>
        <v>7.4220833333333335E-3</v>
      </c>
      <c r="M4">
        <f>L4^2</f>
        <v>5.5087321006944445E-5</v>
      </c>
      <c r="N4">
        <f>SQRT(M4)</f>
        <v>7.4220833333333335E-3</v>
      </c>
    </row>
    <row r="6" spans="1:18" x14ac:dyDescent="0.35">
      <c r="Q6">
        <v>6.5000000000000002E-2</v>
      </c>
    </row>
    <row r="7" spans="1:18" x14ac:dyDescent="0.35">
      <c r="M7">
        <v>0.04</v>
      </c>
    </row>
    <row r="8" spans="1:18" x14ac:dyDescent="0.35">
      <c r="A8" t="s">
        <v>70</v>
      </c>
    </row>
    <row r="9" spans="1:18" ht="15" thickBot="1" x14ac:dyDescent="0.4"/>
    <row r="10" spans="1:18" ht="15" thickBot="1" x14ac:dyDescent="0.4">
      <c r="A10" s="87" t="s">
        <v>102</v>
      </c>
      <c r="B10" s="66"/>
      <c r="C10" s="89" t="s">
        <v>103</v>
      </c>
      <c r="D10" s="91" t="s">
        <v>69</v>
      </c>
      <c r="E10" s="92"/>
      <c r="F10" s="92"/>
      <c r="G10" s="92"/>
      <c r="H10" s="92"/>
      <c r="I10" s="93"/>
      <c r="J10" s="94" t="s">
        <v>96</v>
      </c>
      <c r="K10" s="95"/>
      <c r="L10" s="95"/>
      <c r="M10" s="95"/>
      <c r="N10" s="95"/>
      <c r="O10" s="96"/>
      <c r="Q10" s="101" t="s">
        <v>96</v>
      </c>
      <c r="R10" s="101"/>
    </row>
    <row r="11" spans="1:18" ht="58.5" customHeight="1" thickBot="1" x14ac:dyDescent="0.4">
      <c r="A11" s="99"/>
      <c r="B11" s="57" t="s">
        <v>104</v>
      </c>
      <c r="C11" s="100"/>
      <c r="D11" s="57" t="s">
        <v>117</v>
      </c>
      <c r="E11" s="57" t="s">
        <v>114</v>
      </c>
      <c r="F11" s="57" t="s">
        <v>107</v>
      </c>
      <c r="G11" s="57" t="s">
        <v>105</v>
      </c>
      <c r="H11" s="58" t="s">
        <v>115</v>
      </c>
      <c r="I11" t="s">
        <v>116</v>
      </c>
      <c r="J11" s="97" t="s">
        <v>99</v>
      </c>
      <c r="K11" s="98"/>
    </row>
    <row r="12" spans="1:18" ht="15" thickBot="1" x14ac:dyDescent="0.4">
      <c r="A12" s="60" t="s">
        <v>110</v>
      </c>
      <c r="B12" s="61">
        <v>6</v>
      </c>
      <c r="C12" s="61">
        <v>2.4500000000000002</v>
      </c>
      <c r="D12" s="61">
        <v>-1.74</v>
      </c>
      <c r="E12" s="61">
        <v>0.12</v>
      </c>
      <c r="F12" s="63">
        <v>0.10534</v>
      </c>
      <c r="G12" s="63">
        <v>4.0000000000000001E-3</v>
      </c>
      <c r="H12" s="64">
        <f>SQRT((E12/6)^2)</f>
        <v>0.02</v>
      </c>
      <c r="I12">
        <f>SQRT(G12/B12)^2</f>
        <v>6.6666666666666664E-4</v>
      </c>
      <c r="J12">
        <f>F12+I12*C12</f>
        <v>0.10697333333333334</v>
      </c>
      <c r="K12">
        <f>F12-I12*C12</f>
        <v>0.10370666666666667</v>
      </c>
    </row>
    <row r="13" spans="1:18" ht="15" thickBot="1" x14ac:dyDescent="0.4">
      <c r="A13" s="60" t="s">
        <v>111</v>
      </c>
      <c r="B13" s="61">
        <v>4</v>
      </c>
      <c r="C13" s="61">
        <v>2.78</v>
      </c>
      <c r="D13" s="61">
        <v>-2.3792</v>
      </c>
      <c r="E13" s="61">
        <v>0.17813000000000001</v>
      </c>
      <c r="F13" s="61">
        <v>6.1990000000000003E-2</v>
      </c>
      <c r="G13" s="61">
        <v>5.64E-3</v>
      </c>
      <c r="H13" s="64">
        <f>SQRT((E13/6)^2)</f>
        <v>2.9688333333333334E-2</v>
      </c>
      <c r="I13">
        <f>SQRT(G13/B13)^2</f>
        <v>1.4100000000000002E-3</v>
      </c>
      <c r="J13">
        <f>F13+I13*C13</f>
        <v>6.5909800000000004E-2</v>
      </c>
      <c r="K13">
        <f>F13-I13*C13</f>
        <v>5.8070200000000002E-2</v>
      </c>
    </row>
    <row r="15" spans="1:18" ht="15" thickBot="1" x14ac:dyDescent="0.4">
      <c r="F15" t="s">
        <v>50</v>
      </c>
      <c r="G15" t="s">
        <v>118</v>
      </c>
    </row>
    <row r="16" spans="1:18" ht="15" thickBot="1" x14ac:dyDescent="0.4">
      <c r="B16" s="67">
        <v>0.15434</v>
      </c>
      <c r="C16" s="68">
        <v>0.106973333</v>
      </c>
      <c r="D16" s="68">
        <v>0.103706667</v>
      </c>
      <c r="E16" s="69">
        <v>5.6340000000000001E-2</v>
      </c>
      <c r="F16">
        <f>1/(1+EXP(-B16))</f>
        <v>0.53850858810256219</v>
      </c>
      <c r="G16">
        <f>EXP(-EXP(-B16))</f>
        <v>0.42444170960859845</v>
      </c>
      <c r="H16" s="72">
        <v>0.42444169999999998</v>
      </c>
      <c r="J16" s="67">
        <v>0.15434</v>
      </c>
      <c r="K16">
        <f>EXP(-EXP(-J16))</f>
        <v>0.42444170960859845</v>
      </c>
      <c r="L16">
        <v>0.40715976226100831</v>
      </c>
      <c r="M16">
        <v>0.40596444572629298</v>
      </c>
      <c r="N16">
        <v>0.38859496175929659</v>
      </c>
    </row>
    <row r="17" spans="2:14" ht="15" thickBot="1" x14ac:dyDescent="0.4">
      <c r="B17" s="70">
        <v>0.14452356699999999</v>
      </c>
      <c r="C17" s="71">
        <v>6.5909800000000004E-2</v>
      </c>
      <c r="D17" s="71">
        <v>5.8070200000000002E-2</v>
      </c>
      <c r="E17" s="65">
        <v>-2.0543566999999999E-2</v>
      </c>
      <c r="F17">
        <f t="shared" ref="F17" si="0">1/(1+EXP(-B17))</f>
        <v>0.53606813381669838</v>
      </c>
      <c r="G17">
        <f t="shared" ref="G17:G20" si="1">EXP(-EXP(-B17))</f>
        <v>0.42086863853649881</v>
      </c>
      <c r="J17" s="70">
        <v>0.14452356699999999</v>
      </c>
      <c r="K17">
        <f t="shared" ref="K17:K23" si="2">EXP(-EXP(-J17))</f>
        <v>0.42086863853649881</v>
      </c>
      <c r="L17">
        <v>0.39210904294187854</v>
      </c>
      <c r="M17">
        <v>0.38923044563477871</v>
      </c>
      <c r="N17">
        <v>0.36032241952740135</v>
      </c>
    </row>
    <row r="18" spans="2:14" ht="15" thickBot="1" x14ac:dyDescent="0.4">
      <c r="G18">
        <f t="shared" si="1"/>
        <v>0.36787944117144233</v>
      </c>
      <c r="J18" s="68">
        <v>0.106973333</v>
      </c>
      <c r="K18">
        <f t="shared" si="2"/>
        <v>0.40715976226100831</v>
      </c>
    </row>
    <row r="19" spans="2:14" ht="15" thickBot="1" x14ac:dyDescent="0.4">
      <c r="E19" s="67">
        <v>0.15434</v>
      </c>
      <c r="G19">
        <f t="shared" si="1"/>
        <v>0.36787944117144233</v>
      </c>
      <c r="J19" s="71">
        <v>6.5909800000000004E-2</v>
      </c>
      <c r="K19">
        <f t="shared" si="2"/>
        <v>0.39210904294187854</v>
      </c>
      <c r="L19">
        <f>(1.49993999+ 0.08742157)/ 0.0619865</f>
        <v>25.608181781516944</v>
      </c>
    </row>
    <row r="20" spans="2:14" ht="15" thickBot="1" x14ac:dyDescent="0.4">
      <c r="E20" s="70">
        <v>0.14452356699999999</v>
      </c>
      <c r="G20">
        <f t="shared" si="1"/>
        <v>0.36787944117144233</v>
      </c>
      <c r="J20" s="68">
        <v>0.103706667</v>
      </c>
      <c r="K20">
        <f t="shared" si="2"/>
        <v>0.40596444572629298</v>
      </c>
      <c r="L20">
        <f>(1.5-0.087)/ 0.062</f>
        <v>22.790322580645164</v>
      </c>
    </row>
    <row r="21" spans="2:14" ht="15" thickBot="1" x14ac:dyDescent="0.4">
      <c r="J21" s="71">
        <v>5.8070200000000002E-2</v>
      </c>
      <c r="K21">
        <f t="shared" si="2"/>
        <v>0.38923044563477871</v>
      </c>
      <c r="L21">
        <f>0.405/0.105</f>
        <v>3.8571428571428577</v>
      </c>
    </row>
    <row r="22" spans="2:14" ht="15" thickBot="1" x14ac:dyDescent="0.4">
      <c r="J22" s="69">
        <v>5.6340000000000001E-2</v>
      </c>
      <c r="K22">
        <f t="shared" si="2"/>
        <v>0.38859496175929659</v>
      </c>
    </row>
    <row r="23" spans="2:14" ht="15" thickBot="1" x14ac:dyDescent="0.4">
      <c r="J23" s="65">
        <v>-2.0543566999999999E-2</v>
      </c>
      <c r="K23">
        <f t="shared" si="2"/>
        <v>0.36032241952740135</v>
      </c>
    </row>
    <row r="29" spans="2:14" x14ac:dyDescent="0.35">
      <c r="H29" s="73"/>
      <c r="J29" s="74" t="s">
        <v>120</v>
      </c>
      <c r="K29" s="74">
        <f>0.10534+2.45*0.0043</f>
        <v>0.11587500000000001</v>
      </c>
    </row>
    <row r="30" spans="2:14" x14ac:dyDescent="0.35">
      <c r="J30" s="74" t="s">
        <v>119</v>
      </c>
      <c r="K30" s="74">
        <f>0.10534- 2.45*0.0043</f>
        <v>9.4805E-2</v>
      </c>
    </row>
    <row r="31" spans="2:14" x14ac:dyDescent="0.35">
      <c r="H31" s="73"/>
      <c r="J31" s="73" t="s">
        <v>121</v>
      </c>
      <c r="K31" s="73">
        <f>0.06199+ 2.78*0.00564</f>
        <v>7.7669199999999994E-2</v>
      </c>
    </row>
    <row r="32" spans="2:14" x14ac:dyDescent="0.35">
      <c r="J32" s="73" t="s">
        <v>122</v>
      </c>
      <c r="K32" s="73">
        <f>0.06199- 2.78*0.00564</f>
        <v>4.6310800000000006E-2</v>
      </c>
    </row>
    <row r="35" spans="8:12" x14ac:dyDescent="0.35">
      <c r="H35" s="73"/>
      <c r="J35" s="73" t="s">
        <v>123</v>
      </c>
      <c r="K35" s="73">
        <f>-1.74+2.45*0.12</f>
        <v>-1.446</v>
      </c>
      <c r="L35">
        <f>EXP(-EXP(-K35))</f>
        <v>1.4320028652245896E-2</v>
      </c>
    </row>
    <row r="36" spans="8:12" x14ac:dyDescent="0.35">
      <c r="H36" s="73"/>
      <c r="J36" s="73">
        <f>-1.74-2.45*0.12</f>
        <v>-2.0339999999999998</v>
      </c>
      <c r="K36" s="73">
        <f>-1.74-2.45*0.12</f>
        <v>-2.0339999999999998</v>
      </c>
      <c r="L36">
        <f>EXP(-EXP(-K36))</f>
        <v>4.7861995051500905E-4</v>
      </c>
    </row>
    <row r="37" spans="8:12" x14ac:dyDescent="0.35">
      <c r="L37">
        <f t="shared" ref="L37:L39" si="3">EXP(-EXP(-K37))</f>
        <v>0.36787944117144233</v>
      </c>
    </row>
    <row r="38" spans="8:12" x14ac:dyDescent="0.35">
      <c r="J38" s="73" t="s">
        <v>124</v>
      </c>
      <c r="K38" s="73">
        <f>-2.3792+2.78* 0.17813</f>
        <v>-1.8839986</v>
      </c>
      <c r="L38">
        <f t="shared" si="3"/>
        <v>1.3881794090924065E-3</v>
      </c>
    </row>
    <row r="39" spans="8:12" x14ac:dyDescent="0.35">
      <c r="J39" s="73" t="s">
        <v>124</v>
      </c>
      <c r="K39" s="73">
        <f>-2.3792-2.78* 0.17813</f>
        <v>-2.8744014</v>
      </c>
      <c r="L39">
        <f t="shared" si="3"/>
        <v>2.0255958137602484E-8</v>
      </c>
    </row>
    <row r="42" spans="8:12" x14ac:dyDescent="0.35">
      <c r="K42">
        <v>-2.8744000000000001</v>
      </c>
    </row>
  </sheetData>
  <mergeCells count="11">
    <mergeCell ref="J11:K11"/>
    <mergeCell ref="Q10:R10"/>
    <mergeCell ref="A10:A11"/>
    <mergeCell ref="C10:C11"/>
    <mergeCell ref="D10:I10"/>
    <mergeCell ref="J10:O10"/>
    <mergeCell ref="A1:A2"/>
    <mergeCell ref="C1:C2"/>
    <mergeCell ref="D1:I1"/>
    <mergeCell ref="J1:O1"/>
    <mergeCell ref="J2:K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ECF3-8F68-4BF6-9E14-1D305F5A3B89}">
  <dimension ref="A1:L16"/>
  <sheetViews>
    <sheetView workbookViewId="0">
      <selection activeCell="J17" sqref="J17"/>
    </sheetView>
  </sheetViews>
  <sheetFormatPr defaultRowHeight="14.5" x14ac:dyDescent="0.35"/>
  <cols>
    <col min="1" max="1" width="10" customWidth="1"/>
    <col min="10" max="10" width="11.81640625" bestFit="1" customWidth="1"/>
  </cols>
  <sheetData>
    <row r="1" spans="1:12" ht="15.5" thickBot="1" x14ac:dyDescent="0.4">
      <c r="A1" s="14" t="s">
        <v>9</v>
      </c>
      <c r="B1" s="15" t="s">
        <v>10</v>
      </c>
      <c r="C1" s="15" t="s">
        <v>11</v>
      </c>
      <c r="D1" s="15" t="s">
        <v>12</v>
      </c>
      <c r="E1" s="15" t="s">
        <v>13</v>
      </c>
    </row>
    <row r="2" spans="1:12" ht="16" thickBot="1" x14ac:dyDescent="0.4">
      <c r="A2" s="16">
        <v>1E-10</v>
      </c>
      <c r="B2" s="17">
        <v>-23.0259</v>
      </c>
      <c r="C2" s="17">
        <v>1E-10</v>
      </c>
      <c r="D2" s="17">
        <v>-23.0259</v>
      </c>
      <c r="E2" s="17">
        <v>-3.1366200000000002</v>
      </c>
    </row>
    <row r="3" spans="1:12" ht="16" thickBot="1" x14ac:dyDescent="0.4">
      <c r="A3" s="16">
        <v>1.0000000000000001E-9</v>
      </c>
      <c r="B3" s="17">
        <v>-20.723299999999998</v>
      </c>
      <c r="C3" s="17">
        <v>1.0000000000000001E-9</v>
      </c>
      <c r="D3" s="17">
        <v>-20.723299999999998</v>
      </c>
      <c r="E3" s="17">
        <v>-3.0312600000000001</v>
      </c>
    </row>
    <row r="4" spans="1:12" ht="16" thickBot="1" x14ac:dyDescent="0.4">
      <c r="A4" s="16">
        <v>1E-8</v>
      </c>
      <c r="B4" s="17">
        <v>-18.4207</v>
      </c>
      <c r="C4" s="17">
        <v>1E-8</v>
      </c>
      <c r="D4" s="17">
        <v>-18.4207</v>
      </c>
      <c r="E4" s="17">
        <v>-2.9134699999999998</v>
      </c>
    </row>
    <row r="5" spans="1:12" ht="16" thickBot="1" x14ac:dyDescent="0.4">
      <c r="A5" s="16">
        <v>9.9999999999999995E-8</v>
      </c>
      <c r="B5" s="17">
        <v>-16.118099999999998</v>
      </c>
      <c r="C5" s="17">
        <v>9.9999999999999995E-8</v>
      </c>
      <c r="D5" s="17">
        <v>-16.118099999999998</v>
      </c>
      <c r="E5" s="17">
        <v>-2.7799399999999999</v>
      </c>
    </row>
    <row r="6" spans="1:12" ht="16" thickBot="1" x14ac:dyDescent="0.4">
      <c r="A6" s="16">
        <v>9.9999999999999995E-7</v>
      </c>
      <c r="B6" s="17">
        <v>-13.8155</v>
      </c>
      <c r="C6" s="17">
        <v>9.9999999999999995E-7</v>
      </c>
      <c r="D6" s="17">
        <v>-13.8155</v>
      </c>
      <c r="E6" s="17">
        <v>-2.6257899999999998</v>
      </c>
    </row>
    <row r="7" spans="1:12" ht="16" thickBot="1" x14ac:dyDescent="0.4">
      <c r="A7" s="16">
        <v>1.0000000000000001E-5</v>
      </c>
      <c r="B7" s="17">
        <v>-11.5129</v>
      </c>
      <c r="C7" s="17">
        <v>1.0000099999999999E-5</v>
      </c>
      <c r="D7" s="17">
        <v>-11.5129</v>
      </c>
      <c r="E7" s="17">
        <v>-2.44347</v>
      </c>
      <c r="I7" t="s">
        <v>19</v>
      </c>
    </row>
    <row r="8" spans="1:12" ht="16" thickBot="1" x14ac:dyDescent="0.4">
      <c r="A8" s="16">
        <v>1E-4</v>
      </c>
      <c r="B8" s="17">
        <v>-9.2103000000000002</v>
      </c>
      <c r="C8" s="17">
        <v>1.00005E-4</v>
      </c>
      <c r="D8" s="17">
        <v>-9.2102000000000004</v>
      </c>
      <c r="E8" s="17">
        <v>-2.2203300000000001</v>
      </c>
      <c r="I8" t="s">
        <v>17</v>
      </c>
      <c r="J8" t="s">
        <v>18</v>
      </c>
      <c r="K8" t="s">
        <v>21</v>
      </c>
      <c r="L8" t="s">
        <v>22</v>
      </c>
    </row>
    <row r="9" spans="1:12" ht="15.5" thickBot="1" x14ac:dyDescent="0.4">
      <c r="H9" s="14" t="s">
        <v>9</v>
      </c>
      <c r="I9" s="18" t="s">
        <v>16</v>
      </c>
      <c r="J9" t="s">
        <v>18</v>
      </c>
      <c r="K9" t="s">
        <v>20</v>
      </c>
      <c r="L9" t="s">
        <v>23</v>
      </c>
    </row>
    <row r="10" spans="1:12" ht="16" thickBot="1" x14ac:dyDescent="0.4">
      <c r="H10" s="16">
        <v>1E-10</v>
      </c>
      <c r="I10">
        <f>LN(H10/(1-H10))</f>
        <v>-23.025850929840455</v>
      </c>
      <c r="J10">
        <f>-LN(-LN(H10))</f>
        <v>-3.1366175382420014</v>
      </c>
      <c r="K10">
        <f>LN(H10)</f>
        <v>-23.025850929940457</v>
      </c>
      <c r="L10">
        <f>LN(1/(1-H10))</f>
        <v>1.000000082690371E-10</v>
      </c>
    </row>
    <row r="11" spans="1:12" ht="16" thickBot="1" x14ac:dyDescent="0.4">
      <c r="H11" s="16">
        <v>1.0000000000000001E-9</v>
      </c>
      <c r="I11">
        <f t="shared" ref="I11:I16" si="0">LN(H11/(1-H11))</f>
        <v>-20.72326583594641</v>
      </c>
      <c r="J11">
        <f t="shared" ref="J11:J16" si="1">-LN(-LN(H11))</f>
        <v>-3.0312570225841751</v>
      </c>
      <c r="K11">
        <f t="shared" ref="K11:K16" si="2">LN(H11)</f>
        <v>-20.72326583694641</v>
      </c>
      <c r="L11">
        <f t="shared" ref="L11:L16" si="3">LN(1/(1-H11))</f>
        <v>1.0000000822403709E-9</v>
      </c>
    </row>
    <row r="12" spans="1:12" ht="16" thickBot="1" x14ac:dyDescent="0.4">
      <c r="H12" s="16">
        <v>1E-8</v>
      </c>
      <c r="I12">
        <f t="shared" si="0"/>
        <v>-18.420680733952366</v>
      </c>
      <c r="J12">
        <f t="shared" si="1"/>
        <v>-2.9134739869277917</v>
      </c>
      <c r="K12">
        <f t="shared" si="2"/>
        <v>-18.420680743952367</v>
      </c>
      <c r="L12">
        <f t="shared" si="3"/>
        <v>1.0000000111269894E-8</v>
      </c>
    </row>
    <row r="13" spans="1:12" ht="16" thickBot="1" x14ac:dyDescent="0.4">
      <c r="H13" s="16">
        <v>9.9999999999999995E-8</v>
      </c>
      <c r="I13">
        <f t="shared" si="0"/>
        <v>-16.118095550958316</v>
      </c>
      <c r="J13">
        <f t="shared" si="1"/>
        <v>-2.779942594303269</v>
      </c>
      <c r="K13">
        <f t="shared" si="2"/>
        <v>-16.11809565095832</v>
      </c>
      <c r="L13">
        <f t="shared" si="3"/>
        <v>1.0000000505039327E-7</v>
      </c>
    </row>
    <row r="14" spans="1:12" ht="16" thickBot="1" x14ac:dyDescent="0.4">
      <c r="H14" s="16">
        <v>9.9999999999999995E-7</v>
      </c>
      <c r="I14">
        <f t="shared" si="0"/>
        <v>-13.815509557963773</v>
      </c>
      <c r="J14">
        <f t="shared" si="1"/>
        <v>-2.6257919144760109</v>
      </c>
      <c r="K14">
        <f t="shared" si="2"/>
        <v>-13.815510557964274</v>
      </c>
      <c r="L14">
        <f t="shared" si="3"/>
        <v>1.0000005000059672E-6</v>
      </c>
    </row>
    <row r="15" spans="1:12" ht="16" thickBot="1" x14ac:dyDescent="0.4">
      <c r="H15" s="16">
        <v>1.0000000000000001E-5</v>
      </c>
      <c r="I15">
        <f t="shared" si="0"/>
        <v>-11.512915464920228</v>
      </c>
      <c r="J15">
        <f t="shared" si="1"/>
        <v>-2.443470357682056</v>
      </c>
      <c r="K15">
        <f t="shared" si="2"/>
        <v>-11.512925464970229</v>
      </c>
      <c r="L15">
        <f t="shared" si="3"/>
        <v>1.000005000029529E-5</v>
      </c>
    </row>
    <row r="16" spans="1:12" ht="16" thickBot="1" x14ac:dyDescent="0.4">
      <c r="H16" s="16">
        <v>1E-4</v>
      </c>
      <c r="I16">
        <f t="shared" si="0"/>
        <v>-9.2102403669758495</v>
      </c>
      <c r="J16">
        <f t="shared" si="1"/>
        <v>-2.2203268063678463</v>
      </c>
      <c r="K16">
        <f t="shared" si="2"/>
        <v>-9.2103403719761818</v>
      </c>
      <c r="L16">
        <f t="shared" si="3"/>
        <v>1.0000500033327544E-4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Sheet4</vt:lpstr>
      <vt:lpstr>confeidence interval</vt:lpstr>
      <vt:lpstr>Sheet6</vt:lpstr>
      <vt:lpstr>predicted value AUDPC</vt:lpstr>
      <vt:lpstr>Sheet3</vt:lpstr>
      <vt:lpstr>Sheet7</vt:lpstr>
      <vt:lpstr>Sheet2</vt:lpstr>
      <vt:lpstr>'confeidence interval'!_Hlk507513311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2018-03-04T21:58:00Z</dcterms:modified>
</cp:coreProperties>
</file>