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\OneDrive\Documenten\Master BFW jaar 1\Reseach project 1\Ground truth masks\20x magnified (20200124_FUCCI_DDR_Modelling)\"/>
    </mc:Choice>
  </mc:AlternateContent>
  <xr:revisionPtr revIDLastSave="0" documentId="13_ncr:1_{842F8B9B-D0A4-41A5-BE13-2F753B4ED78C}" xr6:coauthVersionLast="47" xr6:coauthVersionMax="47" xr10:uidLastSave="{00000000-0000-0000-0000-000000000000}"/>
  <bookViews>
    <workbookView xWindow="-110" yWindow="-110" windowWidth="19420" windowHeight="10300" xr2:uid="{45885936-D80E-4BB3-AC51-883E5BF127F3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C33" i="1"/>
  <c r="D33" i="1"/>
  <c r="E33" i="1"/>
  <c r="F33" i="1"/>
  <c r="O43" i="1"/>
  <c r="O44" i="1"/>
  <c r="N43" i="1"/>
  <c r="N44" i="1"/>
  <c r="N46" i="1"/>
  <c r="M43" i="1"/>
  <c r="M44" i="1"/>
  <c r="L43" i="1"/>
  <c r="K44" i="1"/>
  <c r="L44" i="1"/>
  <c r="C42" i="1"/>
  <c r="D42" i="1"/>
  <c r="G42" i="1" s="1"/>
  <c r="E42" i="1"/>
  <c r="F42" i="1"/>
  <c r="B42" i="1"/>
  <c r="B33" i="1"/>
  <c r="K43" i="1"/>
  <c r="O46" i="1"/>
  <c r="M46" i="1"/>
  <c r="L46" i="1"/>
  <c r="K46" i="1"/>
  <c r="G45" i="1"/>
  <c r="F45" i="1"/>
  <c r="F43" i="1"/>
  <c r="E45" i="1"/>
  <c r="E43" i="1"/>
  <c r="D45" i="1"/>
  <c r="D43" i="1"/>
  <c r="D39" i="1"/>
  <c r="C43" i="1"/>
  <c r="C45" i="1"/>
  <c r="B45" i="1"/>
  <c r="B43" i="1"/>
  <c r="B39" i="1"/>
  <c r="P46" i="1" l="1"/>
  <c r="P43" i="1"/>
  <c r="G36" i="1"/>
  <c r="F36" i="1"/>
  <c r="F34" i="1"/>
  <c r="E36" i="1"/>
  <c r="E34" i="1"/>
  <c r="D36" i="1"/>
  <c r="D34" i="1"/>
  <c r="C36" i="1"/>
  <c r="C34" i="1"/>
  <c r="B36" i="1"/>
  <c r="B34" i="1"/>
  <c r="G27" i="1"/>
  <c r="G24" i="1"/>
  <c r="C27" i="1"/>
  <c r="D27" i="1"/>
  <c r="E27" i="1"/>
  <c r="F27" i="1"/>
  <c r="B27" i="1"/>
  <c r="F25" i="1"/>
  <c r="E25" i="1"/>
  <c r="D25" i="1"/>
  <c r="C25" i="1"/>
  <c r="F21" i="1"/>
  <c r="E21" i="1"/>
  <c r="D21" i="1"/>
  <c r="C21" i="1"/>
  <c r="B21" i="1"/>
  <c r="F24" i="1" l="1"/>
  <c r="E24" i="1"/>
  <c r="D24" i="1"/>
  <c r="C24" i="1"/>
  <c r="B24" i="1"/>
  <c r="F15" i="1"/>
  <c r="F12" i="1"/>
  <c r="E12" i="1"/>
  <c r="D12" i="1"/>
  <c r="C12" i="1"/>
  <c r="B12" i="1"/>
  <c r="E18" i="1"/>
  <c r="E17" i="1"/>
  <c r="E14" i="1"/>
  <c r="E16" i="1"/>
  <c r="G16" i="1" s="1"/>
  <c r="E15" i="1"/>
  <c r="G15" i="1" s="1"/>
  <c r="D15" i="1"/>
  <c r="D16" i="1"/>
  <c r="D17" i="1"/>
  <c r="D14" i="1"/>
  <c r="D18" i="1"/>
  <c r="B15" i="1"/>
  <c r="B16" i="1"/>
  <c r="B14" i="1"/>
  <c r="B17" i="1"/>
  <c r="G17" i="1" s="1"/>
  <c r="B18" i="1"/>
  <c r="G18" i="1" s="1"/>
  <c r="F13" i="1"/>
  <c r="F11" i="1"/>
  <c r="F10" i="1"/>
  <c r="F9" i="1"/>
  <c r="F8" i="1"/>
  <c r="F16" i="1"/>
  <c r="F17" i="1"/>
  <c r="F7" i="1"/>
  <c r="F14" i="1"/>
  <c r="G14" i="1"/>
  <c r="F18" i="1"/>
  <c r="F6" i="1"/>
  <c r="F5" i="1"/>
  <c r="F4" i="1"/>
  <c r="F3" i="1"/>
  <c r="F2" i="1"/>
  <c r="C13" i="1"/>
  <c r="C11" i="1"/>
  <c r="C10" i="1"/>
  <c r="C9" i="1"/>
  <c r="C8" i="1"/>
  <c r="C15" i="1"/>
  <c r="C16" i="1"/>
  <c r="C17" i="1"/>
  <c r="C7" i="1"/>
  <c r="C14" i="1"/>
  <c r="C18" i="1"/>
  <c r="C6" i="1"/>
  <c r="D6" i="1"/>
  <c r="E6" i="1"/>
  <c r="C5" i="1"/>
  <c r="C4" i="1"/>
  <c r="C3" i="1"/>
  <c r="C2" i="1"/>
  <c r="E9" i="1"/>
  <c r="E10" i="1"/>
  <c r="E11" i="1"/>
  <c r="G9" i="1"/>
  <c r="E13" i="1"/>
  <c r="E8" i="1"/>
  <c r="E7" i="1"/>
  <c r="E4" i="1"/>
  <c r="E3" i="1"/>
  <c r="E2" i="1"/>
  <c r="E5" i="1"/>
  <c r="G5" i="1" s="1"/>
  <c r="D9" i="1"/>
  <c r="D10" i="1"/>
  <c r="G3" i="1"/>
  <c r="G6" i="1"/>
  <c r="G7" i="1"/>
  <c r="G8" i="1"/>
  <c r="G10" i="1"/>
  <c r="G11" i="1"/>
  <c r="G12" i="1"/>
  <c r="G13" i="1"/>
  <c r="G2" i="1"/>
  <c r="D11" i="1"/>
  <c r="D13" i="1"/>
  <c r="D8" i="1"/>
  <c r="D7" i="1"/>
  <c r="D2" i="1"/>
  <c r="D3" i="1"/>
  <c r="D4" i="1"/>
  <c r="D5" i="1"/>
  <c r="B9" i="1"/>
  <c r="B10" i="1"/>
  <c r="B11" i="1"/>
  <c r="B13" i="1"/>
  <c r="B8" i="1"/>
  <c r="B7" i="1"/>
  <c r="B6" i="1"/>
  <c r="B5" i="1"/>
  <c r="B4" i="1"/>
  <c r="B3" i="1"/>
  <c r="B2" i="1"/>
  <c r="G4" i="1" l="1"/>
</calcChain>
</file>

<file path=xl/sharedStrings.xml><?xml version="1.0" encoding="utf-8"?>
<sst xmlns="http://schemas.openxmlformats.org/spreadsheetml/2006/main" count="70" uniqueCount="41">
  <si>
    <t>binary</t>
  </si>
  <si>
    <t>image 1 IoU</t>
  </si>
  <si>
    <t>image 2 IoU</t>
  </si>
  <si>
    <t>image 3 IoU</t>
  </si>
  <si>
    <t>image 5 IoU</t>
  </si>
  <si>
    <t>image 4 IoU</t>
  </si>
  <si>
    <t>NDP 20 CDP 5</t>
  </si>
  <si>
    <t>NDP 20 CDP 20</t>
  </si>
  <si>
    <t>NDP 20 CDP 15</t>
  </si>
  <si>
    <t>NDP 20 CDP 10</t>
  </si>
  <si>
    <t>NDP 5 CDP 5</t>
  </si>
  <si>
    <t>NDP 10 CDP 10</t>
  </si>
  <si>
    <t>NDP 15 CDP 15</t>
  </si>
  <si>
    <t>NDP 30 CDP 20</t>
  </si>
  <si>
    <t>NDP 30 CDP 15</t>
  </si>
  <si>
    <t>NDP 30 CDP 10</t>
  </si>
  <si>
    <t>NDP 30 CDP 5</t>
  </si>
  <si>
    <t>NDP 30 CDP 30</t>
  </si>
  <si>
    <t>gemiddelde</t>
  </si>
  <si>
    <t>NDP 10 CDP 5</t>
  </si>
  <si>
    <t>NDP 15 CDP 10</t>
  </si>
  <si>
    <t>NDP 15 CDP 5</t>
  </si>
  <si>
    <t>NDP 10 CDP 20</t>
  </si>
  <si>
    <t>NDP 5 CDP 20</t>
  </si>
  <si>
    <t>1. eerst de twee images op elkaar zetten met and funtie in imagej zodat je de overlap tussen de twee images ziet</t>
  </si>
  <si>
    <t>2. vervolegns de de twee images op elkaar zetten waarbij de de pixels van beiden images te zien is op een image.</t>
  </si>
  <si>
    <t>(and functie)</t>
  </si>
  <si>
    <t xml:space="preserve"> (or functie)</t>
  </si>
  <si>
    <t>de twee pixel density waardes van deze images deel je met elkaar en je krijgt de IOU value. (waarde stap 1 gedeeld door waarde stap 2)</t>
  </si>
  <si>
    <t>false positive</t>
  </si>
  <si>
    <t>false negative</t>
  </si>
  <si>
    <t>AP</t>
  </si>
  <si>
    <t>true postive</t>
  </si>
  <si>
    <t>herkend aan andere nuclei</t>
  </si>
  <si>
    <t>ground tuth total nucleis</t>
  </si>
  <si>
    <t>true postive/ground truth</t>
  </si>
  <si>
    <t>mean</t>
  </si>
  <si>
    <t>Mean</t>
  </si>
  <si>
    <t>Stardist 0,479</t>
  </si>
  <si>
    <t>NDP 20 CDP 20 greyscale</t>
  </si>
  <si>
    <t>methods Heldring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</si>
</sst>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1</xdr:row>
      <xdr:rowOff>107950</xdr:rowOff>
    </xdr:from>
    <xdr:to>
      <xdr:col>14</xdr:col>
      <xdr:colOff>8660</xdr:colOff>
      <xdr:row>3</xdr:row>
      <xdr:rowOff>101600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50B341A2-2324-10AF-180A-66E1BD297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92100"/>
          <a:ext cx="4794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260350</xdr:colOff>
      <xdr:row>4</xdr:row>
      <xdr:rowOff>69850</xdr:rowOff>
    </xdr:from>
    <xdr:to>
      <xdr:col>17</xdr:col>
      <xdr:colOff>129309</xdr:colOff>
      <xdr:row>10</xdr:row>
      <xdr:rowOff>63500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A914A31-66F9-F017-A696-EFC55B5ED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550" y="806450"/>
          <a:ext cx="6978650" cy="109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572376</xdr:colOff>
      <xdr:row>11</xdr:row>
      <xdr:rowOff>52113</xdr:rowOff>
    </xdr:from>
    <xdr:to>
      <xdr:col>13</xdr:col>
      <xdr:colOff>381341</xdr:colOff>
      <xdr:row>17</xdr:row>
      <xdr:rowOff>163021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F0E70DEA-7B78-6EE7-F496-605EC5AFE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74962" y="2099441"/>
          <a:ext cx="4507624" cy="1227632"/>
        </a:xfrm>
        <a:prstGeom prst="rect">
          <a:avLst/>
        </a:prstGeom>
      </xdr:spPr>
    </xdr:pic>
    <xdr:clientData/>
  </xdr:twoCellAnchor>
  <xdr:twoCellAnchor editAs="oneCell">
    <xdr:from>
      <xdr:col>15</xdr:col>
      <xdr:colOff>253999</xdr:colOff>
      <xdr:row>12</xdr:row>
      <xdr:rowOff>63500</xdr:rowOff>
    </xdr:from>
    <xdr:to>
      <xdr:col>22</xdr:col>
      <xdr:colOff>585611</xdr:colOff>
      <xdr:row>17</xdr:row>
      <xdr:rowOff>72575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352BE2DD-DA22-2595-3368-FB38BE986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00832" y="2264833"/>
          <a:ext cx="4579057" cy="926298"/>
        </a:xfrm>
        <a:prstGeom prst="rect">
          <a:avLst/>
        </a:prstGeom>
      </xdr:spPr>
    </xdr:pic>
    <xdr:clientData/>
  </xdr:twoCellAnchor>
  <xdr:twoCellAnchor editAs="oneCell">
    <xdr:from>
      <xdr:col>7</xdr:col>
      <xdr:colOff>502764</xdr:colOff>
      <xdr:row>23</xdr:row>
      <xdr:rowOff>143110</xdr:rowOff>
    </xdr:from>
    <xdr:to>
      <xdr:col>14</xdr:col>
      <xdr:colOff>590792</xdr:colOff>
      <xdr:row>33</xdr:row>
      <xdr:rowOff>3472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0742E20-3B3B-50DF-4485-5C293EAA7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49037" y="4391837"/>
          <a:ext cx="5389041" cy="1707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217B-864C-4854-8F02-387A5647E5AA}">
  <dimension ref="A1:T46"/>
  <sheetViews>
    <sheetView tabSelected="1" topLeftCell="A16" zoomScale="70" zoomScaleNormal="70" workbookViewId="0">
      <selection activeCell="A20" sqref="A20"/>
    </sheetView>
  </sheetViews>
  <sheetFormatPr defaultRowHeight="14.5" x14ac:dyDescent="0.35"/>
  <cols>
    <col min="1" max="1" width="24.26953125" bestFit="1" customWidth="1"/>
    <col min="2" max="4" width="10.6328125" bestFit="1" customWidth="1"/>
    <col min="5" max="5" width="11.26953125" bestFit="1" customWidth="1"/>
    <col min="6" max="6" width="10.6328125" bestFit="1" customWidth="1"/>
    <col min="7" max="7" width="15.90625" bestFit="1" customWidth="1"/>
    <col min="10" max="10" width="23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18</v>
      </c>
    </row>
    <row r="2" spans="1:7" x14ac:dyDescent="0.35">
      <c r="A2" t="s">
        <v>6</v>
      </c>
      <c r="B2">
        <f>15288525/20115930</f>
        <v>0.76002078949369978</v>
      </c>
      <c r="C2">
        <f>21144090/31401210</f>
        <v>0.67335271475207481</v>
      </c>
      <c r="D2">
        <f>21820095/29955870</f>
        <v>0.72840798815056951</v>
      </c>
      <c r="E2">
        <f>18850110/24708990</f>
        <v>0.76288468286239142</v>
      </c>
      <c r="F2">
        <f>19208640/26217825</f>
        <v>0.73265574089383845</v>
      </c>
      <c r="G2">
        <f>AVERAGE(B2:F2)</f>
        <v>0.73146438323051488</v>
      </c>
    </row>
    <row r="3" spans="1:7" x14ac:dyDescent="0.35">
      <c r="A3" t="s">
        <v>9</v>
      </c>
      <c r="B3" s="6">
        <f>13831710/16355190</f>
        <v>0.84570769278742708</v>
      </c>
      <c r="C3" s="6">
        <f>22052910/25996230</f>
        <v>0.84831185137229514</v>
      </c>
      <c r="D3">
        <f>22281390/27447945</f>
        <v>0.81176896849654867</v>
      </c>
      <c r="E3">
        <f>19540140/23872080</f>
        <v>0.81853529311228845</v>
      </c>
      <c r="F3">
        <f>21079575/24480510</f>
        <v>0.86107581092060581</v>
      </c>
      <c r="G3" s="6">
        <f t="shared" ref="G3:G18" si="0">AVERAGE(B3:F3)</f>
        <v>0.83707992333783299</v>
      </c>
    </row>
    <row r="4" spans="1:7" x14ac:dyDescent="0.35">
      <c r="A4" t="s">
        <v>8</v>
      </c>
      <c r="B4">
        <f>12743880/16149150</f>
        <v>0.78913627033001732</v>
      </c>
      <c r="C4">
        <f>21130320/25682580</f>
        <v>0.82274911632709802</v>
      </c>
      <c r="D4">
        <f>21758130/27443865</f>
        <v>0.79282309543499063</v>
      </c>
      <c r="E4">
        <f>18937320/23885085</f>
        <v>0.79285127099191821</v>
      </c>
      <c r="F4">
        <f>21057645/24591435</f>
        <v>0.85629996785466156</v>
      </c>
      <c r="G4">
        <f t="shared" si="0"/>
        <v>0.81077194418773713</v>
      </c>
    </row>
    <row r="5" spans="1:7" x14ac:dyDescent="0.35">
      <c r="A5" t="s">
        <v>7</v>
      </c>
      <c r="B5">
        <f>14019390/16781805</f>
        <v>0.83539225965264163</v>
      </c>
      <c r="C5">
        <f>21533985/26374395</f>
        <v>0.816473136161038</v>
      </c>
      <c r="D5" s="6">
        <f>22968105/27844980</f>
        <v>0.82485622183962781</v>
      </c>
      <c r="E5" s="6">
        <f>20517300/24120195</f>
        <v>0.85062745139498253</v>
      </c>
      <c r="F5" s="6">
        <f>21646695/24936705</f>
        <v>0.8680655684060905</v>
      </c>
      <c r="G5" s="6">
        <f t="shared" si="0"/>
        <v>0.8390829274908761</v>
      </c>
    </row>
    <row r="6" spans="1:7" x14ac:dyDescent="0.35">
      <c r="A6" t="s">
        <v>10</v>
      </c>
      <c r="B6">
        <f>14882310/19941765</f>
        <v>0.74628850555605286</v>
      </c>
      <c r="C6">
        <f>21144855/31374945</f>
        <v>0.67394078300376303</v>
      </c>
      <c r="D6">
        <f>21811425/29935980</f>
        <v>0.72860233738798597</v>
      </c>
      <c r="E6">
        <f>18253155/24662835</f>
        <v>0.74010773700590382</v>
      </c>
      <c r="F6">
        <f>19096695/26211195</f>
        <v>0.72857017774275457</v>
      </c>
      <c r="G6">
        <f t="shared" si="0"/>
        <v>0.72350190813929216</v>
      </c>
    </row>
    <row r="7" spans="1:7" x14ac:dyDescent="0.35">
      <c r="A7" t="s">
        <v>11</v>
      </c>
      <c r="B7">
        <f>13478790/16341930</f>
        <v>0.82479792778453953</v>
      </c>
      <c r="C7">
        <f>21941220/26020965</f>
        <v>0.84321315523847795</v>
      </c>
      <c r="D7">
        <f>22073565/27444375</f>
        <v>0.80430197444831586</v>
      </c>
      <c r="E7">
        <f>19463640/23872845</f>
        <v>0.81530458560762242</v>
      </c>
      <c r="F7">
        <f>20928105/24498105</f>
        <v>0.85427444285996812</v>
      </c>
      <c r="G7" s="2">
        <f t="shared" si="0"/>
        <v>0.82837841718778482</v>
      </c>
    </row>
    <row r="8" spans="1:7" x14ac:dyDescent="0.35">
      <c r="A8" t="s">
        <v>12</v>
      </c>
      <c r="B8">
        <f>12541410/16146855</f>
        <v>0.77670914862367935</v>
      </c>
      <c r="C8">
        <f>20989815/25710885</f>
        <v>0.81637854939649102</v>
      </c>
      <c r="D8">
        <f>21637005/27442335</f>
        <v>0.78845349712406032</v>
      </c>
      <c r="E8">
        <f>18687165/23879730</f>
        <v>0.78255344595604726</v>
      </c>
      <c r="F8">
        <f>20920965/24594495</f>
        <v>0.85063608746591468</v>
      </c>
      <c r="G8">
        <f t="shared" si="0"/>
        <v>0.80294614571323852</v>
      </c>
    </row>
    <row r="9" spans="1:7" x14ac:dyDescent="0.35">
      <c r="A9" t="s">
        <v>16</v>
      </c>
      <c r="B9">
        <f>15208200/20049885</f>
        <v>0.75851806631309859</v>
      </c>
      <c r="C9">
        <f>21144855/31374945</f>
        <v>0.67394078300376303</v>
      </c>
      <c r="D9">
        <f>21737475/29949240</f>
        <v>0.72581057148695594</v>
      </c>
      <c r="E9">
        <f>18849090/24710520</f>
        <v>0.76279616940477168</v>
      </c>
      <c r="F9">
        <f>19096695/26211195</f>
        <v>0.72857017774275457</v>
      </c>
      <c r="G9">
        <f t="shared" si="0"/>
        <v>0.72992715359026883</v>
      </c>
    </row>
    <row r="10" spans="1:7" x14ac:dyDescent="0.35">
      <c r="A10" t="s">
        <v>15</v>
      </c>
      <c r="B10">
        <f>13615725/16351620</f>
        <v>0.83268355062067245</v>
      </c>
      <c r="C10">
        <f>21947850/26013060</f>
        <v>0.84372426773320786</v>
      </c>
      <c r="D10">
        <f>22072800/27439530</f>
        <v>0.80441611062580154</v>
      </c>
      <c r="E10" s="3">
        <f>19528155/23872335</f>
        <v>0.8180245040964782</v>
      </c>
      <c r="F10">
        <f>20701665/24479745</f>
        <v>0.84566505901103139</v>
      </c>
      <c r="G10" s="2">
        <f t="shared" si="0"/>
        <v>0.82890269841743824</v>
      </c>
    </row>
    <row r="11" spans="1:7" x14ac:dyDescent="0.35">
      <c r="A11" t="s">
        <v>14</v>
      </c>
      <c r="B11">
        <f>12499590/16153485</f>
        <v>0.77380144284654362</v>
      </c>
      <c r="C11">
        <f>21042855/25704000</f>
        <v>0.8186607142857143</v>
      </c>
      <c r="D11">
        <f>21660975/27442080</f>
        <v>0.78933429973238178</v>
      </c>
      <c r="E11">
        <f>18898305/23884575</f>
        <v>0.79123471947899426</v>
      </c>
      <c r="F11">
        <f>20656275/24582765</f>
        <v>0.84027468024854002</v>
      </c>
      <c r="G11">
        <f t="shared" si="0"/>
        <v>0.80266117131843484</v>
      </c>
    </row>
    <row r="12" spans="1:7" x14ac:dyDescent="0.35">
      <c r="A12" t="s">
        <v>13</v>
      </c>
      <c r="B12">
        <f>13923255/16780275</f>
        <v>0.8297393815059646</v>
      </c>
      <c r="C12">
        <f>21437595/26383065</f>
        <v>0.81255134685829722</v>
      </c>
      <c r="D12">
        <f>22936995/27851100</f>
        <v>0.82355795641823837</v>
      </c>
      <c r="E12">
        <f>20475480/24122490</f>
        <v>0.84881287130806149</v>
      </c>
      <c r="F12">
        <f>21294795/24924465</f>
        <v>0.85437320319613685</v>
      </c>
      <c r="G12" s="4">
        <f t="shared" si="0"/>
        <v>0.83380695185733966</v>
      </c>
    </row>
    <row r="13" spans="1:7" x14ac:dyDescent="0.35">
      <c r="A13" t="s">
        <v>17</v>
      </c>
      <c r="B13">
        <f>11679765/16233810</f>
        <v>0.71947158430460867</v>
      </c>
      <c r="C13">
        <f>20201100/25567830</f>
        <v>0.79009833841980337</v>
      </c>
      <c r="D13">
        <f>22285980/27867165</f>
        <v>0.79972182315639206</v>
      </c>
      <c r="E13">
        <f>19126020/23950110</f>
        <v>0.79857754306765183</v>
      </c>
      <c r="F13">
        <f>19718130/24501930</f>
        <v>0.80475823741231811</v>
      </c>
      <c r="G13">
        <f t="shared" si="0"/>
        <v>0.78252550527215481</v>
      </c>
    </row>
    <row r="14" spans="1:7" x14ac:dyDescent="0.35">
      <c r="A14" t="s">
        <v>19</v>
      </c>
      <c r="B14">
        <f>15186525/20057535</f>
        <v>0.75714812413389776</v>
      </c>
      <c r="C14">
        <f>21131850/31401465</f>
        <v>0.67295745596582834</v>
      </c>
      <c r="D14">
        <f>21696675/29939550</f>
        <v>0.72468273571246056</v>
      </c>
      <c r="E14">
        <f>18851130/24712050</f>
        <v>0.76283149313796306</v>
      </c>
      <c r="F14">
        <f>19079100/26204055</f>
        <v>0.7280972353324705</v>
      </c>
      <c r="G14">
        <f t="shared" si="0"/>
        <v>0.72914340885652407</v>
      </c>
    </row>
    <row r="15" spans="1:7" x14ac:dyDescent="0.35">
      <c r="A15" t="s">
        <v>20</v>
      </c>
      <c r="B15">
        <f>12541410/16146855</f>
        <v>0.77670914862367935</v>
      </c>
      <c r="C15">
        <f>20989815/25710885</f>
        <v>0.81637854939649102</v>
      </c>
      <c r="D15">
        <f>21637005/27442335</f>
        <v>0.78845349712406032</v>
      </c>
      <c r="E15">
        <f>18687165/23879730</f>
        <v>0.78255344595604726</v>
      </c>
      <c r="F15">
        <f>20920965/24594495</f>
        <v>0.85063608746591468</v>
      </c>
      <c r="G15">
        <f t="shared" si="0"/>
        <v>0.80294614571323852</v>
      </c>
    </row>
    <row r="16" spans="1:7" x14ac:dyDescent="0.35">
      <c r="A16" t="s">
        <v>21</v>
      </c>
      <c r="B16">
        <f>15218400/20072070</f>
        <v>0.75818787001041743</v>
      </c>
      <c r="C16">
        <f>21109920/31368315</f>
        <v>0.6729695235462918</v>
      </c>
      <c r="D16">
        <f>21706365/29946435</f>
        <v>0.72483970128664732</v>
      </c>
      <c r="E16">
        <f>18634125/24697770</f>
        <v>0.75448613376835238</v>
      </c>
      <c r="F16">
        <f>19044675/26195640</f>
        <v>0.72701697687096023</v>
      </c>
      <c r="G16">
        <f t="shared" si="0"/>
        <v>0.72750004109653388</v>
      </c>
    </row>
    <row r="17" spans="1:20" x14ac:dyDescent="0.35">
      <c r="A17" t="s">
        <v>22</v>
      </c>
      <c r="B17">
        <f>13478790/16341930</f>
        <v>0.82479792778453953</v>
      </c>
      <c r="C17">
        <f>21941220/26020965</f>
        <v>0.84321315523847795</v>
      </c>
      <c r="D17">
        <f>22073565/27444375</f>
        <v>0.80430197444831586</v>
      </c>
      <c r="E17">
        <f>19463640/23872845</f>
        <v>0.81530458560762242</v>
      </c>
      <c r="F17">
        <f>20928105/24498105</f>
        <v>0.85427444285996812</v>
      </c>
      <c r="G17" s="2">
        <f t="shared" si="0"/>
        <v>0.82837841718778482</v>
      </c>
    </row>
    <row r="18" spans="1:20" x14ac:dyDescent="0.35">
      <c r="A18" t="s">
        <v>23</v>
      </c>
      <c r="B18">
        <f>13838085/16772370</f>
        <v>0.82505245233678959</v>
      </c>
      <c r="C18">
        <f>21553365/26388930</f>
        <v>0.81675782231412941</v>
      </c>
      <c r="D18">
        <f>22964280/27841665</f>
        <v>0.82481705027339425</v>
      </c>
      <c r="E18">
        <f>19878270/24117390</f>
        <v>0.82422973630231133</v>
      </c>
      <c r="F18">
        <f>21582180/24950730</f>
        <v>0.86499192608793407</v>
      </c>
      <c r="G18" s="4">
        <f t="shared" si="0"/>
        <v>0.83116979746291175</v>
      </c>
    </row>
    <row r="20" spans="1:20" x14ac:dyDescent="0.35">
      <c r="A20" s="1" t="s">
        <v>40</v>
      </c>
      <c r="B20" s="1" t="s">
        <v>9</v>
      </c>
      <c r="I20" t="s">
        <v>24</v>
      </c>
      <c r="T20" t="s">
        <v>26</v>
      </c>
    </row>
    <row r="21" spans="1:20" x14ac:dyDescent="0.35">
      <c r="A21" t="s">
        <v>32</v>
      </c>
      <c r="B21">
        <f>859</f>
        <v>859</v>
      </c>
      <c r="C21">
        <f>1719</f>
        <v>1719</v>
      </c>
      <c r="D21">
        <f>1171</f>
        <v>1171</v>
      </c>
      <c r="E21">
        <f>799</f>
        <v>799</v>
      </c>
      <c r="F21">
        <f>1060</f>
        <v>1060</v>
      </c>
      <c r="I21" t="s">
        <v>25</v>
      </c>
      <c r="T21" t="s">
        <v>27</v>
      </c>
    </row>
    <row r="22" spans="1:20" x14ac:dyDescent="0.35">
      <c r="A22" t="s">
        <v>29</v>
      </c>
      <c r="B22">
        <v>5</v>
      </c>
      <c r="C22">
        <v>7</v>
      </c>
      <c r="D22">
        <v>0</v>
      </c>
      <c r="E22">
        <v>1</v>
      </c>
      <c r="F22">
        <v>1</v>
      </c>
      <c r="I22" t="s">
        <v>28</v>
      </c>
    </row>
    <row r="23" spans="1:20" x14ac:dyDescent="0.35">
      <c r="A23" t="s">
        <v>30</v>
      </c>
      <c r="B23">
        <v>35</v>
      </c>
      <c r="C23">
        <v>46</v>
      </c>
      <c r="D23">
        <v>210</v>
      </c>
      <c r="E23">
        <v>51</v>
      </c>
      <c r="F23">
        <v>42</v>
      </c>
      <c r="G23" s="1" t="s">
        <v>36</v>
      </c>
    </row>
    <row r="24" spans="1:20" x14ac:dyDescent="0.35">
      <c r="A24" t="s">
        <v>31</v>
      </c>
      <c r="B24">
        <f>859/(859+5+35)</f>
        <v>0.95550611790878759</v>
      </c>
      <c r="C24">
        <f>1719/(1719+46+7)</f>
        <v>0.97009029345372455</v>
      </c>
      <c r="D24">
        <f>1171/(1171+210+0)</f>
        <v>0.84793627805937721</v>
      </c>
      <c r="E24">
        <f>799/(799+1+51)</f>
        <v>0.93889541715628677</v>
      </c>
      <c r="F24">
        <f>1059/(1060+42)</f>
        <v>0.96098003629764062</v>
      </c>
      <c r="G24">
        <f>AVERAGE(B24:F24)</f>
        <v>0.93468162857516324</v>
      </c>
    </row>
    <row r="25" spans="1:20" x14ac:dyDescent="0.35">
      <c r="A25" t="s">
        <v>33</v>
      </c>
      <c r="B25">
        <v>23</v>
      </c>
      <c r="C25">
        <f>1915-1719-46</f>
        <v>150</v>
      </c>
      <c r="D25">
        <f>1448-210-1171</f>
        <v>67</v>
      </c>
      <c r="E25">
        <f>E26-E21-E23</f>
        <v>23</v>
      </c>
      <c r="F25">
        <f>F26-F21-F23</f>
        <v>55</v>
      </c>
    </row>
    <row r="26" spans="1:20" x14ac:dyDescent="0.35">
      <c r="A26" t="s">
        <v>34</v>
      </c>
      <c r="B26">
        <v>917</v>
      </c>
      <c r="C26">
        <v>1915</v>
      </c>
      <c r="D26">
        <v>1448</v>
      </c>
      <c r="E26">
        <v>873</v>
      </c>
      <c r="F26">
        <v>1157</v>
      </c>
      <c r="G26" s="1" t="s">
        <v>36</v>
      </c>
    </row>
    <row r="27" spans="1:20" x14ac:dyDescent="0.35">
      <c r="A27" t="s">
        <v>35</v>
      </c>
      <c r="B27">
        <f>B21/B26</f>
        <v>0.93675027262813526</v>
      </c>
      <c r="C27">
        <f t="shared" ref="C27:F27" si="1">C21/C26</f>
        <v>0.89765013054830289</v>
      </c>
      <c r="D27">
        <f t="shared" si="1"/>
        <v>0.80870165745856348</v>
      </c>
      <c r="E27">
        <f t="shared" si="1"/>
        <v>0.91523482245131726</v>
      </c>
      <c r="F27">
        <f t="shared" si="1"/>
        <v>0.91616248919619703</v>
      </c>
      <c r="G27">
        <f>AVERAGE(B27:F27)</f>
        <v>0.8948998744565031</v>
      </c>
    </row>
    <row r="29" spans="1:20" x14ac:dyDescent="0.35">
      <c r="B29" s="1" t="s">
        <v>7</v>
      </c>
    </row>
    <row r="30" spans="1:20" x14ac:dyDescent="0.35">
      <c r="A30" t="s">
        <v>32</v>
      </c>
      <c r="B30">
        <v>865</v>
      </c>
      <c r="C30">
        <v>1750</v>
      </c>
      <c r="D30">
        <v>1200</v>
      </c>
      <c r="E30">
        <v>816</v>
      </c>
      <c r="F30">
        <v>1068</v>
      </c>
    </row>
    <row r="31" spans="1:20" x14ac:dyDescent="0.35">
      <c r="A31" t="s">
        <v>29</v>
      </c>
      <c r="B31">
        <v>5</v>
      </c>
      <c r="C31">
        <v>7</v>
      </c>
      <c r="D31">
        <v>0</v>
      </c>
      <c r="E31">
        <v>1</v>
      </c>
      <c r="F31">
        <v>1</v>
      </c>
    </row>
    <row r="32" spans="1:20" x14ac:dyDescent="0.35">
      <c r="A32" t="s">
        <v>30</v>
      </c>
      <c r="B32">
        <v>24</v>
      </c>
      <c r="C32">
        <v>32</v>
      </c>
      <c r="D32">
        <v>172</v>
      </c>
      <c r="E32">
        <v>31</v>
      </c>
      <c r="F32">
        <v>28</v>
      </c>
      <c r="G32" s="1" t="s">
        <v>36</v>
      </c>
    </row>
    <row r="33" spans="1:16" x14ac:dyDescent="0.35">
      <c r="A33" t="s">
        <v>31</v>
      </c>
      <c r="B33" s="2">
        <f>B30/(B30+B31+B32+B34)</f>
        <v>0.93817787418655096</v>
      </c>
      <c r="C33" s="2">
        <f t="shared" ref="C33:F33" si="2">C30/(C30+C31+C32+C34)</f>
        <v>0.89559877175025593</v>
      </c>
      <c r="D33" s="2">
        <f t="shared" si="2"/>
        <v>0.82872928176795579</v>
      </c>
      <c r="E33" s="2">
        <f t="shared" si="2"/>
        <v>0.93363844393592677</v>
      </c>
      <c r="F33" s="2">
        <f t="shared" si="2"/>
        <v>0.92227979274611394</v>
      </c>
      <c r="G33" s="2">
        <f>AVERAGE(B33:F33)</f>
        <v>0.90368483287736068</v>
      </c>
    </row>
    <row r="34" spans="1:16" x14ac:dyDescent="0.35">
      <c r="A34" t="s">
        <v>33</v>
      </c>
      <c r="B34">
        <f>917-(865+24)</f>
        <v>28</v>
      </c>
      <c r="C34">
        <f>1915-1750</f>
        <v>165</v>
      </c>
      <c r="D34">
        <f>D35-D30-D32</f>
        <v>76</v>
      </c>
      <c r="E34">
        <f>E35-E30-E32</f>
        <v>26</v>
      </c>
      <c r="F34">
        <f>F35-F30-F32</f>
        <v>61</v>
      </c>
    </row>
    <row r="35" spans="1:16" x14ac:dyDescent="0.35">
      <c r="A35" t="s">
        <v>34</v>
      </c>
      <c r="B35">
        <v>917</v>
      </c>
      <c r="C35">
        <v>1915</v>
      </c>
      <c r="D35">
        <v>1448</v>
      </c>
      <c r="E35">
        <v>873</v>
      </c>
      <c r="F35">
        <v>1157</v>
      </c>
      <c r="G35" s="1" t="s">
        <v>36</v>
      </c>
    </row>
    <row r="36" spans="1:16" x14ac:dyDescent="0.35">
      <c r="A36" t="s">
        <v>35</v>
      </c>
      <c r="B36">
        <f>865/917</f>
        <v>0.9432933478735005</v>
      </c>
      <c r="C36">
        <f>C30/C35</f>
        <v>0.91383812010443866</v>
      </c>
      <c r="D36">
        <f>D30/D35</f>
        <v>0.82872928176795579</v>
      </c>
      <c r="E36">
        <f>E30/E35</f>
        <v>0.93470790378006874</v>
      </c>
      <c r="F36">
        <f>F30/F35</f>
        <v>0.92307692307692313</v>
      </c>
      <c r="G36" s="5">
        <f t="shared" ref="G36" si="3">AVERAGE(B36:F36)</f>
        <v>0.90872911532057743</v>
      </c>
    </row>
    <row r="38" spans="1:16" x14ac:dyDescent="0.35">
      <c r="A38" s="1" t="s">
        <v>38</v>
      </c>
    </row>
    <row r="39" spans="1:16" x14ac:dyDescent="0.35">
      <c r="A39" t="s">
        <v>32</v>
      </c>
      <c r="B39">
        <f>805-B40</f>
        <v>779</v>
      </c>
      <c r="C39">
        <v>718</v>
      </c>
      <c r="D39">
        <f>1094-11</f>
        <v>1083</v>
      </c>
      <c r="E39">
        <v>729</v>
      </c>
      <c r="F39">
        <v>817</v>
      </c>
      <c r="K39" s="1" t="s">
        <v>39</v>
      </c>
    </row>
    <row r="40" spans="1:16" x14ac:dyDescent="0.35">
      <c r="A40" t="s">
        <v>29</v>
      </c>
      <c r="B40">
        <v>26</v>
      </c>
      <c r="C40">
        <v>9</v>
      </c>
      <c r="D40">
        <v>11</v>
      </c>
      <c r="E40">
        <v>3</v>
      </c>
      <c r="F40">
        <v>2</v>
      </c>
      <c r="J40" t="s">
        <v>32</v>
      </c>
      <c r="K40">
        <v>664</v>
      </c>
      <c r="L40">
        <v>1129</v>
      </c>
      <c r="M40">
        <v>952</v>
      </c>
      <c r="N40">
        <v>643</v>
      </c>
      <c r="O40">
        <v>820</v>
      </c>
    </row>
    <row r="41" spans="1:16" x14ac:dyDescent="0.35">
      <c r="A41" t="s">
        <v>30</v>
      </c>
      <c r="B41">
        <v>79</v>
      </c>
      <c r="C41">
        <v>1143</v>
      </c>
      <c r="D41">
        <v>269</v>
      </c>
      <c r="E41">
        <v>93</v>
      </c>
      <c r="F41">
        <v>235</v>
      </c>
      <c r="G41" s="1" t="s">
        <v>37</v>
      </c>
      <c r="J41" t="s">
        <v>29</v>
      </c>
      <c r="K41">
        <v>14</v>
      </c>
      <c r="L41">
        <v>12</v>
      </c>
      <c r="M41">
        <v>0</v>
      </c>
      <c r="N41">
        <v>5</v>
      </c>
      <c r="O41">
        <v>12</v>
      </c>
    </row>
    <row r="42" spans="1:16" x14ac:dyDescent="0.35">
      <c r="A42" t="s">
        <v>31</v>
      </c>
      <c r="B42">
        <f>B39/(B39+B40+B41+B43)</f>
        <v>0.82608695652173914</v>
      </c>
      <c r="C42">
        <f t="shared" ref="C42:F42" si="4">C39/(C39+C40+C41+C43)</f>
        <v>0.37318087318087317</v>
      </c>
      <c r="D42">
        <f t="shared" si="4"/>
        <v>0.74228923920493484</v>
      </c>
      <c r="E42">
        <f t="shared" si="4"/>
        <v>0.8321917808219178</v>
      </c>
      <c r="F42">
        <f t="shared" si="4"/>
        <v>0.70491803278688525</v>
      </c>
      <c r="G42">
        <f>AVERAGE(B42:F42)</f>
        <v>0.69573337650327005</v>
      </c>
      <c r="J42" t="s">
        <v>30</v>
      </c>
      <c r="K42">
        <v>57</v>
      </c>
      <c r="L42">
        <v>80</v>
      </c>
      <c r="M42">
        <v>141</v>
      </c>
      <c r="N42">
        <v>78</v>
      </c>
      <c r="O42">
        <v>87</v>
      </c>
      <c r="P42" s="1" t="s">
        <v>36</v>
      </c>
    </row>
    <row r="43" spans="1:16" x14ac:dyDescent="0.35">
      <c r="A43" t="s">
        <v>33</v>
      </c>
      <c r="B43">
        <f>917-B39-B41</f>
        <v>59</v>
      </c>
      <c r="C43">
        <f>C44-C41-C39</f>
        <v>54</v>
      </c>
      <c r="D43">
        <f>D44-D41-D39</f>
        <v>96</v>
      </c>
      <c r="E43">
        <f>E44-E41-E39</f>
        <v>51</v>
      </c>
      <c r="F43">
        <f>F44-F41-F39</f>
        <v>105</v>
      </c>
      <c r="J43" t="s">
        <v>31</v>
      </c>
      <c r="K43" s="7">
        <f>K40/(K40+K41+K42+K44)</f>
        <v>0.71321160042964549</v>
      </c>
      <c r="L43" s="7">
        <f>L40/(L40+L41+L42+L44)</f>
        <v>0.58588479501816293</v>
      </c>
      <c r="M43" s="7">
        <f>M40/(M40+M41+M42+M44)</f>
        <v>0.65745856353591159</v>
      </c>
      <c r="N43" s="7">
        <f>N40/(N40+N41+N42+N44)</f>
        <v>0.73234624145785876</v>
      </c>
      <c r="O43" s="7">
        <f>O40/(O40+O41+O42+O44)</f>
        <v>0.70145423438836607</v>
      </c>
      <c r="P43" s="7">
        <f>AVERAGE(K43:O43)</f>
        <v>0.67807108696598895</v>
      </c>
    </row>
    <row r="44" spans="1:16" x14ac:dyDescent="0.35">
      <c r="A44" t="s">
        <v>34</v>
      </c>
      <c r="B44">
        <v>917</v>
      </c>
      <c r="C44">
        <v>1915</v>
      </c>
      <c r="D44">
        <v>1448</v>
      </c>
      <c r="E44">
        <v>873</v>
      </c>
      <c r="F44">
        <v>1157</v>
      </c>
      <c r="G44" s="1" t="s">
        <v>36</v>
      </c>
      <c r="J44" t="s">
        <v>33</v>
      </c>
      <c r="K44">
        <f>K45-(K42+K40)</f>
        <v>196</v>
      </c>
      <c r="L44">
        <f>L45-(L42+L40)</f>
        <v>706</v>
      </c>
      <c r="M44">
        <f>M45-(M42+M40)</f>
        <v>355</v>
      </c>
      <c r="N44">
        <f>N45-(N42+N40)</f>
        <v>152</v>
      </c>
      <c r="O44">
        <f>O45-(O42+O40)</f>
        <v>250</v>
      </c>
    </row>
    <row r="45" spans="1:16" x14ac:dyDescent="0.35">
      <c r="A45" t="s">
        <v>35</v>
      </c>
      <c r="B45">
        <f>779/917</f>
        <v>0.84950926935659765</v>
      </c>
      <c r="C45">
        <f>C39/C44</f>
        <v>0.37493472584856397</v>
      </c>
      <c r="D45">
        <f>D39/D44</f>
        <v>0.7479281767955801</v>
      </c>
      <c r="E45">
        <f>E39/E44</f>
        <v>0.83505154639175261</v>
      </c>
      <c r="F45">
        <f>F39/F44</f>
        <v>0.70613656006914438</v>
      </c>
      <c r="G45">
        <f>AVERAGE(B45:F45)</f>
        <v>0.70271205569232775</v>
      </c>
      <c r="J45" t="s">
        <v>34</v>
      </c>
      <c r="K45">
        <v>917</v>
      </c>
      <c r="L45">
        <v>1915</v>
      </c>
      <c r="M45">
        <v>1448</v>
      </c>
      <c r="N45">
        <v>873</v>
      </c>
      <c r="O45">
        <v>1157</v>
      </c>
      <c r="P45" s="1" t="s">
        <v>36</v>
      </c>
    </row>
    <row r="46" spans="1:16" x14ac:dyDescent="0.35">
      <c r="J46" t="s">
        <v>35</v>
      </c>
      <c r="K46">
        <f>865/917</f>
        <v>0.9432933478735005</v>
      </c>
      <c r="L46">
        <f>L40/L45</f>
        <v>0.58955613577023502</v>
      </c>
      <c r="M46">
        <f>M40/M45</f>
        <v>0.65745856353591159</v>
      </c>
      <c r="N46">
        <f>N40/N45</f>
        <v>0.73654066437571597</v>
      </c>
      <c r="O46">
        <f>O40/O45</f>
        <v>0.70872947277441656</v>
      </c>
      <c r="P46" s="7">
        <f t="shared" ref="P46" si="5">AVERAGE(K46:O46)</f>
        <v>0.72711563686595582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R. (Ramneek)</dc:creator>
  <cp:lastModifiedBy>Singh, R. (Ramneek)</cp:lastModifiedBy>
  <dcterms:created xsi:type="dcterms:W3CDTF">2024-02-21T21:06:03Z</dcterms:created>
  <dcterms:modified xsi:type="dcterms:W3CDTF">2024-11-05T00:05:27Z</dcterms:modified>
</cp:coreProperties>
</file>