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ne\OneDrive\Documenten\Master BFW jaar 1\Reseach project 1\TD52_20240208_124732_176\plaat1 losse images traningset\trainingset\"/>
    </mc:Choice>
  </mc:AlternateContent>
  <xr:revisionPtr revIDLastSave="0" documentId="13_ncr:1_{B4436AF8-0147-442A-9CEF-F2D25CBD29AB}" xr6:coauthVersionLast="47" xr6:coauthVersionMax="47" xr10:uidLastSave="{00000000-0000-0000-0000-000000000000}"/>
  <bookViews>
    <workbookView xWindow="-110" yWindow="-110" windowWidth="19420" windowHeight="10300" xr2:uid="{0C174DB2-D208-42DD-99B8-A1F7828F900F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G42" i="1"/>
  <c r="N34" i="1"/>
  <c r="N32" i="1"/>
  <c r="G34" i="1"/>
  <c r="G32" i="1"/>
  <c r="M34" i="1"/>
  <c r="M32" i="1"/>
  <c r="L34" i="1"/>
  <c r="L32" i="1"/>
  <c r="K34" i="1"/>
  <c r="K32" i="1"/>
  <c r="J34" i="1"/>
  <c r="J32" i="1"/>
  <c r="I34" i="1"/>
  <c r="I32" i="1"/>
  <c r="F44" i="1"/>
  <c r="F42" i="1"/>
  <c r="E44" i="1"/>
  <c r="E42" i="1"/>
  <c r="D44" i="1"/>
  <c r="D42" i="1"/>
  <c r="C44" i="1"/>
  <c r="C42" i="1"/>
  <c r="B44" i="1"/>
  <c r="B42" i="1"/>
  <c r="F34" i="1"/>
  <c r="F32" i="1"/>
  <c r="E34" i="1"/>
  <c r="E32" i="1"/>
  <c r="D34" i="1"/>
  <c r="D32" i="1"/>
  <c r="C34" i="1"/>
  <c r="B34" i="1"/>
  <c r="B32" i="1"/>
  <c r="C32" i="1"/>
  <c r="G23" i="1"/>
  <c r="F23" i="1"/>
  <c r="E23" i="1"/>
  <c r="D23" i="1"/>
  <c r="C23" i="1"/>
  <c r="B23" i="1"/>
  <c r="G22" i="1"/>
  <c r="F22" i="1"/>
  <c r="E22" i="1"/>
  <c r="D22" i="1"/>
  <c r="C22" i="1"/>
  <c r="B22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G12" i="1"/>
  <c r="F12" i="1"/>
  <c r="E12" i="1"/>
  <c r="D12" i="1"/>
  <c r="C12" i="1"/>
  <c r="B12" i="1"/>
  <c r="G8" i="1"/>
  <c r="F8" i="1"/>
  <c r="E8" i="1"/>
  <c r="D8" i="1"/>
  <c r="C8" i="1"/>
  <c r="B8" i="1"/>
  <c r="G5" i="1"/>
  <c r="F5" i="1"/>
  <c r="E5" i="1"/>
  <c r="D5" i="1"/>
  <c r="C5" i="1"/>
  <c r="B5" i="1"/>
  <c r="F3" i="1"/>
  <c r="E3" i="1"/>
  <c r="D3" i="1"/>
  <c r="C3" i="1"/>
  <c r="B3" i="1"/>
  <c r="F2" i="1"/>
  <c r="E2" i="1"/>
  <c r="D2" i="1"/>
  <c r="C2" i="1"/>
  <c r="G2" i="1" s="1"/>
  <c r="B2" i="1"/>
  <c r="G3" i="1" l="1"/>
  <c r="G17" i="1"/>
  <c r="G18" i="1"/>
  <c r="G19" i="1"/>
  <c r="G20" i="1"/>
  <c r="F21" i="1"/>
  <c r="E21" i="1"/>
  <c r="D21" i="1"/>
  <c r="C21" i="1"/>
  <c r="B21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7" i="1"/>
  <c r="E7" i="1"/>
  <c r="D7" i="1"/>
  <c r="C7" i="1"/>
  <c r="B7" i="1"/>
  <c r="F6" i="1"/>
  <c r="E6" i="1"/>
  <c r="D6" i="1"/>
  <c r="C6" i="1"/>
  <c r="B6" i="1"/>
  <c r="F4" i="1"/>
  <c r="E4" i="1"/>
  <c r="D4" i="1"/>
  <c r="C4" i="1"/>
  <c r="B4" i="1"/>
  <c r="G16" i="1" l="1"/>
  <c r="G21" i="1"/>
  <c r="G7" i="1"/>
  <c r="G15" i="1"/>
  <c r="G9" i="1"/>
  <c r="G10" i="1"/>
  <c r="G13" i="1"/>
  <c r="G14" i="1"/>
  <c r="G4" i="1"/>
  <c r="G6" i="1"/>
  <c r="G11" i="1"/>
</calcChain>
</file>

<file path=xl/sharedStrings.xml><?xml version="1.0" encoding="utf-8"?>
<sst xmlns="http://schemas.openxmlformats.org/spreadsheetml/2006/main" count="68" uniqueCount="45">
  <si>
    <t>model</t>
  </si>
  <si>
    <t>IOU image 1</t>
  </si>
  <si>
    <t>IOU image 2</t>
  </si>
  <si>
    <t>IOU image 3</t>
  </si>
  <si>
    <t>IOU image 4</t>
  </si>
  <si>
    <t>IOU image 5</t>
  </si>
  <si>
    <t>NDP 5 CDP 5</t>
  </si>
  <si>
    <t>NDP 10 CDP 5</t>
  </si>
  <si>
    <t>NDP 10 CDP 10</t>
  </si>
  <si>
    <t>NDP 15 CDP 5</t>
  </si>
  <si>
    <t>NDP 15 CDP 10</t>
  </si>
  <si>
    <t>NDP 15 CDP 15</t>
  </si>
  <si>
    <t>NDP 20 CDP 5</t>
  </si>
  <si>
    <t>NDP 20 CDP 15</t>
  </si>
  <si>
    <t>NDP 20 CDP 10</t>
  </si>
  <si>
    <t>NDP 20 CDP 20</t>
  </si>
  <si>
    <t>NDP 30 CDP 5</t>
  </si>
  <si>
    <t>NDP 30 CDP 10</t>
  </si>
  <si>
    <t>NDP 30 CDP 15</t>
  </si>
  <si>
    <t>NDP 30 CDP 20</t>
  </si>
  <si>
    <t>NDP 30 CDP 30</t>
  </si>
  <si>
    <t>NDP 25 CDP 25</t>
  </si>
  <si>
    <t>NDP 25 CDP 5</t>
  </si>
  <si>
    <t>NDP 25 CDP 10</t>
  </si>
  <si>
    <t>NDP 25 CDP 15</t>
  </si>
  <si>
    <t>NDP 25 CDP 20</t>
  </si>
  <si>
    <t>image 1</t>
  </si>
  <si>
    <t xml:space="preserve"> image 2</t>
  </si>
  <si>
    <t>ground truth nucleis total</t>
  </si>
  <si>
    <t>true postive</t>
  </si>
  <si>
    <t>false postive</t>
  </si>
  <si>
    <t>false negative</t>
  </si>
  <si>
    <t>AP</t>
  </si>
  <si>
    <t>herkend aan andere nuclei</t>
  </si>
  <si>
    <t>true postive/ground truth</t>
  </si>
  <si>
    <t xml:space="preserve"> image 4</t>
  </si>
  <si>
    <t xml:space="preserve"> image 3</t>
  </si>
  <si>
    <t xml:space="preserve"> image 5</t>
  </si>
  <si>
    <t>NDP 5 CDP 15</t>
  </si>
  <si>
    <t>NDP 10 CDP 15</t>
  </si>
  <si>
    <t>image 2</t>
  </si>
  <si>
    <t>image 3</t>
  </si>
  <si>
    <t>image 4</t>
  </si>
  <si>
    <t>image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</si>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</sst>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C936A-191F-43D1-8CC0-26F59D72CD27}">
  <dimension ref="A1:N44"/>
  <sheetViews>
    <sheetView tabSelected="1" topLeftCell="A19" zoomScale="70" zoomScaleNormal="70" workbookViewId="0">
      <selection activeCell="H15" sqref="H15"/>
    </sheetView>
  </sheetViews>
  <sheetFormatPr defaultRowHeight="14.5" x14ac:dyDescent="0.35"/>
  <cols>
    <col min="1" max="1" width="23.26953125" bestFit="1" customWidth="1"/>
    <col min="2" max="6" width="10.90625" bestFit="1" customWidth="1"/>
    <col min="7" max="7" width="10.54296875" bestFit="1" customWidth="1"/>
    <col min="8" max="8" width="23.269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</row>
    <row r="2" spans="1:7" x14ac:dyDescent="0.35">
      <c r="A2" t="s">
        <v>6</v>
      </c>
      <c r="B2">
        <f>12269325/16911090</f>
        <v>0.72551946681142376</v>
      </c>
      <c r="C2">
        <f>12496530/19490160</f>
        <v>0.64117123717814528</v>
      </c>
      <c r="D2">
        <f>11783805/18090465</f>
        <v>0.65138209548510773</v>
      </c>
      <c r="E2">
        <f>14412090/20534130</f>
        <v>0.70186026873308005</v>
      </c>
      <c r="F2">
        <f>12076545/16458720</f>
        <v>0.73374752107089736</v>
      </c>
      <c r="G2">
        <f t="shared" ref="G2:G3" si="0">AVERAGE(B2:F2)</f>
        <v>0.69073611785573086</v>
      </c>
    </row>
    <row r="3" spans="1:7" x14ac:dyDescent="0.35">
      <c r="A3" t="s">
        <v>7</v>
      </c>
      <c r="B3">
        <f>12916005/16923585</f>
        <v>0.76319556406045175</v>
      </c>
      <c r="C3">
        <f>13121280/19530450</f>
        <v>0.67183705444575015</v>
      </c>
      <c r="D3">
        <f>11910540/18093015</f>
        <v>0.65829492762814823</v>
      </c>
      <c r="E3">
        <f>14435295/20545350</f>
        <v>0.702606429192007</v>
      </c>
      <c r="F3">
        <f>12204810/16516605</f>
        <v>0.73894181037810136</v>
      </c>
      <c r="G3">
        <f t="shared" si="0"/>
        <v>0.70697515714089165</v>
      </c>
    </row>
    <row r="4" spans="1:7" x14ac:dyDescent="0.35">
      <c r="A4" t="s">
        <v>8</v>
      </c>
      <c r="B4">
        <f>12555180/16734630</f>
        <v>0.75025142474019446</v>
      </c>
      <c r="C4">
        <f>12642645/19365210</f>
        <v>0.6528534934555319</v>
      </c>
      <c r="D4">
        <f>13224300/18026460</f>
        <v>0.73360493408023542</v>
      </c>
      <c r="E4">
        <f>15112065/20509905</f>
        <v>0.73681789359823946</v>
      </c>
      <c r="F4">
        <f>12138000/16417920</f>
        <v>0.73931411530815105</v>
      </c>
      <c r="G4">
        <f>AVERAGE(B4:F4)</f>
        <v>0.72256837223647052</v>
      </c>
    </row>
    <row r="5" spans="1:7" x14ac:dyDescent="0.35">
      <c r="A5" t="s">
        <v>9</v>
      </c>
      <c r="B5">
        <f>13086855/16923840</f>
        <v>0.77327929122468664</v>
      </c>
      <c r="C5">
        <f>13244190/19532235</f>
        <v>0.67806833165789782</v>
      </c>
      <c r="D5">
        <f>12224955/18108315</f>
        <v>0.67510174193457539</v>
      </c>
      <c r="E5">
        <f>14454420/20545605</f>
        <v>0.70352856486825288</v>
      </c>
      <c r="F5">
        <f>12339705/16518645</f>
        <v>0.7470167801293629</v>
      </c>
      <c r="G5">
        <f>AVERAGE(B5:F5)</f>
        <v>0.71539894196295506</v>
      </c>
    </row>
    <row r="6" spans="1:7" x14ac:dyDescent="0.35">
      <c r="A6" t="s">
        <v>10</v>
      </c>
      <c r="B6">
        <f>12790545/16734375</f>
        <v>0.76432761904761903</v>
      </c>
      <c r="C6">
        <f>12815535/19364700</f>
        <v>0.66179878851725049</v>
      </c>
      <c r="D6">
        <f>13432635/18026205</f>
        <v>0.74517265281294653</v>
      </c>
      <c r="E6">
        <f>15106710/20509650</f>
        <v>0.73656595797587965</v>
      </c>
      <c r="F6">
        <f>12239235/16417920</f>
        <v>0.74548024353876741</v>
      </c>
      <c r="G6">
        <f t="shared" ref="G6:G14" si="1">AVERAGE(B6:F6)</f>
        <v>0.73066905237849267</v>
      </c>
    </row>
    <row r="7" spans="1:7" x14ac:dyDescent="0.35">
      <c r="A7" t="s">
        <v>11</v>
      </c>
      <c r="B7" s="3">
        <f>14067330/16768800</f>
        <v>0.83889902676399031</v>
      </c>
      <c r="C7" s="3">
        <f>15382365/19456755</f>
        <v>0.79059252172317529</v>
      </c>
      <c r="D7">
        <f>14185140/18005805</f>
        <v>0.78780926484542069</v>
      </c>
      <c r="E7">
        <f>15960195/20489505</f>
        <v>0.7789448793418875</v>
      </c>
      <c r="F7">
        <f>12938955/16429395</f>
        <v>0.78754908503934562</v>
      </c>
      <c r="G7" s="2">
        <f t="shared" si="1"/>
        <v>0.79675895554276388</v>
      </c>
    </row>
    <row r="8" spans="1:7" x14ac:dyDescent="0.35">
      <c r="A8" t="s">
        <v>12</v>
      </c>
      <c r="B8">
        <f>12997350/16923585</f>
        <v>0.76800216975303992</v>
      </c>
      <c r="C8">
        <f>13291110/19529430</f>
        <v>0.68056825007181465</v>
      </c>
      <c r="D8">
        <f>12340980/18108570</f>
        <v>0.68149942264905516</v>
      </c>
      <c r="E8">
        <f>14508990/20545860</f>
        <v>0.70617584272451972</v>
      </c>
      <c r="F8">
        <f>12316755/16518390</f>
        <v>0.74563895149587822</v>
      </c>
      <c r="G8" s="3">
        <f t="shared" si="1"/>
        <v>0.71637692733886149</v>
      </c>
    </row>
    <row r="9" spans="1:7" x14ac:dyDescent="0.35">
      <c r="A9" t="s">
        <v>14</v>
      </c>
      <c r="B9">
        <f>12577875/16731570</f>
        <v>0.75174505440911998</v>
      </c>
      <c r="C9">
        <f>12811200/19369545</f>
        <v>0.66140944456878048</v>
      </c>
      <c r="D9">
        <f>13588440/18026205</f>
        <v>0.75381590301452805</v>
      </c>
      <c r="E9">
        <f>15157200/20509905</f>
        <v>0.73901853762852632</v>
      </c>
      <c r="F9">
        <f>12200475/16417665</f>
        <v>0.74313095071680413</v>
      </c>
      <c r="G9">
        <f t="shared" si="1"/>
        <v>0.72982397806755173</v>
      </c>
    </row>
    <row r="10" spans="1:7" x14ac:dyDescent="0.35">
      <c r="A10" t="s">
        <v>13</v>
      </c>
      <c r="B10">
        <f>13936005/16768290</f>
        <v>0.831092794793029</v>
      </c>
      <c r="C10">
        <f>15360945/19458285</f>
        <v>0.78942954119543418</v>
      </c>
      <c r="D10" s="2">
        <f>14358540/18005550</f>
        <v>0.79745078600764763</v>
      </c>
      <c r="E10" s="2">
        <f>16042815/20489760</f>
        <v>0.78296744324970136</v>
      </c>
      <c r="F10" s="2">
        <f>12985620/16429395</f>
        <v>0.79038942091294295</v>
      </c>
      <c r="G10" s="2">
        <f t="shared" si="1"/>
        <v>0.79826599723175096</v>
      </c>
    </row>
    <row r="11" spans="1:7" x14ac:dyDescent="0.35">
      <c r="A11" t="s">
        <v>15</v>
      </c>
      <c r="B11">
        <f>11526255/16715760</f>
        <v>0.68954417866731754</v>
      </c>
      <c r="C11">
        <f>12313695/19327980</f>
        <v>0.6370916671064436</v>
      </c>
      <c r="D11">
        <f>13098585/17986170</f>
        <v>0.72825871211047155</v>
      </c>
      <c r="E11">
        <f>14321055/20452785</f>
        <v>0.70020073060954779</v>
      </c>
      <c r="F11">
        <f>11738925/16368450</f>
        <v>0.71716778314379181</v>
      </c>
      <c r="G11">
        <f t="shared" si="1"/>
        <v>0.69445261432751448</v>
      </c>
    </row>
    <row r="12" spans="1:7" x14ac:dyDescent="0.35">
      <c r="A12" t="s">
        <v>16</v>
      </c>
      <c r="B12">
        <f>13277340/16926135</f>
        <v>0.78442834114226312</v>
      </c>
      <c r="C12">
        <f>13388775/19534785</f>
        <v>0.68538123148015195</v>
      </c>
      <c r="D12">
        <f>12226230/18109590</f>
        <v>0.67512461629446052</v>
      </c>
      <c r="E12">
        <f>14460540/20545605</f>
        <v>0.70382643879311413</v>
      </c>
      <c r="F12">
        <f>12216285/16515585</f>
        <v>0.73968224558803097</v>
      </c>
      <c r="G12">
        <f t="shared" si="1"/>
        <v>0.71768857465960412</v>
      </c>
    </row>
    <row r="13" spans="1:7" x14ac:dyDescent="0.35">
      <c r="A13" t="s">
        <v>17</v>
      </c>
      <c r="B13">
        <f>12986385/16734885</f>
        <v>0.77600682645862218</v>
      </c>
      <c r="C13">
        <f>13009335/19371840</f>
        <v>0.67155907750631849</v>
      </c>
      <c r="D13">
        <f>13456860/18026205</f>
        <v>0.74651652968553284</v>
      </c>
      <c r="E13">
        <f>15106710/20509650</f>
        <v>0.73656595797587965</v>
      </c>
      <c r="F13">
        <f>12138000/16417920</f>
        <v>0.73931411530815105</v>
      </c>
      <c r="G13">
        <f t="shared" si="1"/>
        <v>0.73399250138690086</v>
      </c>
    </row>
    <row r="14" spans="1:7" x14ac:dyDescent="0.35">
      <c r="A14" t="s">
        <v>18</v>
      </c>
      <c r="B14" s="2">
        <f>14407755/16771605</f>
        <v>0.85905642304359064</v>
      </c>
      <c r="C14" s="2">
        <f>15535620/19463130</f>
        <v>0.79820768807483689</v>
      </c>
      <c r="D14">
        <f>14181060/18005295</f>
        <v>0.78760497953518671</v>
      </c>
      <c r="E14">
        <f>15960195/20489505</f>
        <v>0.7789448793418875</v>
      </c>
      <c r="F14">
        <f>12841545/16429140</f>
        <v>0.78163220959831126</v>
      </c>
      <c r="G14" s="2">
        <f t="shared" si="1"/>
        <v>0.80108923591876258</v>
      </c>
    </row>
    <row r="15" spans="1:7" x14ac:dyDescent="0.35">
      <c r="A15" t="s">
        <v>19</v>
      </c>
      <c r="B15">
        <f>11901870/16716525</f>
        <v>0.71198230493478754</v>
      </c>
      <c r="C15">
        <f>12514380/19327980</f>
        <v>0.6474748007810438</v>
      </c>
      <c r="D15">
        <f>12829560/17985405</f>
        <v>0.71333172647488341</v>
      </c>
      <c r="E15">
        <f>14251950/20452785</f>
        <v>0.69682197314448868</v>
      </c>
      <c r="F15">
        <f>11738925/16368450</f>
        <v>0.71716778314379181</v>
      </c>
      <c r="G15" s="3">
        <f>AVERAGE(B15:F15)</f>
        <v>0.69735571769579896</v>
      </c>
    </row>
    <row r="16" spans="1:7" x14ac:dyDescent="0.35">
      <c r="A16" t="s">
        <v>20</v>
      </c>
      <c r="B16">
        <f>12826500/16644615</f>
        <v>0.77060959355323033</v>
      </c>
      <c r="C16">
        <f>14193300/19337415</f>
        <v>0.73398124826922317</v>
      </c>
      <c r="D16">
        <f>13218180/17945625</f>
        <v>0.73656838365896982</v>
      </c>
      <c r="E16">
        <f>15172755/20445900</f>
        <v>0.74209279121975558</v>
      </c>
      <c r="F16">
        <f>12259380/16370490</f>
        <v>0.74887068132963641</v>
      </c>
      <c r="G16" s="3">
        <f>AVERAGE(B16:F16)</f>
        <v>0.74642453960616306</v>
      </c>
    </row>
    <row r="17" spans="1:14" x14ac:dyDescent="0.35">
      <c r="A17" t="s">
        <v>22</v>
      </c>
      <c r="B17">
        <f>13382145/16927920</f>
        <v>0.79053687635574832</v>
      </c>
      <c r="C17">
        <f>13107000/19525605</f>
        <v>0.67127241383813718</v>
      </c>
      <c r="D17">
        <f>11913600/18092760</f>
        <v>0.65847333408501518</v>
      </c>
      <c r="E17">
        <f>14479920/20545350</f>
        <v>0.7047784535186794</v>
      </c>
      <c r="F17">
        <f>12328485/16517370</f>
        <v>0.74639515855127059</v>
      </c>
      <c r="G17" s="3">
        <f t="shared" ref="G17:G23" si="2">AVERAGE(B17:F17)</f>
        <v>0.71429124726977</v>
      </c>
    </row>
    <row r="18" spans="1:14" x14ac:dyDescent="0.35">
      <c r="A18" t="s">
        <v>23</v>
      </c>
      <c r="B18">
        <f>12844605/16734375</f>
        <v>0.76755809523809526</v>
      </c>
      <c r="C18">
        <f>12783915/19365210</f>
        <v>0.66014853440783761</v>
      </c>
      <c r="D18">
        <f>13365570/18025440</f>
        <v>0.74148370303304667</v>
      </c>
      <c r="E18">
        <f>15138585/20509905</f>
        <v>0.73811092737874695</v>
      </c>
      <c r="F18">
        <f>12210420/16417920</f>
        <v>0.7437251491053678</v>
      </c>
      <c r="G18" s="3">
        <f t="shared" si="2"/>
        <v>0.7302052818326189</v>
      </c>
    </row>
    <row r="19" spans="1:14" x14ac:dyDescent="0.35">
      <c r="A19" t="s">
        <v>24</v>
      </c>
      <c r="B19">
        <f>14286375/16770330</f>
        <v>0.85188395219414292</v>
      </c>
      <c r="C19">
        <f>15396135/19458795</f>
        <v>0.79121728760696641</v>
      </c>
      <c r="D19">
        <f>14129295/18005295</f>
        <v>0.78472999192737469</v>
      </c>
      <c r="E19" s="4">
        <f>16011450/20489760</f>
        <v>0.78143667861409793</v>
      </c>
      <c r="F19" s="4">
        <f>12922125/16429140</f>
        <v>0.78653690941826537</v>
      </c>
      <c r="G19" s="2">
        <f t="shared" si="2"/>
        <v>0.79916096395216951</v>
      </c>
    </row>
    <row r="20" spans="1:14" x14ac:dyDescent="0.35">
      <c r="A20" t="s">
        <v>25</v>
      </c>
      <c r="B20">
        <f>11856990/16716525</f>
        <v>0.7092975364198002</v>
      </c>
      <c r="C20">
        <f>12109950/19327980</f>
        <v>0.62655021373159536</v>
      </c>
      <c r="D20">
        <f>12807375/17985405</f>
        <v>0.7120982263118345</v>
      </c>
      <c r="E20">
        <f>14252460/20452785</f>
        <v>0.69684690862393561</v>
      </c>
      <c r="F20">
        <f>11738925/16368450</f>
        <v>0.71716778314379181</v>
      </c>
      <c r="G20" s="3">
        <f t="shared" si="2"/>
        <v>0.69239213364619145</v>
      </c>
    </row>
    <row r="21" spans="1:14" x14ac:dyDescent="0.35">
      <c r="A21" t="s">
        <v>21</v>
      </c>
      <c r="B21">
        <f>12376935/16749930</f>
        <v>0.73892458058033672</v>
      </c>
      <c r="C21">
        <f>13740420/19359345</f>
        <v>0.70975645095430662</v>
      </c>
      <c r="D21">
        <f>12765555/17942310</f>
        <v>0.71147778630510783</v>
      </c>
      <c r="E21">
        <f>15396390/20476245</f>
        <v>0.75191471873871407</v>
      </c>
      <c r="F21">
        <f>11942925/16448775</f>
        <v>0.72606774668630336</v>
      </c>
      <c r="G21" s="3">
        <f t="shared" si="2"/>
        <v>0.72762825665295383</v>
      </c>
    </row>
    <row r="22" spans="1:14" x14ac:dyDescent="0.35">
      <c r="A22" t="s">
        <v>38</v>
      </c>
      <c r="B22">
        <f>13126380/16754520</f>
        <v>0.78345306221843414</v>
      </c>
      <c r="C22">
        <f>14708655/19454205</f>
        <v>0.75606559096092596</v>
      </c>
      <c r="D22">
        <f>13655250/18001215</f>
        <v>0.75857379626875188</v>
      </c>
      <c r="E22">
        <f>15938265/20489760</f>
        <v>0.7778648944643568</v>
      </c>
      <c r="F22">
        <f>12718635/16428630</f>
        <v>0.77417502250644155</v>
      </c>
      <c r="G22" s="3">
        <f t="shared" si="2"/>
        <v>0.77002647328378215</v>
      </c>
    </row>
    <row r="23" spans="1:14" x14ac:dyDescent="0.35">
      <c r="A23" t="s">
        <v>39</v>
      </c>
      <c r="B23">
        <f>14071665/16771605</f>
        <v>0.83901719602864488</v>
      </c>
      <c r="C23">
        <f>15333405/19459050</f>
        <v>0.78798322631372031</v>
      </c>
      <c r="D23">
        <f>13972980/18005550</f>
        <v>0.77603738847188786</v>
      </c>
      <c r="E23">
        <f>16042815/20489760</f>
        <v>0.78296744324970136</v>
      </c>
      <c r="F23">
        <f>12841545/16429140</f>
        <v>0.78163220959831126</v>
      </c>
      <c r="G23" s="3">
        <f t="shared" si="2"/>
        <v>0.79352749273245315</v>
      </c>
    </row>
    <row r="26" spans="1:14" x14ac:dyDescent="0.35">
      <c r="A26" s="1" t="s">
        <v>18</v>
      </c>
      <c r="H26" s="1" t="s">
        <v>13</v>
      </c>
    </row>
    <row r="27" spans="1:14" x14ac:dyDescent="0.35">
      <c r="B27" s="1" t="s">
        <v>26</v>
      </c>
      <c r="C27" s="1" t="s">
        <v>27</v>
      </c>
      <c r="D27" s="1" t="s">
        <v>36</v>
      </c>
      <c r="E27" s="1" t="s">
        <v>35</v>
      </c>
      <c r="F27" s="1" t="s">
        <v>37</v>
      </c>
      <c r="I27" s="1" t="s">
        <v>26</v>
      </c>
      <c r="J27" s="1" t="s">
        <v>40</v>
      </c>
      <c r="K27" s="1" t="s">
        <v>41</v>
      </c>
      <c r="L27" s="1" t="s">
        <v>42</v>
      </c>
      <c r="M27" s="1" t="s">
        <v>43</v>
      </c>
    </row>
    <row r="28" spans="1:14" x14ac:dyDescent="0.35">
      <c r="A28" t="s">
        <v>28</v>
      </c>
      <c r="B28">
        <v>239</v>
      </c>
      <c r="C28">
        <v>290</v>
      </c>
      <c r="D28">
        <v>260</v>
      </c>
      <c r="E28">
        <v>284</v>
      </c>
      <c r="F28">
        <v>230</v>
      </c>
      <c r="H28" t="s">
        <v>28</v>
      </c>
      <c r="I28">
        <v>239</v>
      </c>
      <c r="J28">
        <v>290</v>
      </c>
      <c r="K28">
        <v>260</v>
      </c>
      <c r="L28">
        <v>284</v>
      </c>
      <c r="M28">
        <v>230</v>
      </c>
    </row>
    <row r="29" spans="1:14" x14ac:dyDescent="0.35">
      <c r="A29" t="s">
        <v>29</v>
      </c>
      <c r="B29">
        <v>237</v>
      </c>
      <c r="C29">
        <v>272</v>
      </c>
      <c r="D29">
        <v>247</v>
      </c>
      <c r="E29">
        <v>274</v>
      </c>
      <c r="F29">
        <v>218</v>
      </c>
      <c r="H29" t="s">
        <v>29</v>
      </c>
      <c r="I29">
        <v>228</v>
      </c>
      <c r="J29">
        <v>267</v>
      </c>
      <c r="K29">
        <v>252</v>
      </c>
      <c r="L29">
        <v>275</v>
      </c>
      <c r="M29">
        <v>220</v>
      </c>
    </row>
    <row r="30" spans="1:14" x14ac:dyDescent="0.35">
      <c r="A30" t="s">
        <v>30</v>
      </c>
      <c r="B30">
        <v>0</v>
      </c>
      <c r="C30">
        <v>0</v>
      </c>
      <c r="D30">
        <v>0</v>
      </c>
      <c r="E30">
        <v>0</v>
      </c>
      <c r="F30">
        <v>1</v>
      </c>
      <c r="H30" t="s">
        <v>30</v>
      </c>
      <c r="I30">
        <v>0</v>
      </c>
      <c r="J30">
        <v>0</v>
      </c>
      <c r="K30">
        <v>0</v>
      </c>
      <c r="L30">
        <v>0</v>
      </c>
      <c r="M30">
        <v>1</v>
      </c>
    </row>
    <row r="31" spans="1:14" x14ac:dyDescent="0.35">
      <c r="A31" t="s">
        <v>31</v>
      </c>
      <c r="B31">
        <v>2</v>
      </c>
      <c r="C31">
        <v>15</v>
      </c>
      <c r="D31">
        <v>11</v>
      </c>
      <c r="E31">
        <v>10</v>
      </c>
      <c r="F31">
        <v>12</v>
      </c>
      <c r="H31" t="s">
        <v>31</v>
      </c>
      <c r="I31">
        <v>8</v>
      </c>
      <c r="J31">
        <v>20</v>
      </c>
      <c r="K31">
        <v>8</v>
      </c>
      <c r="L31">
        <v>9</v>
      </c>
      <c r="M31">
        <v>10</v>
      </c>
    </row>
    <row r="32" spans="1:14" x14ac:dyDescent="0.35">
      <c r="A32" t="s">
        <v>32</v>
      </c>
      <c r="B32" s="2">
        <f>B29/(SUM(B29:B31))</f>
        <v>0.99163179916317989</v>
      </c>
      <c r="C32" s="2">
        <f>C29/(SUM(C29:C31))</f>
        <v>0.94773519163763065</v>
      </c>
      <c r="D32">
        <f>D29/(SUM(D29:D31))</f>
        <v>0.95736434108527135</v>
      </c>
      <c r="E32">
        <f>E29/(SUM(E29:E31))</f>
        <v>0.96478873239436624</v>
      </c>
      <c r="F32">
        <f>F29/(SUM(F29:F31))</f>
        <v>0.94372294372294374</v>
      </c>
      <c r="G32">
        <f>AVERAGE(B32:F32)</f>
        <v>0.96104860160067829</v>
      </c>
      <c r="H32" t="s">
        <v>32</v>
      </c>
      <c r="I32">
        <f>I29/SUM(I29:I31)</f>
        <v>0.96610169491525422</v>
      </c>
      <c r="J32">
        <f>J29/SUM(J29:J31)</f>
        <v>0.93031358885017423</v>
      </c>
      <c r="K32" s="2">
        <f>K29/SUM(K29:K31)</f>
        <v>0.96923076923076923</v>
      </c>
      <c r="L32" s="2">
        <f>L29/SUM(L29:L31)</f>
        <v>0.96830985915492962</v>
      </c>
      <c r="M32" s="2">
        <f>M29/SUM(M29:M31)</f>
        <v>0.95238095238095233</v>
      </c>
      <c r="N32" s="3">
        <f>AVERAGE(I32:M32)</f>
        <v>0.95726737290641584</v>
      </c>
    </row>
    <row r="33" spans="1:14" x14ac:dyDescent="0.35">
      <c r="A33" t="s">
        <v>33</v>
      </c>
      <c r="B33">
        <v>0</v>
      </c>
      <c r="C33">
        <v>3</v>
      </c>
      <c r="D33">
        <v>2</v>
      </c>
      <c r="E33">
        <v>0</v>
      </c>
      <c r="F33">
        <v>0</v>
      </c>
      <c r="H33" t="s">
        <v>33</v>
      </c>
      <c r="I33">
        <v>2</v>
      </c>
      <c r="J33">
        <v>3</v>
      </c>
      <c r="K33">
        <v>0</v>
      </c>
      <c r="L33">
        <v>0</v>
      </c>
      <c r="M33">
        <v>0</v>
      </c>
      <c r="N33" s="3"/>
    </row>
    <row r="34" spans="1:14" x14ac:dyDescent="0.35">
      <c r="A34" t="s">
        <v>34</v>
      </c>
      <c r="B34" s="2">
        <f>B29/B28</f>
        <v>0.99163179916317989</v>
      </c>
      <c r="C34" s="2">
        <f>C29/C28</f>
        <v>0.93793103448275861</v>
      </c>
      <c r="D34">
        <f>D29/D28</f>
        <v>0.95</v>
      </c>
      <c r="E34">
        <f>E29/E28</f>
        <v>0.96478873239436624</v>
      </c>
      <c r="F34">
        <f>F29/F28</f>
        <v>0.94782608695652171</v>
      </c>
      <c r="G34">
        <f>AVERAGE(B34:F34)</f>
        <v>0.95843553059936537</v>
      </c>
      <c r="H34" t="s">
        <v>34</v>
      </c>
      <c r="I34">
        <f>I29/I28</f>
        <v>0.95397489539748959</v>
      </c>
      <c r="J34">
        <f>J29/J28</f>
        <v>0.92068965517241375</v>
      </c>
      <c r="K34" s="2">
        <f>K29/K28</f>
        <v>0.96923076923076923</v>
      </c>
      <c r="L34" s="2">
        <f>L29/L28</f>
        <v>0.96830985915492962</v>
      </c>
      <c r="M34" s="2">
        <f>M29/M28</f>
        <v>0.95652173913043481</v>
      </c>
      <c r="N34" s="3">
        <f t="shared" ref="N34" si="3">AVERAGE(I34:M34)</f>
        <v>0.95374538361720729</v>
      </c>
    </row>
    <row r="36" spans="1:14" x14ac:dyDescent="0.35">
      <c r="A36" s="1" t="s">
        <v>24</v>
      </c>
    </row>
    <row r="37" spans="1:14" x14ac:dyDescent="0.35">
      <c r="B37" s="1" t="s">
        <v>26</v>
      </c>
      <c r="C37" s="1" t="s">
        <v>27</v>
      </c>
      <c r="D37" s="1" t="s">
        <v>36</v>
      </c>
      <c r="E37" s="1" t="s">
        <v>35</v>
      </c>
      <c r="F37" s="1" t="s">
        <v>37</v>
      </c>
    </row>
    <row r="38" spans="1:14" x14ac:dyDescent="0.35">
      <c r="A38" t="s">
        <v>28</v>
      </c>
      <c r="B38">
        <v>239</v>
      </c>
      <c r="C38">
        <v>290</v>
      </c>
      <c r="D38">
        <v>260</v>
      </c>
      <c r="E38">
        <v>284</v>
      </c>
      <c r="F38">
        <v>230</v>
      </c>
    </row>
    <row r="39" spans="1:14" x14ac:dyDescent="0.35">
      <c r="A39" t="s">
        <v>29</v>
      </c>
      <c r="B39">
        <v>234</v>
      </c>
      <c r="C39">
        <v>268</v>
      </c>
      <c r="D39">
        <v>246</v>
      </c>
      <c r="E39">
        <v>274</v>
      </c>
      <c r="F39">
        <v>219</v>
      </c>
    </row>
    <row r="40" spans="1:14" x14ac:dyDescent="0.35">
      <c r="A40" t="s">
        <v>30</v>
      </c>
      <c r="B40">
        <v>0</v>
      </c>
      <c r="C40">
        <v>0</v>
      </c>
      <c r="D40">
        <v>0</v>
      </c>
      <c r="E40">
        <v>0</v>
      </c>
      <c r="F40">
        <v>1</v>
      </c>
    </row>
    <row r="41" spans="1:14" x14ac:dyDescent="0.35">
      <c r="A41" t="s">
        <v>31</v>
      </c>
      <c r="B41">
        <v>5</v>
      </c>
      <c r="C41">
        <v>18</v>
      </c>
      <c r="D41">
        <v>12</v>
      </c>
      <c r="E41">
        <v>10</v>
      </c>
      <c r="F41">
        <v>11</v>
      </c>
    </row>
    <row r="42" spans="1:14" x14ac:dyDescent="0.35">
      <c r="A42" t="s">
        <v>32</v>
      </c>
      <c r="B42">
        <f>B39/(SUM(B39:B41))</f>
        <v>0.97907949790794979</v>
      </c>
      <c r="C42">
        <f>C39/(SUM(C39:C41))</f>
        <v>0.93706293706293708</v>
      </c>
      <c r="D42">
        <f>D39/(SUM(D39:D41))</f>
        <v>0.95348837209302328</v>
      </c>
      <c r="E42">
        <f>E39/(SUM(E39:E41))</f>
        <v>0.96478873239436624</v>
      </c>
      <c r="F42">
        <f>F39/(SUM(F39:F41))</f>
        <v>0.94805194805194803</v>
      </c>
      <c r="G42">
        <f>AVERAGE(B42:F42)</f>
        <v>0.95649429750204507</v>
      </c>
    </row>
    <row r="43" spans="1:14" x14ac:dyDescent="0.35">
      <c r="A43" t="s">
        <v>33</v>
      </c>
      <c r="B43">
        <v>0</v>
      </c>
      <c r="C43">
        <v>2</v>
      </c>
      <c r="D43">
        <v>2</v>
      </c>
      <c r="E43">
        <v>0</v>
      </c>
      <c r="F43">
        <v>0</v>
      </c>
    </row>
    <row r="44" spans="1:14" x14ac:dyDescent="0.35">
      <c r="A44" t="s">
        <v>34</v>
      </c>
      <c r="B44">
        <f>B39/B38</f>
        <v>0.97907949790794979</v>
      </c>
      <c r="C44">
        <f>C39/C38</f>
        <v>0.92413793103448272</v>
      </c>
      <c r="D44">
        <f>D39/D38</f>
        <v>0.94615384615384612</v>
      </c>
      <c r="E44">
        <f>E39/E38</f>
        <v>0.96478873239436624</v>
      </c>
      <c r="F44">
        <f>F39/F38</f>
        <v>0.95217391304347831</v>
      </c>
      <c r="G44">
        <f>AVERAGE(B44:F44)</f>
        <v>0.95326678410682464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R. (Ramneek)</dc:creator>
  <cp:lastModifiedBy>Singh, R. (Ramneek)</cp:lastModifiedBy>
  <dcterms:created xsi:type="dcterms:W3CDTF">2024-04-09T19:44:57Z</dcterms:created>
  <dcterms:modified xsi:type="dcterms:W3CDTF">2024-11-05T00:20:03Z</dcterms:modified>
</cp:coreProperties>
</file>