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ne\OneDrive\Documenten\Master BFW jaar 1\Reseach project 1\z. replicate 1 heldring data segmentation\"/>
    </mc:Choice>
  </mc:AlternateContent>
  <xr:revisionPtr revIDLastSave="0" documentId="13_ncr:1_{7EAC135E-29CA-4DAA-B224-401403E0387B}" xr6:coauthVersionLast="47" xr6:coauthVersionMax="47" xr10:uidLastSave="{00000000-0000-0000-0000-000000000000}"/>
  <bookViews>
    <workbookView xWindow="-110" yWindow="-110" windowWidth="19420" windowHeight="10300" xr2:uid="{8C3FBB04-3662-452D-8A1F-68E3A17838D6}"/>
  </bookViews>
  <sheets>
    <sheet name="Blad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6" i="1" s="1"/>
  <c r="B4" i="1"/>
  <c r="B5" i="1"/>
  <c r="B12" i="1"/>
  <c r="B14" i="1"/>
  <c r="F23" i="1"/>
  <c r="F21" i="1"/>
  <c r="K12" i="1" l="1"/>
  <c r="E23" i="1"/>
  <c r="E21" i="1"/>
  <c r="D21" i="1"/>
  <c r="D23" i="1"/>
  <c r="C23" i="1"/>
  <c r="C21" i="1"/>
  <c r="B23" i="1"/>
  <c r="B21" i="1"/>
  <c r="E6" i="1"/>
  <c r="E5" i="1"/>
  <c r="E4" i="1"/>
  <c r="E3" i="1"/>
  <c r="E2" i="1"/>
  <c r="Q14" i="1" l="1"/>
  <c r="Q12" i="1"/>
  <c r="P14" i="1"/>
  <c r="P13" i="1"/>
  <c r="P12" i="1"/>
  <c r="D6" i="1"/>
  <c r="D5" i="1"/>
  <c r="O12" i="1"/>
  <c r="O14" i="1"/>
  <c r="O13" i="1" l="1"/>
  <c r="D4" i="1"/>
  <c r="N14" i="1"/>
  <c r="N12" i="1"/>
  <c r="D3" i="1"/>
  <c r="M14" i="1"/>
  <c r="M12" i="1"/>
  <c r="D2" i="1"/>
  <c r="C6" i="1"/>
  <c r="C5" i="1"/>
  <c r="C4" i="1"/>
  <c r="C3" i="1"/>
  <c r="K14" i="1"/>
  <c r="F14" i="1"/>
  <c r="F12" i="1"/>
  <c r="J14" i="1"/>
  <c r="J12" i="1"/>
  <c r="I14" i="1"/>
  <c r="I12" i="1"/>
  <c r="H14" i="1"/>
  <c r="H12" i="1"/>
  <c r="G14" i="1"/>
  <c r="G12" i="1"/>
  <c r="C2" i="1"/>
  <c r="E14" i="1"/>
  <c r="E12" i="1"/>
  <c r="C12" i="1"/>
  <c r="C14" i="1"/>
  <c r="D14" i="1"/>
  <c r="D12" i="1"/>
</calcChain>
</file>

<file path=xl/sharedStrings.xml><?xml version="1.0" encoding="utf-8"?>
<sst xmlns="http://schemas.openxmlformats.org/spreadsheetml/2006/main" count="49" uniqueCount="21">
  <si>
    <t>image 1</t>
  </si>
  <si>
    <t>image 2</t>
  </si>
  <si>
    <t>image 3</t>
  </si>
  <si>
    <t>image 4</t>
  </si>
  <si>
    <t>IOU Stardist</t>
  </si>
  <si>
    <t>true postive</t>
  </si>
  <si>
    <t>false postive</t>
  </si>
  <si>
    <t>false negative</t>
  </si>
  <si>
    <t>ground truth nucleis total</t>
  </si>
  <si>
    <t>AP</t>
  </si>
  <si>
    <t>true postive/ground truth</t>
  </si>
  <si>
    <t>Stardist 0,479</t>
  </si>
  <si>
    <t>mean</t>
  </si>
  <si>
    <t>IOU Deepsea</t>
  </si>
  <si>
    <t>nuclei recognised in a clump</t>
  </si>
  <si>
    <t>Heldring method</t>
  </si>
  <si>
    <t>DeepSea</t>
  </si>
  <si>
    <t>models Heldring et al.</t>
  </si>
  <si>
    <t>iOU models Heldring</t>
  </si>
  <si>
    <t>IOU Method Heldring</t>
  </si>
  <si>
    <t>grayscale segmentation and wmap based on binary segmentation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</si>
</sst>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4C807-5C61-44B1-821C-C900E9344F17}">
  <dimension ref="A1:Q23"/>
  <sheetViews>
    <sheetView tabSelected="1" zoomScale="85" zoomScaleNormal="85" workbookViewId="0">
      <selection activeCell="I3" sqref="I3"/>
    </sheetView>
  </sheetViews>
  <sheetFormatPr defaultRowHeight="14.5" x14ac:dyDescent="0.35"/>
  <cols>
    <col min="1" max="1" width="24.26953125" bestFit="1" customWidth="1"/>
    <col min="2" max="2" width="19.36328125" bestFit="1" customWidth="1"/>
    <col min="3" max="3" width="10.7265625" bestFit="1" customWidth="1"/>
    <col min="4" max="4" width="12.26953125" bestFit="1" customWidth="1"/>
    <col min="5" max="5" width="18.1796875" bestFit="1" customWidth="1"/>
    <col min="6" max="6" width="12.26953125" bestFit="1" customWidth="1"/>
  </cols>
  <sheetData>
    <row r="1" spans="1:17" x14ac:dyDescent="0.35">
      <c r="B1" s="1" t="s">
        <v>19</v>
      </c>
      <c r="C1" s="1" t="s">
        <v>4</v>
      </c>
      <c r="D1" s="1" t="s">
        <v>13</v>
      </c>
      <c r="E1" s="1" t="s">
        <v>18</v>
      </c>
    </row>
    <row r="2" spans="1:17" x14ac:dyDescent="0.35">
      <c r="A2" s="1" t="s">
        <v>0</v>
      </c>
      <c r="B2">
        <f>24219390/24308640</f>
        <v>0.99632846592816382</v>
      </c>
      <c r="C2">
        <f>23064750/26195385</f>
        <v>0.88048906324530063</v>
      </c>
      <c r="D2">
        <f>19590375/25913100</f>
        <v>0.75600275536311745</v>
      </c>
      <c r="E2">
        <f>24219390/24308640</f>
        <v>0.99632846592816382</v>
      </c>
    </row>
    <row r="3" spans="1:17" x14ac:dyDescent="0.35">
      <c r="A3" s="1" t="s">
        <v>1</v>
      </c>
      <c r="B3">
        <f>21884610/22428015</f>
        <v>0.97577115050083563</v>
      </c>
      <c r="C3">
        <f>18644070/23505900</f>
        <v>0.79316554567151221</v>
      </c>
      <c r="D3">
        <f>15539955/23335815</f>
        <v>0.66592724530940961</v>
      </c>
      <c r="E3">
        <f>21884610/22428015</f>
        <v>0.97577115050083563</v>
      </c>
    </row>
    <row r="4" spans="1:17" x14ac:dyDescent="0.35">
      <c r="A4" s="1" t="s">
        <v>2</v>
      </c>
      <c r="B4">
        <f>30185370/34971975</f>
        <v>0.86313026358963141</v>
      </c>
      <c r="C4">
        <f>27184020/36881670</f>
        <v>0.73706044221967171</v>
      </c>
      <c r="D4">
        <f>18226380/36010335</f>
        <v>0.50614302810568135</v>
      </c>
      <c r="E4">
        <f>30185370/34971975</f>
        <v>0.86313026358963141</v>
      </c>
    </row>
    <row r="5" spans="1:17" x14ac:dyDescent="0.35">
      <c r="A5" s="1" t="s">
        <v>3</v>
      </c>
      <c r="B5">
        <f>23134110/24595005</f>
        <v>0.94060196369140803</v>
      </c>
      <c r="C5">
        <f>20696055/26501895</f>
        <v>0.78092736387341355</v>
      </c>
      <c r="D5">
        <f>13899030/25440330</f>
        <v>0.54633843193071785</v>
      </c>
      <c r="E5">
        <f>23134110/24595005</f>
        <v>0.94060196369140803</v>
      </c>
    </row>
    <row r="6" spans="1:17" x14ac:dyDescent="0.35">
      <c r="A6" s="1" t="s">
        <v>12</v>
      </c>
      <c r="B6">
        <f>AVERAGE(B2:B5)</f>
        <v>0.94395796092750972</v>
      </c>
      <c r="C6">
        <f>AVERAGE(C2:C5)</f>
        <v>0.79791060375247458</v>
      </c>
      <c r="D6">
        <f>AVERAGE(D2:D5)</f>
        <v>0.61860286517723151</v>
      </c>
      <c r="E6">
        <f>AVERAGE(E2:E5)</f>
        <v>0.94395796092750972</v>
      </c>
      <c r="L6" s="2" t="s">
        <v>20</v>
      </c>
    </row>
    <row r="7" spans="1:17" x14ac:dyDescent="0.35">
      <c r="A7" s="1" t="s">
        <v>15</v>
      </c>
      <c r="B7" s="1" t="s">
        <v>0</v>
      </c>
      <c r="C7" s="1" t="s">
        <v>1</v>
      </c>
      <c r="D7" s="1" t="s">
        <v>2</v>
      </c>
      <c r="E7" s="1" t="s">
        <v>3</v>
      </c>
      <c r="F7" s="1" t="s">
        <v>11</v>
      </c>
      <c r="G7" s="1" t="s">
        <v>0</v>
      </c>
      <c r="H7" s="1" t="s">
        <v>1</v>
      </c>
      <c r="I7" s="1" t="s">
        <v>2</v>
      </c>
      <c r="J7" s="1" t="s">
        <v>3</v>
      </c>
      <c r="L7" s="1" t="s">
        <v>16</v>
      </c>
      <c r="M7" s="1" t="s">
        <v>0</v>
      </c>
      <c r="N7" s="1" t="s">
        <v>1</v>
      </c>
      <c r="O7" s="1" t="s">
        <v>2</v>
      </c>
      <c r="P7" s="1" t="s">
        <v>3</v>
      </c>
    </row>
    <row r="8" spans="1:17" x14ac:dyDescent="0.35">
      <c r="A8" t="s">
        <v>8</v>
      </c>
      <c r="B8">
        <v>221</v>
      </c>
      <c r="C8">
        <v>203</v>
      </c>
      <c r="D8">
        <v>447</v>
      </c>
      <c r="E8">
        <v>302</v>
      </c>
      <c r="G8">
        <v>221</v>
      </c>
      <c r="H8">
        <v>203</v>
      </c>
      <c r="I8">
        <v>447</v>
      </c>
      <c r="J8">
        <v>302</v>
      </c>
      <c r="L8" s="1"/>
      <c r="M8">
        <v>221</v>
      </c>
      <c r="N8">
        <v>203</v>
      </c>
      <c r="O8">
        <v>447</v>
      </c>
      <c r="P8">
        <v>302</v>
      </c>
    </row>
    <row r="9" spans="1:17" x14ac:dyDescent="0.35">
      <c r="A9" t="s">
        <v>5</v>
      </c>
      <c r="B9">
        <v>217</v>
      </c>
      <c r="C9">
        <v>196</v>
      </c>
      <c r="D9">
        <v>365</v>
      </c>
      <c r="E9">
        <v>274</v>
      </c>
      <c r="G9">
        <v>205</v>
      </c>
      <c r="H9">
        <v>163</v>
      </c>
      <c r="I9">
        <v>357</v>
      </c>
      <c r="J9">
        <v>265</v>
      </c>
      <c r="M9">
        <v>143</v>
      </c>
      <c r="N9">
        <v>105</v>
      </c>
      <c r="O9">
        <v>153</v>
      </c>
      <c r="P9">
        <v>133</v>
      </c>
    </row>
    <row r="10" spans="1:17" x14ac:dyDescent="0.35">
      <c r="A10" t="s">
        <v>6</v>
      </c>
      <c r="B10">
        <v>0</v>
      </c>
      <c r="C10">
        <v>0</v>
      </c>
      <c r="D10">
        <v>0</v>
      </c>
      <c r="E10">
        <v>0</v>
      </c>
      <c r="G10">
        <v>0</v>
      </c>
      <c r="H10">
        <v>0</v>
      </c>
      <c r="I10">
        <v>7</v>
      </c>
      <c r="J10">
        <v>6</v>
      </c>
      <c r="M10">
        <v>0</v>
      </c>
      <c r="N10">
        <v>0</v>
      </c>
      <c r="O10">
        <v>0</v>
      </c>
      <c r="P10">
        <v>0</v>
      </c>
    </row>
    <row r="11" spans="1:17" x14ac:dyDescent="0.35">
      <c r="A11" t="s">
        <v>7</v>
      </c>
      <c r="B11">
        <v>4</v>
      </c>
      <c r="C11">
        <v>7</v>
      </c>
      <c r="D11">
        <v>67</v>
      </c>
      <c r="E11">
        <v>17</v>
      </c>
      <c r="F11" s="1" t="s">
        <v>12</v>
      </c>
      <c r="G11">
        <v>16</v>
      </c>
      <c r="H11">
        <v>37</v>
      </c>
      <c r="I11">
        <v>90</v>
      </c>
      <c r="J11">
        <v>37</v>
      </c>
      <c r="K11" s="1" t="s">
        <v>12</v>
      </c>
      <c r="M11">
        <v>47</v>
      </c>
      <c r="N11">
        <v>61</v>
      </c>
      <c r="O11">
        <v>162</v>
      </c>
      <c r="P11">
        <v>100</v>
      </c>
      <c r="Q11" s="1" t="s">
        <v>12</v>
      </c>
    </row>
    <row r="12" spans="1:17" x14ac:dyDescent="0.35">
      <c r="A12" t="s">
        <v>9</v>
      </c>
      <c r="B12" s="3">
        <f>217/(217+4+0)</f>
        <v>0.98190045248868774</v>
      </c>
      <c r="C12" s="3">
        <f>196/(196+7)</f>
        <v>0.96551724137931039</v>
      </c>
      <c r="D12" s="3">
        <f>365/(365+67+0)</f>
        <v>0.84490740740740744</v>
      </c>
      <c r="E12" s="3">
        <f>274/(274+17)</f>
        <v>0.94158075601374569</v>
      </c>
      <c r="F12" s="3">
        <f>AVERAGE(B12:E12)</f>
        <v>0.93347646432228792</v>
      </c>
      <c r="G12">
        <f>205/221</f>
        <v>0.92760180995475117</v>
      </c>
      <c r="H12">
        <f>163/(163+37)</f>
        <v>0.81499999999999995</v>
      </c>
      <c r="I12">
        <f>357/(357+7+90)</f>
        <v>0.78634361233480177</v>
      </c>
      <c r="J12">
        <f>265/(265+6+37)</f>
        <v>0.86038961038961037</v>
      </c>
      <c r="K12">
        <f>AVERAGE(G12:J12)</f>
        <v>0.84733375816979084</v>
      </c>
      <c r="M12">
        <f>143/(143+47)</f>
        <v>0.75263157894736843</v>
      </c>
      <c r="N12">
        <f>105/(105+61+0)</f>
        <v>0.63253012048192769</v>
      </c>
      <c r="O12">
        <f>153/(162+153)</f>
        <v>0.48571428571428571</v>
      </c>
      <c r="P12">
        <f>133/(133+103)</f>
        <v>0.56355932203389836</v>
      </c>
      <c r="Q12" s="3">
        <f>AVERAGE(M12:P12)</f>
        <v>0.60860882679437012</v>
      </c>
    </row>
    <row r="13" spans="1:17" x14ac:dyDescent="0.35">
      <c r="A13" t="s">
        <v>14</v>
      </c>
      <c r="B13">
        <v>0</v>
      </c>
      <c r="C13">
        <v>0</v>
      </c>
      <c r="D13">
        <v>17</v>
      </c>
      <c r="E13">
        <v>13</v>
      </c>
      <c r="G13">
        <v>0</v>
      </c>
      <c r="H13">
        <v>3</v>
      </c>
      <c r="I13">
        <v>0</v>
      </c>
      <c r="J13">
        <v>0</v>
      </c>
      <c r="M13">
        <v>32</v>
      </c>
      <c r="N13">
        <v>37</v>
      </c>
      <c r="O13">
        <f>447-153-162</f>
        <v>132</v>
      </c>
      <c r="P13">
        <f>302-233</f>
        <v>69</v>
      </c>
      <c r="Q13" s="3"/>
    </row>
    <row r="14" spans="1:17" x14ac:dyDescent="0.35">
      <c r="A14" s="3" t="s">
        <v>10</v>
      </c>
      <c r="B14" s="3">
        <f>217/221</f>
        <v>0.98190045248868774</v>
      </c>
      <c r="C14" s="3">
        <f>196/203</f>
        <v>0.96551724137931039</v>
      </c>
      <c r="D14" s="3">
        <f>365/447</f>
        <v>0.81655480984340045</v>
      </c>
      <c r="E14" s="3">
        <f>274/302</f>
        <v>0.9072847682119205</v>
      </c>
      <c r="F14" s="3">
        <f>AVERAGE(B14:E14)</f>
        <v>0.9178143179808298</v>
      </c>
      <c r="G14">
        <f>205/221</f>
        <v>0.92760180995475117</v>
      </c>
      <c r="H14">
        <f>163/203</f>
        <v>0.80295566502463056</v>
      </c>
      <c r="I14">
        <f>357/447</f>
        <v>0.79865771812080533</v>
      </c>
      <c r="J14">
        <f>265/302</f>
        <v>0.87748344370860931</v>
      </c>
      <c r="K14">
        <f>AVERAGE(G14:J14)</f>
        <v>0.85167465920219909</v>
      </c>
      <c r="M14">
        <f>(143/221)</f>
        <v>0.6470588235294118</v>
      </c>
      <c r="N14">
        <f>105/203</f>
        <v>0.51724137931034486</v>
      </c>
      <c r="O14">
        <f>153/447</f>
        <v>0.34228187919463088</v>
      </c>
      <c r="P14">
        <f>133/302</f>
        <v>0.44039735099337746</v>
      </c>
      <c r="Q14" s="3">
        <f>AVERAGE(M14:P14)</f>
        <v>0.48674485825694125</v>
      </c>
    </row>
    <row r="16" spans="1:17" x14ac:dyDescent="0.35">
      <c r="A16" s="1" t="s">
        <v>17</v>
      </c>
      <c r="B16" s="1" t="s">
        <v>0</v>
      </c>
      <c r="C16" s="1" t="s">
        <v>1</v>
      </c>
      <c r="D16" s="1" t="s">
        <v>2</v>
      </c>
      <c r="E16" s="1" t="s">
        <v>3</v>
      </c>
    </row>
    <row r="17" spans="1:6" x14ac:dyDescent="0.35">
      <c r="A17" t="s">
        <v>8</v>
      </c>
      <c r="B17">
        <v>221</v>
      </c>
      <c r="C17">
        <v>203</v>
      </c>
      <c r="D17">
        <v>447</v>
      </c>
      <c r="E17">
        <v>302</v>
      </c>
    </row>
    <row r="18" spans="1:6" x14ac:dyDescent="0.35">
      <c r="A18" t="s">
        <v>5</v>
      </c>
      <c r="B18">
        <v>217</v>
      </c>
      <c r="C18">
        <v>196</v>
      </c>
      <c r="D18">
        <v>368</v>
      </c>
      <c r="E18">
        <v>276</v>
      </c>
    </row>
    <row r="19" spans="1:6" x14ac:dyDescent="0.35">
      <c r="A19" t="s">
        <v>6</v>
      </c>
      <c r="B19">
        <v>0</v>
      </c>
      <c r="C19">
        <v>0</v>
      </c>
      <c r="D19">
        <v>0</v>
      </c>
      <c r="E19">
        <v>0</v>
      </c>
    </row>
    <row r="20" spans="1:6" x14ac:dyDescent="0.35">
      <c r="A20" t="s">
        <v>7</v>
      </c>
      <c r="B20">
        <v>4</v>
      </c>
      <c r="C20">
        <v>5</v>
      </c>
      <c r="D20">
        <v>67</v>
      </c>
      <c r="E20">
        <v>17</v>
      </c>
      <c r="F20" s="1" t="s">
        <v>12</v>
      </c>
    </row>
    <row r="21" spans="1:6" x14ac:dyDescent="0.35">
      <c r="A21" t="s">
        <v>9</v>
      </c>
      <c r="B21">
        <f>B18/(B18+B19+B20)</f>
        <v>0.98190045248868774</v>
      </c>
      <c r="C21">
        <f>C18/(C18+C19+C20)</f>
        <v>0.97512437810945274</v>
      </c>
      <c r="D21">
        <f>D18/(D18+D19+D20)</f>
        <v>0.84597701149425286</v>
      </c>
      <c r="E21">
        <f>E18/(E18+E19+E20)</f>
        <v>0.94197952218430037</v>
      </c>
      <c r="F21">
        <f>AVERAGE(B21:E21)</f>
        <v>0.93624534106917334</v>
      </c>
    </row>
    <row r="22" spans="1:6" x14ac:dyDescent="0.35">
      <c r="A22" t="s">
        <v>14</v>
      </c>
      <c r="B22">
        <v>0</v>
      </c>
      <c r="C22">
        <v>2</v>
      </c>
      <c r="D22">
        <v>14</v>
      </c>
      <c r="E22">
        <v>11</v>
      </c>
      <c r="F22" s="1" t="s">
        <v>12</v>
      </c>
    </row>
    <row r="23" spans="1:6" x14ac:dyDescent="0.35">
      <c r="A23" t="s">
        <v>10</v>
      </c>
      <c r="B23">
        <f>B18/B17</f>
        <v>0.98190045248868774</v>
      </c>
      <c r="C23">
        <f>C18/C17</f>
        <v>0.96551724137931039</v>
      </c>
      <c r="D23">
        <f>D18/D17</f>
        <v>0.8232662192393736</v>
      </c>
      <c r="E23">
        <f>E18/E17</f>
        <v>0.91390728476821192</v>
      </c>
      <c r="F23">
        <f>AVERAGE(B23:E23)</f>
        <v>0.92114779946889591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R. (Ramneek)</dc:creator>
  <cp:lastModifiedBy>Singh, R. (Ramneek)</cp:lastModifiedBy>
  <dcterms:created xsi:type="dcterms:W3CDTF">2024-02-29T15:39:35Z</dcterms:created>
  <dcterms:modified xsi:type="dcterms:W3CDTF">2024-11-04T23:47:37Z</dcterms:modified>
</cp:coreProperties>
</file>