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defaultThemeVersion="166925"/>
  <mc:AlternateContent xmlns:mc="http://schemas.openxmlformats.org/markup-compatibility/2006">
    <mc:Choice Requires="x15">
      <x15ac:absPath xmlns:x15ac="http://schemas.microsoft.com/office/spreadsheetml/2010/11/ac" url="D:\Gusano\Escritorio\Actividad\01\"/>
    </mc:Choice>
  </mc:AlternateContent>
  <xr:revisionPtr revIDLastSave="0" documentId="13_ncr:1_{3E27997A-3092-445C-AA81-EAF868911FA6}" xr6:coauthVersionLast="47" xr6:coauthVersionMax="47" xr10:uidLastSave="{00000000-0000-0000-0000-000000000000}"/>
  <bookViews>
    <workbookView xWindow="-120" yWindow="-120" windowWidth="25440" windowHeight="15270" firstSheet="2" activeTab="7" xr2:uid="{00000000-000D-0000-FFFF-FFFF00000000}"/>
  </bookViews>
  <sheets>
    <sheet name="Portada" sheetId="8" r:id="rId1"/>
    <sheet name="Introducción" sheetId="7" r:id="rId2"/>
    <sheet name="Periodo de recuperación" sheetId="3" r:id="rId3"/>
    <sheet name="PFSA" sheetId="4" r:id="rId4"/>
    <sheet name="Factor de ajuste (PFA)" sheetId="5" r:id="rId5"/>
    <sheet name="Estimación de Esfuerzo" sheetId="10" r:id="rId6"/>
    <sheet name="Presupuesto" sheetId="12" r:id="rId7"/>
    <sheet name="Conclusión" sheetId="11" r:id="rId8"/>
  </sheets>
  <definedNames>
    <definedName name="Alta" localSheetId="5">#REF!</definedName>
    <definedName name="Alta" localSheetId="4">#REF!</definedName>
    <definedName name="Alta" localSheetId="6">#REF!</definedName>
    <definedName name="Alta">Tabla3518[Alta]</definedName>
    <definedName name="Alta2" localSheetId="6">Tabla3518[Alta]</definedName>
    <definedName name="Alta2">Tabla3518[Alta]</definedName>
    <definedName name="Baja" localSheetId="5">#REF!</definedName>
    <definedName name="Baja" localSheetId="4">#REF!</definedName>
    <definedName name="Baja" localSheetId="6">#REF!</definedName>
    <definedName name="Baja">Tabla3518[Baja]</definedName>
    <definedName name="EI" localSheetId="5">'Estimación de Esfuerzo'!#REF!</definedName>
    <definedName name="EI" localSheetId="4">'Factor de ajuste (PFA)'!#REF!</definedName>
    <definedName name="EI" localSheetId="6">Presupuesto!#REF!</definedName>
    <definedName name="EI">PFSA!$B$25</definedName>
    <definedName name="EIF" localSheetId="5">'Estimación de Esfuerzo'!#REF!</definedName>
    <definedName name="EIF" localSheetId="4">'Factor de ajuste (PFA)'!#REF!</definedName>
    <definedName name="EIF" localSheetId="6">Presupuesto!#REF!</definedName>
    <definedName name="EIF">PFSA!$B$29</definedName>
    <definedName name="EO" localSheetId="5">'Estimación de Esfuerzo'!#REF!</definedName>
    <definedName name="EO" localSheetId="4">'Factor de ajuste (PFA)'!#REF!</definedName>
    <definedName name="EO" localSheetId="6">Presupuesto!#REF!</definedName>
    <definedName name="EO">PFSA!$B$26</definedName>
    <definedName name="EQ" localSheetId="5">'Estimación de Esfuerzo'!#REF!</definedName>
    <definedName name="EQ" localSheetId="4">'Factor de ajuste (PFA)'!#REF!</definedName>
    <definedName name="EQ" localSheetId="6">Presupuesto!#REF!</definedName>
    <definedName name="EQ">PFSA!$B$27</definedName>
    <definedName name="ILF" localSheetId="5">'Estimación de Esfuerzo'!#REF!</definedName>
    <definedName name="ILF" localSheetId="4">'Factor de ajuste (PFA)'!#REF!</definedName>
    <definedName name="ILF" localSheetId="6">Presupuesto!#REF!</definedName>
    <definedName name="ILF">PFSA!$B$28</definedName>
    <definedName name="IMPACTO" localSheetId="5">#REF!</definedName>
    <definedName name="IMPACTO" localSheetId="6">#REF!</definedName>
    <definedName name="IMPACTO">Tabla11102128[[#All],[Columna2]]</definedName>
    <definedName name="Media" localSheetId="5">#REF!</definedName>
    <definedName name="Media" localSheetId="4">#REF!</definedName>
    <definedName name="Media" localSheetId="6">#REF!</definedName>
    <definedName name="Media">Tabla3518[Media]</definedName>
    <definedName name="Valoresimpacto" localSheetId="5">#REF!</definedName>
    <definedName name="Valoresimpacto" localSheetId="6">#REF!</definedName>
    <definedName name="Valoresimpacto">Tabla11102128[[#All],[Columna1]]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12" l="1"/>
  <c r="C22" i="10"/>
  <c r="C16" i="10"/>
  <c r="B29" i="3" l="1"/>
  <c r="F11" i="3"/>
  <c r="F12" i="3"/>
  <c r="F13" i="3"/>
  <c r="F14" i="3"/>
  <c r="F15" i="3"/>
  <c r="F16" i="3"/>
  <c r="F17" i="3"/>
  <c r="F18" i="3"/>
  <c r="F19" i="3"/>
  <c r="F20" i="3"/>
  <c r="F21" i="3"/>
  <c r="D21" i="3"/>
  <c r="D20" i="3"/>
  <c r="D19" i="3"/>
  <c r="D18" i="3"/>
  <c r="E13" i="3"/>
  <c r="E14" i="3"/>
  <c r="E15" i="3"/>
  <c r="E16" i="3"/>
  <c r="E17" i="3"/>
  <c r="E11" i="3"/>
  <c r="E12" i="3"/>
  <c r="D22" i="10"/>
  <c r="D20" i="10"/>
  <c r="D25" i="5"/>
  <c r="D25" i="3"/>
  <c r="D26" i="3"/>
  <c r="D24" i="3"/>
  <c r="D10" i="12"/>
  <c r="D24" i="10"/>
  <c r="D16" i="10"/>
  <c r="D18" i="10"/>
  <c r="D11" i="12"/>
  <c r="D14" i="10"/>
  <c r="E18" i="3" l="1"/>
  <c r="E19" i="3" s="1"/>
  <c r="E20" i="3" s="1"/>
  <c r="E21" i="3" s="1"/>
  <c r="B23" i="3"/>
  <c r="D18" i="5"/>
  <c r="C23" i="5" s="1"/>
  <c r="C5" i="12" l="1"/>
  <c r="B11" i="3"/>
  <c r="B12" i="3" s="1"/>
  <c r="B13" i="3" s="1"/>
  <c r="B14" i="3" s="1"/>
  <c r="B15" i="3" s="1"/>
  <c r="B16" i="3" s="1"/>
  <c r="B17" i="3" s="1"/>
  <c r="B18" i="3" s="1"/>
  <c r="F12" i="4" l="1"/>
  <c r="F16" i="4"/>
  <c r="F20" i="4"/>
  <c r="F17" i="4"/>
  <c r="F11" i="4"/>
  <c r="F15" i="4"/>
  <c r="F19" i="4"/>
  <c r="F13" i="4"/>
  <c r="F10" i="4"/>
  <c r="F14" i="4"/>
  <c r="F18" i="4"/>
  <c r="B19" i="3"/>
  <c r="B20" i="3" l="1"/>
  <c r="B24" i="3"/>
  <c r="F9" i="4"/>
  <c r="B21" i="3" l="1"/>
  <c r="F8" i="4"/>
  <c r="F7" i="4"/>
  <c r="B25" i="3"/>
  <c r="F21" i="4" l="1"/>
  <c r="B26" i="3"/>
  <c r="B27" i="3" s="1"/>
  <c r="C22" i="5" l="1"/>
  <c r="C25" i="5" s="1"/>
  <c r="C14" i="10" s="1"/>
  <c r="C18" i="10" l="1"/>
  <c r="C20" i="10" s="1"/>
  <c r="C24" i="10"/>
  <c r="C26" i="10" s="1"/>
  <c r="C6" i="12" s="1"/>
  <c r="C11"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Celes 2020</author>
  </authors>
  <commentList>
    <comment ref="B6" authorId="0" shapeId="0" xr:uid="{6B236173-0718-4B18-A368-08277719C393}">
      <text>
        <r>
          <rPr>
            <sz val="9"/>
            <color indexed="81"/>
            <rFont val="Tahoma"/>
            <family val="2"/>
          </rPr>
          <t xml:space="preserve">Escriba aquí su introducción
</t>
        </r>
      </text>
    </comment>
  </commentList>
</comments>
</file>

<file path=xl/sharedStrings.xml><?xml version="1.0" encoding="utf-8"?>
<sst xmlns="http://schemas.openxmlformats.org/spreadsheetml/2006/main" count="157" uniqueCount="120">
  <si>
    <t>Año</t>
  </si>
  <si>
    <t>Flujo de efectivo</t>
  </si>
  <si>
    <t>Inversión Inicial</t>
  </si>
  <si>
    <t>Pronóstico</t>
  </si>
  <si>
    <t>Flujo Acumulado</t>
  </si>
  <si>
    <t>Solución</t>
  </si>
  <si>
    <t>Años en recuperar la inversión</t>
  </si>
  <si>
    <t>Años</t>
  </si>
  <si>
    <t>Meses</t>
  </si>
  <si>
    <t>Días</t>
  </si>
  <si>
    <t>ROI</t>
  </si>
  <si>
    <t>Recuperación</t>
  </si>
  <si>
    <t>Retorno sobre la inversión</t>
  </si>
  <si>
    <t>Estimación de Puntos de Función</t>
  </si>
  <si>
    <t>Tipo/Complejidad</t>
  </si>
  <si>
    <t>Baja</t>
  </si>
  <si>
    <t>Media</t>
  </si>
  <si>
    <t>Alta</t>
  </si>
  <si>
    <t>(EI) Entrada Externa</t>
  </si>
  <si>
    <t>(EO) Salida Externa</t>
  </si>
  <si>
    <t>(EQ) Consulta Externa</t>
  </si>
  <si>
    <t>(ILF) Archivo Lógico Interno</t>
  </si>
  <si>
    <t>(EIF) Archivo de interfaz externo</t>
  </si>
  <si>
    <t>Tipo</t>
  </si>
  <si>
    <t>Cantidad</t>
  </si>
  <si>
    <t>Valor</t>
  </si>
  <si>
    <t>Puntos de Función sin Ajustar (PFSA)</t>
  </si>
  <si>
    <t>Factor de Ajuste</t>
  </si>
  <si>
    <t>Comunicación de datos</t>
  </si>
  <si>
    <t>Procesamiento de datos distribuido</t>
  </si>
  <si>
    <t>Desempeño</t>
  </si>
  <si>
    <t>Configuración</t>
  </si>
  <si>
    <t>Tasa de transaccciones</t>
  </si>
  <si>
    <t>Entrada de datos en línea</t>
  </si>
  <si>
    <t>Eficiencia del usuario final</t>
  </si>
  <si>
    <t>Actualización en línea</t>
  </si>
  <si>
    <t>Procesamiento complejo</t>
  </si>
  <si>
    <t>Reusabilidad</t>
  </si>
  <si>
    <t>Facilidad de la instalación</t>
  </si>
  <si>
    <t>Facilidad de la operación</t>
  </si>
  <si>
    <t>Sitios múltiples</t>
  </si>
  <si>
    <t>Facilidad de cambios</t>
  </si>
  <si>
    <t>No existe</t>
  </si>
  <si>
    <t>Mínimo impacto</t>
  </si>
  <si>
    <t>Impacto Promedio</t>
  </si>
  <si>
    <t>Impacto Superior al promedio</t>
  </si>
  <si>
    <t>Impacto Alto</t>
  </si>
  <si>
    <t>Impacto Fuerte</t>
  </si>
  <si>
    <t>PFA=PFSA * [0.065+ (0,01) * Factor de Ajuste)</t>
  </si>
  <si>
    <t>Donde:</t>
  </si>
  <si>
    <t>PFSA: Puntos de Función sin ajustar</t>
  </si>
  <si>
    <t>PFA: Puntos de función ajustado</t>
  </si>
  <si>
    <t>PFA</t>
  </si>
  <si>
    <t>Estimación de esfuerzo</t>
  </si>
  <si>
    <t>Lenguaje</t>
  </si>
  <si>
    <t>Horas PF promedio</t>
  </si>
  <si>
    <t>Línea de código</t>
  </si>
  <si>
    <t>Lenguaje 4ta Generación</t>
  </si>
  <si>
    <t>Horas /Hombre=PFA*horas PF Promedio</t>
  </si>
  <si>
    <t>Costo= (Desarrolladores * Duración meses * sueldos) + Otros costos</t>
  </si>
  <si>
    <t>No. Año</t>
  </si>
  <si>
    <t>Año inicio</t>
  </si>
  <si>
    <t>Tabla IFPUG</t>
  </si>
  <si>
    <t>Aplicación para:</t>
  </si>
  <si>
    <t>Nivel de complejidad</t>
  </si>
  <si>
    <t>Descripción</t>
  </si>
  <si>
    <t>Periodo de Recuperación de la inversión</t>
  </si>
  <si>
    <t>Puntaje asignado</t>
  </si>
  <si>
    <t>TABLA DE IMPACTO</t>
  </si>
  <si>
    <t>Impacto</t>
  </si>
  <si>
    <t>Fórmula</t>
  </si>
  <si>
    <t>PFA=</t>
  </si>
  <si>
    <t>//La IFPUG Genera una tabla por puntos de función /Hora acorde a lenguajes</t>
  </si>
  <si>
    <t>Horas/Hombres</t>
  </si>
  <si>
    <t>Elija Lenguaje de programación</t>
  </si>
  <si>
    <t>Número de programadores</t>
  </si>
  <si>
    <t>Horas de trabajo por día</t>
  </si>
  <si>
    <t>Días de trabajo en el mes</t>
  </si>
  <si>
    <t>Meses de trabajo</t>
  </si>
  <si>
    <t>//Número de meses requeridos para finalizar el trabajo acorde con 1 programador</t>
  </si>
  <si>
    <t>//Aquí se toma en cuenta las horas de trabajo de cada programador por día</t>
  </si>
  <si>
    <t>Días de trabajo por programador</t>
  </si>
  <si>
    <t>Horas de trabajo mensuales por programador</t>
  </si>
  <si>
    <t>Días de trabajo con todo el equipo</t>
  </si>
  <si>
    <t>//Número de días requeridos para finalizar el trabajo con todo el equipo</t>
  </si>
  <si>
    <t>//Meses de trabajo para finalizar el proyecto con todo el equipo de trabajo</t>
  </si>
  <si>
    <t>Presupuesto</t>
  </si>
  <si>
    <t>Duración meses del proyecto</t>
  </si>
  <si>
    <t>Sueldo del programador</t>
  </si>
  <si>
    <t>Duración en meses del proyecto</t>
  </si>
  <si>
    <t>Costo total del Software (desarrollo+Otros costos)</t>
  </si>
  <si>
    <t>Costo de desarrollo</t>
  </si>
  <si>
    <t>Otros costos o costos extras</t>
  </si>
  <si>
    <t xml:space="preserve">TecnoStudio </t>
  </si>
  <si>
    <t>La empresa TecnoStudio fue constituida en el año 2016 con una inversión de $700,000 a continuación se presenta la siguiente tabla de flujos de efectivo que han tenido durante estos años.</t>
  </si>
  <si>
    <t>Registro de docentes y administrativos</t>
  </si>
  <si>
    <t>Registro de materias</t>
  </si>
  <si>
    <t>Eliminar datos</t>
  </si>
  <si>
    <t>Listado de datos</t>
  </si>
  <si>
    <t>Requisitos</t>
  </si>
  <si>
    <t>Registro de alumnos</t>
  </si>
  <si>
    <t>Actualización de datos</t>
  </si>
  <si>
    <t>Reporte de alumnos, docentes, materia</t>
  </si>
  <si>
    <t>Tablas de datos: 1 por cada elemento (6 tablas)</t>
  </si>
  <si>
    <t>Reporte de alumnnos incritos</t>
  </si>
  <si>
    <t>Reporte de calificaciones</t>
  </si>
  <si>
    <t>Buscar datos</t>
  </si>
  <si>
    <t xml:space="preserve">Reporte de materias activas </t>
  </si>
  <si>
    <t xml:space="preserve">Total </t>
  </si>
  <si>
    <t xml:space="preserve"> Meses de trabajo con 4 programadores</t>
  </si>
  <si>
    <t>PORTADA</t>
  </si>
  <si>
    <t>INTRODUCCIÓN GENERAL</t>
  </si>
  <si>
    <r>
      <rPr>
        <b/>
        <sz val="10"/>
        <color theme="1"/>
        <rFont val="Century Gothic"/>
        <family val="2"/>
      </rPr>
      <t xml:space="preserve">Instrucciones: </t>
    </r>
    <r>
      <rPr>
        <sz val="10"/>
        <color theme="1"/>
        <rFont val="Century Gothic"/>
        <family val="2"/>
      </rPr>
      <t xml:space="preserve">Redactar una introducción de </t>
    </r>
    <r>
      <rPr>
        <b/>
        <sz val="10"/>
        <color theme="1"/>
        <rFont val="Century Gothic"/>
        <family val="2"/>
      </rPr>
      <t xml:space="preserve">mínimo 150 palabras </t>
    </r>
    <r>
      <rPr>
        <sz val="10"/>
        <color theme="1"/>
        <rFont val="Century Gothic"/>
        <family val="2"/>
      </rPr>
      <t>referente a la información que presentarás. Puedes agregar conceptos, expectativas del trabajo o una opinión personal previa a la realización del trabajo.</t>
    </r>
  </si>
  <si>
    <t>Ensamblador</t>
  </si>
  <si>
    <t>C++</t>
  </si>
  <si>
    <t>Redactar una conclusión sobre la importancia de lo realizado en la actividad dentro de su campo laboral o vida cotidiana (150 a 250 palabras)</t>
  </si>
  <si>
    <t>Colegio</t>
  </si>
  <si>
    <t>PFA= 109 * [ 0.65+ (0.01*34)]</t>
  </si>
  <si>
    <t>En esta actividad de la materia de Factibilidad de Proyectos de Innovación, debemos aplicar conceptos de evaluación financiera y estimación de un proyecto de software. Se trabajará con la empresa TecnoStudio, fundada en el año 2016 con una inversión inicial de $70,000. A partir de varios registros de flujo de efectivo que ha registrado la empresa, debemos calcular el periodo de recuperación de la inversión y proyectar el flujo de efectivo del año 2023.
Además, la empresa enfrenta un nuevo reto, el desarrollo de una aplicación para un colegio, lo cual requiere la implementación del modelo de estimación de puntos de función. Se analizaron los requerimientos funcionales del sistema educativo, clasificándolos en entradas, salidas, consultas, archivos internos y externos, se calculará el total de puntos de función sin ajustar, el factor de ajuste y se estimara el esfuerzo requerido considerando un equipo de 4 desarrolladores. Finalmente, se determinará el presupuesto total del proyecto.
Esta actividad nos permitirá integrar conocimientos de ingeniería de software y análisis financiero, que son muy importantes en la gestión de proyectos tecnológicos.</t>
  </si>
  <si>
    <t>En conclusión: Realizar esta actividad me permitió entender cómo se planifica de forma estructurada y profesional el desarrollo de un sistema, desde sus requerimientos hasta su presupuesto final. Muchas veces, en el campo laboral, no se presta atención a todo lo que hay detrás de un proyecto tecnológico, y este ejercicio nos mostró que hay que considerar muchos factores, como el esfuerzo, el tiempo, los costos y sobre todo, la funcionalidad que se entregará al usuario.
Aprender a utilizar estas herramientas, como los puntos de función y estimar correctamente el esfuerzo y presupuesto es parte fundamental si se quiere trabajar en el desarrollo de software, liderar proyectos o emprender de manera personal. Además, estos conocimientos también se pueden aplicar en nuestra vida diaria, al organizar proyectos personales, para entender cómo se cobra un desarrollo o para comunicarse mejor con un cliente.
En esta actividad no sólo reforzamos nuestras habilidades técnicas, sino también las habilidades de gestión, análisis y toma de decisiones.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</si>
</sst>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43" formatCode="_-* #,##0.00_-;\-* #,##0.00_-;_-* &quot;-&quot;??_-;_-@_-"/>
    <numFmt numFmtId="164" formatCode="&quot;$&quot;#,##0.00"/>
    <numFmt numFmtId="165" formatCode="_-&quot;$&quot;* #,##0.00_-;[Red]\-&quot;$&quot;* #,##0.00_-;_-&quot;$&quot;* &quot;-&quot;??_-;_-@_-"/>
  </numFmts>
  <fonts count="26" x14ac:knownFonts="1">
    <font>
      <sz val="11"/>
      <color theme="1"/>
      <name val="Calibri"/>
      <family val="2"/>
      <scheme val="minor"/>
    </font>
    <font>
      <sz val="11"/>
      <color theme="1"/>
      <name val="Calibri"/>
      <family val="2"/>
      <scheme val="minor"/>
    </font>
    <font>
      <b/>
      <sz val="13"/>
      <color theme="3"/>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b/>
      <sz val="14"/>
      <color theme="1"/>
      <name val="Calibri"/>
      <family val="2"/>
      <scheme val="minor"/>
    </font>
    <font>
      <b/>
      <sz val="11"/>
      <name val="Calibri"/>
      <family val="2"/>
      <scheme val="minor"/>
    </font>
    <font>
      <b/>
      <sz val="11"/>
      <name val="Century Gothic"/>
      <family val="2"/>
    </font>
    <font>
      <b/>
      <sz val="16"/>
      <color theme="0"/>
      <name val="Century Gothic"/>
      <family val="2"/>
    </font>
    <font>
      <b/>
      <sz val="11"/>
      <color theme="1"/>
      <name val="Century Gothic"/>
      <family val="2"/>
    </font>
    <font>
      <sz val="11"/>
      <color theme="1"/>
      <name val="Century Gothic"/>
      <family val="2"/>
    </font>
    <font>
      <b/>
      <sz val="12"/>
      <color theme="1" tint="4.9989318521683403E-2"/>
      <name val="Century Gothic"/>
      <family val="2"/>
    </font>
    <font>
      <b/>
      <sz val="11"/>
      <color theme="3"/>
      <name val="Century Gothic"/>
      <family val="2"/>
    </font>
    <font>
      <b/>
      <sz val="12"/>
      <color theme="1"/>
      <name val="Calibri"/>
      <family val="2"/>
      <scheme val="minor"/>
    </font>
    <font>
      <b/>
      <sz val="16"/>
      <name val="Century Gothic"/>
      <family val="2"/>
    </font>
    <font>
      <sz val="11"/>
      <color rgb="FF7030A0"/>
      <name val="Calibri"/>
      <family val="2"/>
      <scheme val="minor"/>
    </font>
    <font>
      <b/>
      <sz val="11"/>
      <color rgb="FFFF0000"/>
      <name val="Calibri"/>
      <family val="2"/>
      <scheme val="minor"/>
    </font>
    <font>
      <i/>
      <sz val="11"/>
      <color theme="0" tint="-0.34998626667073579"/>
      <name val="Calibri"/>
      <family val="2"/>
      <scheme val="minor"/>
    </font>
    <font>
      <b/>
      <sz val="11"/>
      <color rgb="FF7030A0"/>
      <name val="Calibri"/>
      <family val="2"/>
      <scheme val="minor"/>
    </font>
    <font>
      <b/>
      <sz val="15"/>
      <color theme="1"/>
      <name val="Century Gothic"/>
      <family val="2"/>
    </font>
    <font>
      <sz val="10"/>
      <color theme="1"/>
      <name val="Century Gothic"/>
      <family val="2"/>
    </font>
    <font>
      <b/>
      <sz val="10"/>
      <color theme="1"/>
      <name val="Century Gothic"/>
      <family val="2"/>
    </font>
    <font>
      <sz val="9"/>
      <color indexed="81"/>
      <name val="Tahoma"/>
      <family val="2"/>
    </font>
  </fonts>
  <fills count="13">
    <fill>
      <patternFill patternType="none"/>
    </fill>
    <fill>
      <patternFill patternType="gray125"/>
    </fill>
    <fill>
      <patternFill patternType="solid">
        <fgColor theme="5"/>
      </patternFill>
    </fill>
    <fill>
      <patternFill patternType="solid">
        <fgColor theme="8"/>
      </patternFill>
    </fill>
    <fill>
      <patternFill patternType="solid">
        <fgColor rgb="FFFFC000"/>
        <bgColor indexed="64"/>
      </patternFill>
    </fill>
    <fill>
      <patternFill patternType="solid">
        <fgColor theme="4"/>
        <bgColor theme="4"/>
      </patternFill>
    </fill>
    <fill>
      <patternFill patternType="solid">
        <fgColor theme="4" tint="0.59999389629810485"/>
        <bgColor indexed="64"/>
      </patternFill>
    </fill>
    <fill>
      <patternFill patternType="solid">
        <fgColor theme="8" tint="0.39997558519241921"/>
        <bgColor indexed="64"/>
      </patternFill>
    </fill>
    <fill>
      <patternFill patternType="solid">
        <fgColor rgb="FF92D050"/>
        <bgColor indexed="64"/>
      </patternFill>
    </fill>
    <fill>
      <patternFill patternType="solid">
        <fgColor theme="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7" tint="0.59999389629810485"/>
        <bgColor indexed="64"/>
      </patternFill>
    </fill>
  </fills>
  <borders count="8">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6" fillId="2" borderId="0" applyNumberFormat="0" applyBorder="0" applyAlignment="0" applyProtection="0"/>
    <xf numFmtId="0" fontId="6" fillId="3" borderId="0" applyNumberFormat="0" applyBorder="0" applyAlignment="0" applyProtection="0"/>
  </cellStyleXfs>
  <cellXfs count="68">
    <xf numFmtId="0" fontId="0" fillId="0" borderId="0" xfId="0"/>
    <xf numFmtId="0" fontId="5" fillId="0" borderId="0" xfId="0" applyFont="1"/>
    <xf numFmtId="0" fontId="0" fillId="0" borderId="0" xfId="0" applyAlignment="1">
      <alignment horizontal="center"/>
    </xf>
    <xf numFmtId="0" fontId="2" fillId="0" borderId="0" xfId="3" applyFill="1" applyBorder="1" applyAlignment="1">
      <alignment wrapText="1"/>
    </xf>
    <xf numFmtId="14" fontId="0" fillId="0" borderId="0" xfId="0" applyNumberFormat="1"/>
    <xf numFmtId="0" fontId="5" fillId="4" borderId="0" xfId="0" applyFont="1" applyFill="1"/>
    <xf numFmtId="10" fontId="8" fillId="4" borderId="0" xfId="0" applyNumberFormat="1" applyFont="1" applyFill="1"/>
    <xf numFmtId="0" fontId="5" fillId="0" borderId="0" xfId="0" applyFont="1" applyAlignment="1">
      <alignment horizontal="center"/>
    </xf>
    <xf numFmtId="0" fontId="4" fillId="0" borderId="0" xfId="0" applyFont="1"/>
    <xf numFmtId="0" fontId="10" fillId="4" borderId="0" xfId="0" applyFont="1" applyFill="1"/>
    <xf numFmtId="0" fontId="12" fillId="0" borderId="0" xfId="0" applyFont="1"/>
    <xf numFmtId="0" fontId="13" fillId="0" borderId="0" xfId="0" applyFont="1"/>
    <xf numFmtId="0" fontId="5" fillId="4" borderId="3" xfId="0" applyFont="1" applyFill="1" applyBorder="1"/>
    <xf numFmtId="0" fontId="0" fillId="4" borderId="4" xfId="0" applyFill="1" applyBorder="1"/>
    <xf numFmtId="0" fontId="0" fillId="4" borderId="5" xfId="0" applyFill="1" applyBorder="1"/>
    <xf numFmtId="2" fontId="5" fillId="4" borderId="2" xfId="0" applyNumberFormat="1" applyFont="1" applyFill="1" applyBorder="1"/>
    <xf numFmtId="1" fontId="5" fillId="4" borderId="2" xfId="0" applyNumberFormat="1" applyFont="1" applyFill="1" applyBorder="1"/>
    <xf numFmtId="0" fontId="5" fillId="0" borderId="0" xfId="0" applyFont="1" applyAlignment="1">
      <alignment horizontal="left"/>
    </xf>
    <xf numFmtId="0" fontId="14" fillId="0" borderId="0" xfId="0" applyFont="1"/>
    <xf numFmtId="1" fontId="12" fillId="0" borderId="0" xfId="0" applyNumberFormat="1" applyFont="1" applyAlignment="1">
      <alignment horizontal="center" vertical="center"/>
    </xf>
    <xf numFmtId="1" fontId="13" fillId="0" borderId="0" xfId="0" applyNumberFormat="1" applyFont="1" applyAlignment="1">
      <alignment horizontal="center"/>
    </xf>
    <xf numFmtId="165" fontId="12" fillId="0" borderId="0" xfId="0" applyNumberFormat="1" applyFont="1"/>
    <xf numFmtId="1" fontId="13" fillId="0" borderId="0" xfId="0" applyNumberFormat="1" applyFont="1" applyAlignment="1">
      <alignment horizontal="center" vertical="center"/>
    </xf>
    <xf numFmtId="44" fontId="13" fillId="0" borderId="0" xfId="0" applyNumberFormat="1" applyFont="1"/>
    <xf numFmtId="165" fontId="13" fillId="0" borderId="0" xfId="0" applyNumberFormat="1" applyFont="1"/>
    <xf numFmtId="10" fontId="13" fillId="0" borderId="0" xfId="2" applyNumberFormat="1" applyFont="1"/>
    <xf numFmtId="0" fontId="15" fillId="0" borderId="1" xfId="3" applyFont="1" applyAlignment="1">
      <alignment wrapText="1"/>
    </xf>
    <xf numFmtId="0" fontId="3" fillId="5" borderId="7" xfId="0" applyFont="1" applyFill="1" applyBorder="1"/>
    <xf numFmtId="0" fontId="3" fillId="5" borderId="6" xfId="0" applyFont="1" applyFill="1" applyBorder="1"/>
    <xf numFmtId="0" fontId="16" fillId="6" borderId="0" xfId="0" applyFont="1" applyFill="1"/>
    <xf numFmtId="0" fontId="17" fillId="0" borderId="0" xfId="5" applyFont="1" applyFill="1" applyAlignment="1"/>
    <xf numFmtId="0" fontId="5" fillId="7" borderId="0" xfId="0" applyFont="1" applyFill="1"/>
    <xf numFmtId="0" fontId="18" fillId="0" borderId="0" xfId="0" applyFont="1"/>
    <xf numFmtId="0" fontId="5" fillId="0" borderId="2" xfId="0" applyFont="1" applyBorder="1"/>
    <xf numFmtId="0" fontId="19" fillId="0" borderId="2" xfId="0" applyFont="1" applyBorder="1"/>
    <xf numFmtId="0" fontId="5" fillId="4" borderId="0" xfId="0" applyFont="1" applyFill="1" applyAlignment="1">
      <alignment horizontal="left"/>
    </xf>
    <xf numFmtId="0" fontId="5" fillId="9" borderId="0" xfId="0" applyFont="1" applyFill="1" applyAlignment="1">
      <alignment horizontal="left"/>
    </xf>
    <xf numFmtId="0" fontId="5" fillId="10" borderId="0" xfId="0" applyFont="1" applyFill="1" applyAlignment="1">
      <alignment horizontal="left"/>
    </xf>
    <xf numFmtId="0" fontId="20" fillId="0" borderId="0" xfId="0" applyFont="1"/>
    <xf numFmtId="0" fontId="5" fillId="0" borderId="2" xfId="0" applyFont="1" applyBorder="1" applyAlignment="1">
      <alignment horizontal="right"/>
    </xf>
    <xf numFmtId="0" fontId="21" fillId="0" borderId="2" xfId="0" applyFont="1" applyBorder="1" applyAlignment="1">
      <alignment horizontal="right"/>
    </xf>
    <xf numFmtId="0" fontId="21" fillId="0" borderId="0" xfId="0" applyFont="1" applyAlignment="1">
      <alignment horizontal="right"/>
    </xf>
    <xf numFmtId="44" fontId="18" fillId="0" borderId="2" xfId="0" applyNumberFormat="1" applyFont="1" applyBorder="1"/>
    <xf numFmtId="1" fontId="18" fillId="0" borderId="2" xfId="0" applyNumberFormat="1" applyFont="1" applyBorder="1"/>
    <xf numFmtId="0" fontId="21" fillId="0" borderId="2" xfId="0" applyFont="1" applyBorder="1"/>
    <xf numFmtId="2" fontId="5" fillId="0" borderId="2" xfId="0" applyNumberFormat="1" applyFont="1" applyBorder="1"/>
    <xf numFmtId="1" fontId="5" fillId="0" borderId="2" xfId="0" applyNumberFormat="1" applyFont="1" applyBorder="1"/>
    <xf numFmtId="0" fontId="19" fillId="0" borderId="0" xfId="0" applyFont="1"/>
    <xf numFmtId="44" fontId="21" fillId="0" borderId="2" xfId="0" applyNumberFormat="1" applyFont="1" applyBorder="1"/>
    <xf numFmtId="2" fontId="21" fillId="0" borderId="2" xfId="0" applyNumberFormat="1" applyFont="1" applyBorder="1"/>
    <xf numFmtId="0" fontId="17" fillId="0" borderId="3" xfId="5" applyFont="1" applyFill="1" applyBorder="1" applyAlignment="1"/>
    <xf numFmtId="0" fontId="0" fillId="0" borderId="4" xfId="0" applyBorder="1"/>
    <xf numFmtId="0" fontId="17" fillId="0" borderId="5" xfId="5" applyFont="1" applyFill="1" applyBorder="1" applyAlignment="1"/>
    <xf numFmtId="164" fontId="9" fillId="2" borderId="2" xfId="4" applyNumberFormat="1" applyFont="1" applyBorder="1"/>
    <xf numFmtId="164" fontId="0" fillId="0" borderId="2" xfId="1" applyNumberFormat="1" applyFont="1" applyFill="1" applyBorder="1"/>
    <xf numFmtId="0" fontId="9" fillId="0" borderId="2" xfId="0" applyFont="1" applyBorder="1"/>
    <xf numFmtId="0" fontId="9" fillId="8" borderId="0" xfId="0" applyFont="1" applyFill="1"/>
    <xf numFmtId="0" fontId="13" fillId="0" borderId="0" xfId="0" applyFont="1" applyAlignment="1">
      <alignment vertical="top"/>
    </xf>
    <xf numFmtId="0" fontId="13" fillId="0" borderId="0" xfId="0" applyFont="1" applyAlignment="1">
      <alignment vertical="top" wrapText="1"/>
    </xf>
    <xf numFmtId="10" fontId="0" fillId="0" borderId="0" xfId="0" applyNumberFormat="1"/>
    <xf numFmtId="0" fontId="22" fillId="0" borderId="0" xfId="0" applyFont="1" applyAlignment="1">
      <alignment horizontal="left" vertical="top" wrapText="1"/>
    </xf>
    <xf numFmtId="0" fontId="23" fillId="11" borderId="0" xfId="0" applyFont="1" applyFill="1" applyAlignment="1">
      <alignment horizontal="center" vertical="top" wrapText="1"/>
    </xf>
    <xf numFmtId="0" fontId="13" fillId="0" borderId="0" xfId="0" applyFont="1" applyAlignment="1">
      <alignment horizontal="left" vertical="top" wrapText="1"/>
    </xf>
    <xf numFmtId="0" fontId="11" fillId="3" borderId="0" xfId="5" applyFont="1" applyAlignment="1">
      <alignment horizontal="center"/>
    </xf>
    <xf numFmtId="0" fontId="7" fillId="3" borderId="0" xfId="5" applyFont="1" applyAlignment="1">
      <alignment horizontal="center"/>
    </xf>
    <xf numFmtId="0" fontId="0" fillId="0" borderId="0" xfId="0" applyAlignment="1">
      <alignment horizontal="left" vertical="top" wrapText="1"/>
    </xf>
    <xf numFmtId="10" fontId="13" fillId="0" borderId="0" xfId="0" applyNumberFormat="1" applyFont="1"/>
    <xf numFmtId="0" fontId="13" fillId="12" borderId="0" xfId="0" applyFont="1" applyFill="1" applyAlignment="1">
      <alignment horizontal="center" vertical="top" wrapText="1"/>
    </xf>
  </cellXfs>
  <cellStyles count="6">
    <cellStyle name="Énfasis2" xfId="4" builtinId="33"/>
    <cellStyle name="Énfasis5" xfId="5" builtinId="45"/>
    <cellStyle name="Millares" xfId="1" builtinId="3"/>
    <cellStyle name="Normal" xfId="0" builtinId="0"/>
    <cellStyle name="Porcentaje" xfId="2" builtinId="5"/>
    <cellStyle name="Título 2" xfId="3" builtinId="17"/>
  </cellStyles>
  <dxfs count="17">
    <dxf>
      <font>
        <strike val="0"/>
        <outline val="0"/>
        <shadow val="0"/>
        <u val="none"/>
        <vertAlign val="baseline"/>
        <name val="Century Gothic"/>
        <scheme val="none"/>
      </font>
      <numFmt numFmtId="14" formatCode="0.00%"/>
    </dxf>
    <dxf>
      <font>
        <strike val="0"/>
        <outline val="0"/>
        <shadow val="0"/>
        <u val="none"/>
        <vertAlign val="baseline"/>
        <name val="Century Gothic"/>
        <scheme val="none"/>
      </font>
      <numFmt numFmtId="165" formatCode="_-&quot;$&quot;* #,##0.00_-;[Red]\-&quot;$&quot;* #,##0.00_-;_-&quot;$&quot;* &quot;-&quot;??_-;_-@_-"/>
    </dxf>
    <dxf>
      <font>
        <b/>
      </font>
      <alignment horizontal="center" vertical="bottom" textRotation="0" wrapText="0" indent="0" justifyLastLine="0" shrinkToFit="0" readingOrder="0"/>
    </dxf>
    <dxf>
      <font>
        <b/>
      </font>
    </dxf>
    <dxf>
      <numFmt numFmtId="0" formatCode="General"/>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font>
        <strike val="0"/>
        <outline val="0"/>
        <shadow val="0"/>
        <u val="none"/>
        <vertAlign val="baseline"/>
        <name val="Century Gothic"/>
        <scheme val="none"/>
      </font>
      <numFmt numFmtId="34" formatCode="_-&quot;$&quot;* #,##0.00_-;\-&quot;$&quot;* #,##0.00_-;_-&quot;$&quot;* &quot;-&quot;??_-;_-@_-"/>
    </dxf>
    <dxf>
      <font>
        <strike val="0"/>
        <outline val="0"/>
        <shadow val="0"/>
        <u val="none"/>
        <vertAlign val="baseline"/>
        <name val="Century Gothic"/>
        <scheme val="none"/>
      </font>
      <numFmt numFmtId="1" formatCode="0"/>
      <alignment horizontal="center" vertical="bottom"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name val="Century Gothic"/>
        <scheme val="none"/>
      </font>
      <alignment horizontal="center" vertical="center" textRotation="0" wrapText="0" indent="0" justifyLastLine="0" shrinkToFit="0" readingOrder="0"/>
    </dxf>
    <dxf>
      <font>
        <strike val="0"/>
        <outline val="0"/>
        <shadow val="0"/>
        <u val="none"/>
        <vertAlign val="baseline"/>
        <name val="Century Gothic"/>
        <scheme val="none"/>
      </font>
    </dxf>
    <dxf>
      <font>
        <strike val="0"/>
        <outline val="0"/>
        <shadow val="0"/>
        <u val="none"/>
        <vertAlign val="baseline"/>
        <name val="Century Gothic"/>
        <scheme val="none"/>
      </font>
    </dxf>
    <dxf>
      <font>
        <b/>
        <strike val="0"/>
        <outline val="0"/>
        <shadow val="0"/>
        <u val="none"/>
        <vertAlign val="baseline"/>
        <sz val="12"/>
        <color theme="1" tint="4.9989318521683403E-2"/>
        <name val="Century Gothic"/>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7</xdr:col>
      <xdr:colOff>677008</xdr:colOff>
      <xdr:row>36</xdr:row>
      <xdr:rowOff>58089</xdr:rowOff>
    </xdr:to>
    <xdr:pic>
      <xdr:nvPicPr>
        <xdr:cNvPr id="2" name="Imagen 1">
          <a:extLst>
            <a:ext uri="{FF2B5EF4-FFF2-40B4-BE49-F238E27FC236}">
              <a16:creationId xmlns:a16="http://schemas.microsoft.com/office/drawing/2014/main" id="{BE7BF6DE-D152-50E4-96DB-9E1B781B96E3}"/>
            </a:ext>
          </a:extLst>
        </xdr:cNvPr>
        <xdr:cNvPicPr>
          <a:picLocks noChangeAspect="1"/>
        </xdr:cNvPicPr>
      </xdr:nvPicPr>
      <xdr:blipFill>
        <a:blip xmlns:r="http://schemas.openxmlformats.org/officeDocument/2006/relationships" r:embed="rId1"/>
        <a:stretch>
          <a:fillRect/>
        </a:stretch>
      </xdr:blipFill>
      <xdr:spPr>
        <a:xfrm>
          <a:off x="762000" y="190500"/>
          <a:ext cx="5249008" cy="672558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a15" displayName="Tabla15" ref="B10:F21" headerRowDxfId="16" dataDxfId="15" totalsRowDxfId="14">
  <autoFilter ref="B10:F21" xr:uid="{00000000-0009-0000-0100-000002000000}"/>
  <tableColumns count="5">
    <tableColumn id="1" xr3:uid="{00000000-0010-0000-0000-000001000000}" name="Año" totalsRowLabel="Total" dataDxfId="13" totalsRowDxfId="12"/>
    <tableColumn id="2" xr3:uid="{00000000-0010-0000-0000-000002000000}" name="No. Año" dataDxfId="11"/>
    <tableColumn id="3" xr3:uid="{00000000-0010-0000-0000-000003000000}" name="Flujo de efectivo" totalsRowFunction="countNums" dataDxfId="10" totalsRowDxfId="9"/>
    <tableColumn id="4" xr3:uid="{00000000-0010-0000-0000-000004000000}" name="Flujo Acumulado" dataDxfId="1">
      <calculatedColumnFormula>Tabla15[[#This Row],[Flujo de efectivo]]</calculatedColumnFormula>
    </tableColumn>
    <tableColumn id="5" xr3:uid="{00000000-0010-0000-0000-000005000000}" name="ROI" dataDxfId="0">
      <calculatedColumnFormula>($C$7+D11)/$C$7</calculatedColumnFormula>
    </tableColumn>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1000000}" name="Tabla3518" displayName="Tabla3518" ref="B24:E29" totalsRowShown="0">
  <autoFilter ref="B24:E29" xr:uid="{00000000-0009-0000-0100-000011000000}"/>
  <tableColumns count="4">
    <tableColumn id="1" xr3:uid="{00000000-0010-0000-0100-000001000000}" name="Tipo/Complejidad"/>
    <tableColumn id="2" xr3:uid="{00000000-0010-0000-0100-000002000000}" name="Baja" dataDxfId="8"/>
    <tableColumn id="3" xr3:uid="{00000000-0010-0000-0100-000003000000}" name="Media" dataDxfId="7"/>
    <tableColumn id="4" xr3:uid="{00000000-0010-0000-0100-000004000000}" name="Alta"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2000000}" name="Tabla23" displayName="Tabla23" ref="B6:F21" totalsRowShown="0" headerRowDxfId="5">
  <autoFilter ref="B6:F21" xr:uid="{00000000-0009-0000-0100-000017000000}"/>
  <tableColumns count="5">
    <tableColumn id="1" xr3:uid="{00000000-0010-0000-0200-000001000000}" name="Requisitos"/>
    <tableColumn id="2" xr3:uid="{00000000-0010-0000-0200-000002000000}" name="Tipo"/>
    <tableColumn id="3" xr3:uid="{00000000-0010-0000-0200-000003000000}" name="Cantidad" dataDxfId="4">
      <calculatedColumnFormula array="1">_xlfn.IFS($C$4="Baja",LOOKUP(C7,Tabla3518[Tipo/Complejidad],Baja), $C$4="Media",LOOKUP(C7,Tabla3518[Tipo/Complejidad],Media),$C$4="Alta",LOOKUP(C7,Tabla3518[Tipo/Complejidad],Alta))</calculatedColumnFormula>
    </tableColumn>
    <tableColumn id="4" xr3:uid="{00000000-0010-0000-0200-000004000000}" name="Valor"/>
    <tableColumn id="5" xr3:uid="{00000000-0010-0000-0200-000005000000}" name="Total ">
      <calculatedColumnFormula>Tabla23[[#This Row],[Cantidad]]*Tabla23[[#This Row],[Valor]]</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3000000}" name="Tabla792027" displayName="Tabla792027" ref="B3:D18" totalsRowShown="0" headerRowDxfId="3">
  <autoFilter ref="B3:D18" xr:uid="{00000000-0009-0000-0100-00001A000000}"/>
  <tableColumns count="3">
    <tableColumn id="1" xr3:uid="{00000000-0010-0000-0300-000001000000}" name="Factor de Ajuste"/>
    <tableColumn id="2" xr3:uid="{00000000-0010-0000-0300-000002000000}" name="Impacto"/>
    <tableColumn id="3" xr3:uid="{00000000-0010-0000-0300-000003000000}" name="Puntaje asignado"/>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04000000}" name="Tabla11102128" displayName="Tabla11102128" ref="F8:G13" headerRowCount="0" totalsRowShown="0">
  <tableColumns count="2">
    <tableColumn id="1" xr3:uid="{00000000-0010-0000-0400-000001000000}" name="Columna1" dataDxfId="2"/>
    <tableColumn id="2" xr3:uid="{00000000-0010-0000-0400-000002000000}" name="Columna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5000000}" name="Tabla1211222940" displayName="Tabla1211222940" ref="B8:D11" totalsRowShown="0">
  <autoFilter ref="B8:D11" xr:uid="{00000000-0009-0000-0100-000027000000}"/>
  <tableColumns count="3">
    <tableColumn id="1" xr3:uid="{00000000-0010-0000-0500-000001000000}" name="Lenguaje"/>
    <tableColumn id="2" xr3:uid="{00000000-0010-0000-0500-000002000000}" name="Horas PF promedio"/>
    <tableColumn id="3" xr3:uid="{00000000-0010-0000-0500-000003000000}" name="Línea de códig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
  <sheetViews>
    <sheetView workbookViewId="0">
      <selection activeCell="B2" sqref="B2"/>
    </sheetView>
  </sheetViews>
  <sheetFormatPr baseColWidth="10" defaultRowHeight="15" x14ac:dyDescent="0.25"/>
  <sheetData>
    <row r="1" spans="1:1" x14ac:dyDescent="0.25">
      <c r="A1" s="1" t="s">
        <v>110</v>
      </c>
    </row>
  </sheetData>
  <pageMargins left="0.25" right="0.25" top="0.75" bottom="0.75" header="0.3" footer="0.3"/>
  <pageSetup orientation="landscape" horizontalDpi="4294967293" verticalDpi="4294967293"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F24"/>
  <sheetViews>
    <sheetView workbookViewId="0">
      <selection activeCell="G16" sqref="G16"/>
    </sheetView>
  </sheetViews>
  <sheetFormatPr baseColWidth="10" defaultRowHeight="15" x14ac:dyDescent="0.25"/>
  <cols>
    <col min="1" max="6" width="20.7109375" customWidth="1"/>
  </cols>
  <sheetData>
    <row r="1" spans="1:6" ht="18.75" x14ac:dyDescent="0.25">
      <c r="A1" s="60" t="s">
        <v>111</v>
      </c>
      <c r="B1" s="60"/>
      <c r="C1" s="60"/>
    </row>
    <row r="2" spans="1:6" x14ac:dyDescent="0.25">
      <c r="A2" s="61" t="s">
        <v>112</v>
      </c>
      <c r="B2" s="61"/>
      <c r="C2" s="61"/>
      <c r="D2" s="61"/>
      <c r="E2" s="61"/>
      <c r="F2" s="61"/>
    </row>
    <row r="3" spans="1:6" x14ac:dyDescent="0.25">
      <c r="A3" s="61"/>
      <c r="B3" s="61"/>
      <c r="C3" s="61"/>
      <c r="D3" s="61"/>
      <c r="E3" s="61"/>
      <c r="F3" s="61"/>
    </row>
    <row r="4" spans="1:6" x14ac:dyDescent="0.25">
      <c r="A4" s="61"/>
      <c r="B4" s="61"/>
      <c r="C4" s="61"/>
      <c r="D4" s="61"/>
      <c r="E4" s="61"/>
      <c r="F4" s="61"/>
    </row>
    <row r="6" spans="1:6" ht="15" customHeight="1" x14ac:dyDescent="0.25">
      <c r="B6" s="67" t="s">
        <v>118</v>
      </c>
      <c r="C6" s="67"/>
      <c r="D6" s="67"/>
      <c r="E6" s="67"/>
    </row>
    <row r="7" spans="1:6" ht="15" customHeight="1" x14ac:dyDescent="0.25">
      <c r="B7" s="67"/>
      <c r="C7" s="67"/>
      <c r="D7" s="67"/>
      <c r="E7" s="67"/>
    </row>
    <row r="8" spans="1:6" ht="15" customHeight="1" x14ac:dyDescent="0.25">
      <c r="B8" s="67"/>
      <c r="C8" s="67"/>
      <c r="D8" s="67"/>
      <c r="E8" s="67"/>
    </row>
    <row r="9" spans="1:6" ht="15" customHeight="1" x14ac:dyDescent="0.25">
      <c r="B9" s="67"/>
      <c r="C9" s="67"/>
      <c r="D9" s="67"/>
      <c r="E9" s="67"/>
    </row>
    <row r="10" spans="1:6" ht="15" customHeight="1" x14ac:dyDescent="0.25">
      <c r="B10" s="67"/>
      <c r="C10" s="67"/>
      <c r="D10" s="67"/>
      <c r="E10" s="67"/>
    </row>
    <row r="11" spans="1:6" ht="15" customHeight="1" x14ac:dyDescent="0.25">
      <c r="B11" s="67"/>
      <c r="C11" s="67"/>
      <c r="D11" s="67"/>
      <c r="E11" s="67"/>
    </row>
    <row r="12" spans="1:6" ht="15" customHeight="1" x14ac:dyDescent="0.25">
      <c r="B12" s="67"/>
      <c r="C12" s="67"/>
      <c r="D12" s="67"/>
      <c r="E12" s="67"/>
    </row>
    <row r="13" spans="1:6" ht="15" customHeight="1" x14ac:dyDescent="0.25">
      <c r="B13" s="67"/>
      <c r="C13" s="67"/>
      <c r="D13" s="67"/>
      <c r="E13" s="67"/>
    </row>
    <row r="14" spans="1:6" ht="15.75" customHeight="1" x14ac:dyDescent="0.25">
      <c r="B14" s="67"/>
      <c r="C14" s="67"/>
      <c r="D14" s="67"/>
      <c r="E14" s="67"/>
    </row>
    <row r="15" spans="1:6" ht="15" customHeight="1" x14ac:dyDescent="0.25">
      <c r="B15" s="67"/>
      <c r="C15" s="67"/>
      <c r="D15" s="67"/>
      <c r="E15" s="67"/>
    </row>
    <row r="16" spans="1:6" ht="15" customHeight="1" x14ac:dyDescent="0.25">
      <c r="B16" s="67"/>
      <c r="C16" s="67"/>
      <c r="D16" s="67"/>
      <c r="E16" s="67"/>
    </row>
    <row r="17" spans="2:5" ht="15" customHeight="1" x14ac:dyDescent="0.25">
      <c r="B17" s="67"/>
      <c r="C17" s="67"/>
      <c r="D17" s="67"/>
      <c r="E17" s="67"/>
    </row>
    <row r="18" spans="2:5" ht="15" customHeight="1" x14ac:dyDescent="0.25">
      <c r="B18" s="67"/>
      <c r="C18" s="67"/>
      <c r="D18" s="67"/>
      <c r="E18" s="67"/>
    </row>
    <row r="19" spans="2:5" ht="15" customHeight="1" x14ac:dyDescent="0.25">
      <c r="B19" s="67"/>
      <c r="C19" s="67"/>
      <c r="D19" s="67"/>
      <c r="E19" s="67"/>
    </row>
    <row r="20" spans="2:5" ht="15" customHeight="1" x14ac:dyDescent="0.25">
      <c r="B20" s="67"/>
      <c r="C20" s="67"/>
      <c r="D20" s="67"/>
      <c r="E20" s="67"/>
    </row>
    <row r="21" spans="2:5" x14ac:dyDescent="0.25">
      <c r="B21" s="67"/>
      <c r="C21" s="67"/>
      <c r="D21" s="67"/>
      <c r="E21" s="67"/>
    </row>
    <row r="22" spans="2:5" x14ac:dyDescent="0.25">
      <c r="B22" s="67"/>
      <c r="C22" s="67"/>
      <c r="D22" s="67"/>
      <c r="E22" s="67"/>
    </row>
    <row r="23" spans="2:5" x14ac:dyDescent="0.25">
      <c r="B23" s="67"/>
      <c r="C23" s="67"/>
      <c r="D23" s="67"/>
      <c r="E23" s="67"/>
    </row>
    <row r="24" spans="2:5" x14ac:dyDescent="0.25">
      <c r="B24" s="67"/>
      <c r="C24" s="67"/>
      <c r="D24" s="67"/>
      <c r="E24" s="67"/>
    </row>
  </sheetData>
  <mergeCells count="3">
    <mergeCell ref="A1:C1"/>
    <mergeCell ref="A2:F4"/>
    <mergeCell ref="B6:E24"/>
  </mergeCells>
  <pageMargins left="0.25" right="0.25" top="0.75" bottom="0.75" header="0.3" footer="0.3"/>
  <pageSetup orientation="landscape"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F34"/>
  <sheetViews>
    <sheetView zoomScale="85" zoomScaleNormal="85" workbookViewId="0">
      <selection activeCell="D18" sqref="D18"/>
    </sheetView>
  </sheetViews>
  <sheetFormatPr baseColWidth="10" defaultRowHeight="15" x14ac:dyDescent="0.25"/>
  <cols>
    <col min="1" max="1" width="20.140625" customWidth="1"/>
    <col min="2" max="2" width="19.140625" customWidth="1"/>
    <col min="3" max="3" width="20" customWidth="1"/>
    <col min="4" max="4" width="21.7109375" customWidth="1"/>
    <col min="5" max="5" width="30.85546875" customWidth="1"/>
    <col min="6" max="6" width="12" customWidth="1"/>
    <col min="7" max="7" width="27.7109375" bestFit="1" customWidth="1"/>
  </cols>
  <sheetData>
    <row r="1" spans="1:6" ht="20.25" x14ac:dyDescent="0.3">
      <c r="A1" s="50" t="s">
        <v>93</v>
      </c>
      <c r="B1" s="51"/>
      <c r="C1" s="52"/>
      <c r="D1" s="30"/>
      <c r="E1" s="30"/>
      <c r="F1" s="30"/>
    </row>
    <row r="2" spans="1:6" ht="16.5" x14ac:dyDescent="0.3">
      <c r="B2" s="10"/>
      <c r="C2" s="11"/>
      <c r="D2" s="11"/>
      <c r="E2" s="11"/>
    </row>
    <row r="3" spans="1:6" ht="20.25" x14ac:dyDescent="0.3">
      <c r="B3" s="63" t="s">
        <v>66</v>
      </c>
      <c r="C3" s="63"/>
      <c r="D3" s="63"/>
      <c r="E3" s="63"/>
      <c r="F3" s="63"/>
    </row>
    <row r="4" spans="1:6" ht="16.5" customHeight="1" thickBot="1" x14ac:dyDescent="0.3">
      <c r="A4" s="26" t="s">
        <v>65</v>
      </c>
      <c r="B4" s="62" t="s">
        <v>94</v>
      </c>
      <c r="C4" s="62"/>
      <c r="D4" s="62"/>
      <c r="E4" s="62"/>
      <c r="F4" s="62"/>
    </row>
    <row r="5" spans="1:6" ht="16.5" customHeight="1" thickTop="1" x14ac:dyDescent="0.25">
      <c r="B5" s="62"/>
      <c r="C5" s="62"/>
      <c r="D5" s="62"/>
      <c r="E5" s="62"/>
      <c r="F5" s="62"/>
    </row>
    <row r="6" spans="1:6" ht="16.5" customHeight="1" x14ac:dyDescent="0.25">
      <c r="B6" s="62"/>
      <c r="C6" s="62"/>
      <c r="D6" s="62"/>
      <c r="E6" s="62"/>
      <c r="F6" s="62"/>
    </row>
    <row r="7" spans="1:6" x14ac:dyDescent="0.25">
      <c r="B7" s="9" t="s">
        <v>2</v>
      </c>
      <c r="C7" s="42">
        <v>700000</v>
      </c>
    </row>
    <row r="8" spans="1:6" x14ac:dyDescent="0.25">
      <c r="B8" s="9" t="s">
        <v>61</v>
      </c>
      <c r="C8" s="43">
        <v>2017</v>
      </c>
    </row>
    <row r="10" spans="1:6" ht="16.5" x14ac:dyDescent="0.3">
      <c r="A10" s="11"/>
      <c r="B10" s="18" t="s">
        <v>0</v>
      </c>
      <c r="C10" s="18" t="s">
        <v>60</v>
      </c>
      <c r="D10" s="18" t="s">
        <v>1</v>
      </c>
      <c r="E10" s="18" t="s">
        <v>4</v>
      </c>
      <c r="F10" s="18" t="s">
        <v>10</v>
      </c>
    </row>
    <row r="11" spans="1:6" ht="18" customHeight="1" thickBot="1" x14ac:dyDescent="0.35">
      <c r="A11" s="26" t="s">
        <v>2</v>
      </c>
      <c r="B11" s="19">
        <f>C8-1</f>
        <v>2016</v>
      </c>
      <c r="C11" s="20">
        <v>0</v>
      </c>
      <c r="D11" s="21">
        <v>-700000</v>
      </c>
      <c r="E11" s="21">
        <f>Tabla15[[#This Row],[Flujo de efectivo]]</f>
        <v>-700000</v>
      </c>
      <c r="F11" s="66">
        <f t="shared" ref="F11:F21" si="0">($C$7+D11)/$C$7</f>
        <v>0</v>
      </c>
    </row>
    <row r="12" spans="1:6" ht="18" customHeight="1" thickTop="1" x14ac:dyDescent="0.3">
      <c r="A12" s="11"/>
      <c r="B12" s="22">
        <f>B11+1</f>
        <v>2017</v>
      </c>
      <c r="C12" s="20">
        <v>1</v>
      </c>
      <c r="D12" s="23">
        <v>190000</v>
      </c>
      <c r="E12" s="24">
        <f>E11+D12</f>
        <v>-510000</v>
      </c>
      <c r="F12" s="25">
        <f t="shared" si="0"/>
        <v>1.2714285714285714</v>
      </c>
    </row>
    <row r="13" spans="1:6" ht="18" customHeight="1" x14ac:dyDescent="0.3">
      <c r="A13" s="11"/>
      <c r="B13" s="22">
        <f t="shared" ref="B13:B21" si="1">B12+1</f>
        <v>2018</v>
      </c>
      <c r="C13" s="20">
        <v>2</v>
      </c>
      <c r="D13" s="23">
        <v>200000</v>
      </c>
      <c r="E13" s="24">
        <f t="shared" ref="E13:E21" si="2">E12+D13</f>
        <v>-310000</v>
      </c>
      <c r="F13" s="25">
        <f t="shared" si="0"/>
        <v>1.2857142857142858</v>
      </c>
    </row>
    <row r="14" spans="1:6" ht="18" customHeight="1" x14ac:dyDescent="0.3">
      <c r="A14" s="11"/>
      <c r="B14" s="22">
        <f t="shared" si="1"/>
        <v>2019</v>
      </c>
      <c r="C14" s="20">
        <v>3</v>
      </c>
      <c r="D14" s="23">
        <v>220000</v>
      </c>
      <c r="E14" s="24">
        <f t="shared" si="2"/>
        <v>-90000</v>
      </c>
      <c r="F14" s="25">
        <f t="shared" si="0"/>
        <v>1.3142857142857143</v>
      </c>
    </row>
    <row r="15" spans="1:6" ht="18" customHeight="1" x14ac:dyDescent="0.3">
      <c r="A15" s="11"/>
      <c r="B15" s="22">
        <f t="shared" si="1"/>
        <v>2020</v>
      </c>
      <c r="C15" s="20">
        <v>4</v>
      </c>
      <c r="D15" s="23">
        <v>250000</v>
      </c>
      <c r="E15" s="24">
        <f t="shared" si="2"/>
        <v>160000</v>
      </c>
      <c r="F15" s="25">
        <f t="shared" si="0"/>
        <v>1.3571428571428572</v>
      </c>
    </row>
    <row r="16" spans="1:6" ht="18" customHeight="1" x14ac:dyDescent="0.3">
      <c r="A16" s="11"/>
      <c r="B16" s="22">
        <f t="shared" si="1"/>
        <v>2021</v>
      </c>
      <c r="C16" s="20">
        <v>5</v>
      </c>
      <c r="D16" s="23">
        <v>300000</v>
      </c>
      <c r="E16" s="24">
        <f t="shared" si="2"/>
        <v>460000</v>
      </c>
      <c r="F16" s="25">
        <f t="shared" si="0"/>
        <v>1.4285714285714286</v>
      </c>
    </row>
    <row r="17" spans="1:6" ht="18" customHeight="1" thickBot="1" x14ac:dyDescent="0.35">
      <c r="A17" s="26" t="s">
        <v>3</v>
      </c>
      <c r="B17" s="22">
        <f t="shared" si="1"/>
        <v>2022</v>
      </c>
      <c r="C17" s="20">
        <v>6</v>
      </c>
      <c r="D17" s="23">
        <v>530000</v>
      </c>
      <c r="E17" s="24">
        <f t="shared" si="2"/>
        <v>990000</v>
      </c>
      <c r="F17" s="25">
        <f t="shared" si="0"/>
        <v>1.7571428571428571</v>
      </c>
    </row>
    <row r="18" spans="1:6" ht="18" customHeight="1" thickTop="1" thickBot="1" x14ac:dyDescent="0.35">
      <c r="A18" s="26" t="s">
        <v>3</v>
      </c>
      <c r="B18" s="22">
        <f t="shared" si="1"/>
        <v>2023</v>
      </c>
      <c r="C18" s="20">
        <v>7</v>
      </c>
      <c r="D18" s="23">
        <f>_xlfn.FORECAST.LINEAR(B18,D12:D17,B12:B17)</f>
        <v>484666.66666667163</v>
      </c>
      <c r="E18" s="24">
        <f t="shared" si="2"/>
        <v>1474666.6666666716</v>
      </c>
      <c r="F18" s="25">
        <f t="shared" si="0"/>
        <v>1.6923809523809594</v>
      </c>
    </row>
    <row r="19" spans="1:6" ht="18" customHeight="1" thickTop="1" thickBot="1" x14ac:dyDescent="0.35">
      <c r="A19" s="26" t="s">
        <v>3</v>
      </c>
      <c r="B19" s="22">
        <f t="shared" si="1"/>
        <v>2024</v>
      </c>
      <c r="C19" s="20">
        <v>8</v>
      </c>
      <c r="D19" s="23">
        <f>_xlfn.FORECAST.LINEAR(B19,D12:D18,B12:B18)</f>
        <v>542666.66666667163</v>
      </c>
      <c r="E19" s="24">
        <f t="shared" si="2"/>
        <v>2017333.3333333433</v>
      </c>
      <c r="F19" s="25">
        <f t="shared" si="0"/>
        <v>1.7752380952381024</v>
      </c>
    </row>
    <row r="20" spans="1:6" ht="18" customHeight="1" thickTop="1" thickBot="1" x14ac:dyDescent="0.35">
      <c r="A20" s="26" t="s">
        <v>3</v>
      </c>
      <c r="B20" s="22">
        <f t="shared" si="1"/>
        <v>2025</v>
      </c>
      <c r="C20" s="20">
        <v>9</v>
      </c>
      <c r="D20" s="23">
        <f>_xlfn.FORECAST.LINEAR(B20,D12:D19,B12:B19)</f>
        <v>600666.66666667163</v>
      </c>
      <c r="E20" s="24">
        <f t="shared" si="2"/>
        <v>2618000.0000000149</v>
      </c>
      <c r="F20" s="25">
        <f t="shared" si="0"/>
        <v>1.8580952380952451</v>
      </c>
    </row>
    <row r="21" spans="1:6" ht="18" customHeight="1" thickTop="1" thickBot="1" x14ac:dyDescent="0.35">
      <c r="A21" s="26" t="s">
        <v>3</v>
      </c>
      <c r="B21" s="22">
        <f t="shared" si="1"/>
        <v>2026</v>
      </c>
      <c r="C21" s="20">
        <v>10</v>
      </c>
      <c r="D21" s="23">
        <f>_xlfn.FORECAST.LINEAR(B21,D12:D20,B12:B20)</f>
        <v>658666.66666667163</v>
      </c>
      <c r="E21" s="24">
        <f t="shared" si="2"/>
        <v>3276666.6666666865</v>
      </c>
      <c r="F21" s="25">
        <f t="shared" si="0"/>
        <v>1.9409523809523881</v>
      </c>
    </row>
    <row r="22" spans="1:6" ht="15.75" thickTop="1" x14ac:dyDescent="0.25">
      <c r="F22" s="59"/>
    </row>
    <row r="23" spans="1:6" ht="17.25" x14ac:dyDescent="0.3">
      <c r="A23" s="3" t="s">
        <v>5</v>
      </c>
      <c r="B23" s="15">
        <f>ABS(E14)/D15+C14</f>
        <v>3.36</v>
      </c>
      <c r="C23" s="17" t="s">
        <v>6</v>
      </c>
    </row>
    <row r="24" spans="1:6" x14ac:dyDescent="0.25">
      <c r="B24" s="16">
        <f>INT(B23)</f>
        <v>3</v>
      </c>
      <c r="C24" s="17" t="s">
        <v>7</v>
      </c>
      <c r="D24" s="4" t="str">
        <f ca="1">_xlfn.FORMULATEXT(B24)</f>
        <v>=ENTERO(B23)</v>
      </c>
    </row>
    <row r="25" spans="1:6" x14ac:dyDescent="0.25">
      <c r="B25" s="16">
        <f>INT((FIXED(B23,2)-B24)*12)</f>
        <v>4</v>
      </c>
      <c r="C25" s="17" t="s">
        <v>8</v>
      </c>
      <c r="D25" s="4" t="str">
        <f t="shared" ref="D25:D26" ca="1" si="3">_xlfn.FORMULATEXT(B25)</f>
        <v>=ENTERO((DECIMAL(B23,2)-B24)*12)</v>
      </c>
    </row>
    <row r="26" spans="1:6" x14ac:dyDescent="0.25">
      <c r="B26" s="16">
        <f>INT(((B23-B24)*12-B25)*30)</f>
        <v>9</v>
      </c>
      <c r="C26" s="17" t="s">
        <v>9</v>
      </c>
      <c r="D26" s="4" t="str">
        <f t="shared" ca="1" si="3"/>
        <v>=ENTERO(((B23-B24)*12-B25)*30)</v>
      </c>
    </row>
    <row r="27" spans="1:6" ht="17.25" x14ac:dyDescent="0.3">
      <c r="A27" s="3" t="s">
        <v>11</v>
      </c>
      <c r="B27" s="12" t="str">
        <f>"TIEMPO DE RECUPERACIÓN DE LA INVERSIÓN EN "&amp;B24&amp;" "&amp;C24&amp;" "&amp;B25&amp;" "&amp;C25&amp;" "&amp;B26&amp;" "&amp;C26</f>
        <v>TIEMPO DE RECUPERACIÓN DE LA INVERSIÓN EN 3 Años 4 Meses 9 Días</v>
      </c>
      <c r="C27" s="13"/>
      <c r="D27" s="13"/>
      <c r="E27" s="13"/>
      <c r="F27" s="14"/>
    </row>
    <row r="29" spans="1:6" ht="34.5" x14ac:dyDescent="0.3">
      <c r="A29" s="3" t="s">
        <v>12</v>
      </c>
      <c r="B29" s="6">
        <f>(SUM(D12:D21)+D11)/-D11</f>
        <v>4.6809523809524096</v>
      </c>
    </row>
    <row r="31" spans="1:6" x14ac:dyDescent="0.25">
      <c r="B31" s="1"/>
    </row>
    <row r="32" spans="1:6" ht="16.5" x14ac:dyDescent="0.25">
      <c r="B32" s="58"/>
      <c r="C32" s="58"/>
      <c r="D32" s="58"/>
      <c r="E32" s="58"/>
      <c r="F32" s="58"/>
    </row>
    <row r="33" spans="2:6" ht="16.5" x14ac:dyDescent="0.25">
      <c r="B33" s="58"/>
      <c r="C33" s="58"/>
      <c r="D33" s="58"/>
      <c r="E33" s="58"/>
      <c r="F33" s="58"/>
    </row>
    <row r="34" spans="2:6" ht="16.5" x14ac:dyDescent="0.25">
      <c r="B34" s="58"/>
      <c r="C34" s="58"/>
      <c r="D34" s="58"/>
      <c r="E34" s="58"/>
      <c r="F34" s="58"/>
    </row>
  </sheetData>
  <mergeCells count="2">
    <mergeCell ref="B4:F6"/>
    <mergeCell ref="B3:F3"/>
  </mergeCells>
  <conditionalFormatting sqref="E11:E21">
    <cfRule type="dataBar" priority="1">
      <dataBar>
        <cfvo type="min"/>
        <cfvo type="max"/>
        <color rgb="FF008AEF"/>
      </dataBar>
      <extLst>
        <ext xmlns:x14="http://schemas.microsoft.com/office/spreadsheetml/2009/9/main" uri="{B025F937-C7B1-47D3-B67F-A62EFF666E3E}">
          <x14:id>{04288413-5A05-4C45-85FA-90CABCECAE2C}</x14:id>
        </ext>
      </extLst>
    </cfRule>
  </conditionalFormatting>
  <pageMargins left="0.25" right="0.25" top="0.75" bottom="0.75" header="0.3" footer="0.3"/>
  <pageSetup scale="80" orientation="portrait" horizontalDpi="4294967293" verticalDpi="4294967293"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4288413-5A05-4C45-85FA-90CABCECAE2C}">
            <x14:dataBar minLength="0" maxLength="100" gradient="0">
              <x14:cfvo type="autoMin"/>
              <x14:cfvo type="autoMax"/>
              <x14:negativeFillColor rgb="FFFF0000"/>
              <x14:axisColor rgb="FF000000"/>
            </x14:dataBar>
          </x14:cfRule>
          <xm:sqref>E11:E21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1:F34"/>
  <sheetViews>
    <sheetView workbookViewId="0">
      <selection activeCell="B1" sqref="B1:F29"/>
    </sheetView>
  </sheetViews>
  <sheetFormatPr baseColWidth="10" defaultRowHeight="15" x14ac:dyDescent="0.25"/>
  <cols>
    <col min="1" max="1" width="20.140625" customWidth="1"/>
    <col min="2" max="2" width="42.28515625" customWidth="1"/>
    <col min="3" max="3" width="25.28515625" bestFit="1" customWidth="1"/>
    <col min="4" max="4" width="25.85546875" customWidth="1"/>
    <col min="5" max="5" width="26.7109375" customWidth="1"/>
    <col min="6" max="6" width="12" customWidth="1"/>
    <col min="7" max="7" width="27.7109375" bestFit="1" customWidth="1"/>
  </cols>
  <sheetData>
    <row r="1" spans="2:6" ht="21" x14ac:dyDescent="0.35">
      <c r="B1" s="64" t="s">
        <v>13</v>
      </c>
      <c r="C1" s="64"/>
      <c r="D1" s="64"/>
      <c r="E1" s="64"/>
      <c r="F1" s="64"/>
    </row>
    <row r="3" spans="2:6" x14ac:dyDescent="0.25">
      <c r="B3" s="5" t="s">
        <v>63</v>
      </c>
      <c r="C3" s="41" t="s">
        <v>116</v>
      </c>
    </row>
    <row r="4" spans="2:6" x14ac:dyDescent="0.25">
      <c r="B4" s="5" t="s">
        <v>64</v>
      </c>
      <c r="C4" s="41" t="s">
        <v>16</v>
      </c>
    </row>
    <row r="6" spans="2:6" x14ac:dyDescent="0.25">
      <c r="B6" s="1" t="s">
        <v>99</v>
      </c>
      <c r="C6" s="27" t="s">
        <v>23</v>
      </c>
      <c r="D6" s="27" t="s">
        <v>24</v>
      </c>
      <c r="E6" s="27" t="s">
        <v>25</v>
      </c>
      <c r="F6" s="28" t="s">
        <v>108</v>
      </c>
    </row>
    <row r="7" spans="2:6" x14ac:dyDescent="0.25">
      <c r="B7" t="s">
        <v>100</v>
      </c>
      <c r="C7" s="32" t="s">
        <v>18</v>
      </c>
      <c r="D7">
        <v>1</v>
      </c>
      <c r="E7">
        <v>4</v>
      </c>
      <c r="F7">
        <f>Tabla23[[#This Row],[Cantidad]]*Tabla23[[#This Row],[Valor]]</f>
        <v>4</v>
      </c>
    </row>
    <row r="8" spans="2:6" x14ac:dyDescent="0.25">
      <c r="B8" t="s">
        <v>95</v>
      </c>
      <c r="C8" s="32" t="s">
        <v>18</v>
      </c>
      <c r="D8">
        <v>1</v>
      </c>
      <c r="E8">
        <v>4</v>
      </c>
      <c r="F8">
        <f>Tabla23[[#This Row],[Cantidad]]*Tabla23[[#This Row],[Valor]]</f>
        <v>4</v>
      </c>
    </row>
    <row r="9" spans="2:6" x14ac:dyDescent="0.25">
      <c r="B9" t="s">
        <v>96</v>
      </c>
      <c r="C9" s="32" t="s">
        <v>20</v>
      </c>
      <c r="D9">
        <v>1</v>
      </c>
      <c r="E9">
        <v>4</v>
      </c>
      <c r="F9">
        <f>Tabla23[[#This Row],[Cantidad]]*Tabla23[[#This Row],[Valor]]</f>
        <v>4</v>
      </c>
    </row>
    <row r="10" spans="2:6" x14ac:dyDescent="0.25">
      <c r="B10" t="s">
        <v>101</v>
      </c>
      <c r="C10" s="32" t="s">
        <v>18</v>
      </c>
      <c r="D10">
        <v>1</v>
      </c>
      <c r="E10">
        <v>4</v>
      </c>
      <c r="F10">
        <f>Tabla23[[#This Row],[Cantidad]]*Tabla23[[#This Row],[Valor]]</f>
        <v>4</v>
      </c>
    </row>
    <row r="11" spans="2:6" x14ac:dyDescent="0.25">
      <c r="B11" t="s">
        <v>97</v>
      </c>
      <c r="C11" s="32" t="s">
        <v>18</v>
      </c>
      <c r="D11">
        <v>1</v>
      </c>
      <c r="E11">
        <v>4</v>
      </c>
      <c r="F11">
        <f>Tabla23[[#This Row],[Cantidad]]*Tabla23[[#This Row],[Valor]]</f>
        <v>4</v>
      </c>
    </row>
    <row r="12" spans="2:6" x14ac:dyDescent="0.25">
      <c r="B12" t="s">
        <v>98</v>
      </c>
      <c r="C12" s="32" t="s">
        <v>19</v>
      </c>
      <c r="D12">
        <v>1</v>
      </c>
      <c r="E12">
        <v>5</v>
      </c>
      <c r="F12">
        <f>Tabla23[[#This Row],[Cantidad]]*Tabla23[[#This Row],[Valor]]</f>
        <v>5</v>
      </c>
    </row>
    <row r="13" spans="2:6" x14ac:dyDescent="0.25">
      <c r="B13" t="s">
        <v>102</v>
      </c>
      <c r="C13" s="32" t="s">
        <v>19</v>
      </c>
      <c r="D13">
        <v>1</v>
      </c>
      <c r="E13">
        <v>5</v>
      </c>
      <c r="F13">
        <f>Tabla23[[#This Row],[Cantidad]]*Tabla23[[#This Row],[Valor]]</f>
        <v>5</v>
      </c>
    </row>
    <row r="14" spans="2:6" x14ac:dyDescent="0.25">
      <c r="B14" t="s">
        <v>103</v>
      </c>
      <c r="C14" s="32" t="s">
        <v>21</v>
      </c>
      <c r="D14">
        <v>6</v>
      </c>
      <c r="E14">
        <v>10</v>
      </c>
      <c r="F14">
        <f>Tabla23[[#This Row],[Cantidad]]*Tabla23[[#This Row],[Valor]]</f>
        <v>60</v>
      </c>
    </row>
    <row r="15" spans="2:6" x14ac:dyDescent="0.25">
      <c r="B15" t="s">
        <v>104</v>
      </c>
      <c r="C15" s="32" t="s">
        <v>19</v>
      </c>
      <c r="D15">
        <v>1</v>
      </c>
      <c r="E15">
        <v>5</v>
      </c>
      <c r="F15">
        <f>Tabla23[[#This Row],[Cantidad]]*Tabla23[[#This Row],[Valor]]</f>
        <v>5</v>
      </c>
    </row>
    <row r="16" spans="2:6" x14ac:dyDescent="0.25">
      <c r="B16" t="s">
        <v>105</v>
      </c>
      <c r="C16" s="32" t="s">
        <v>19</v>
      </c>
      <c r="D16">
        <v>1</v>
      </c>
      <c r="E16">
        <v>5</v>
      </c>
      <c r="F16">
        <f>Tabla23[[#This Row],[Cantidad]]*Tabla23[[#This Row],[Valor]]</f>
        <v>5</v>
      </c>
    </row>
    <row r="17" spans="2:6" x14ac:dyDescent="0.25">
      <c r="B17" t="s">
        <v>106</v>
      </c>
      <c r="C17" s="32" t="s">
        <v>19</v>
      </c>
      <c r="D17">
        <v>1</v>
      </c>
      <c r="E17">
        <v>4</v>
      </c>
      <c r="F17">
        <f>Tabla23[[#This Row],[Cantidad]]*Tabla23[[#This Row],[Valor]]</f>
        <v>4</v>
      </c>
    </row>
    <row r="18" spans="2:6" x14ac:dyDescent="0.25">
      <c r="B18" t="s">
        <v>107</v>
      </c>
      <c r="C18" s="32" t="s">
        <v>19</v>
      </c>
      <c r="D18">
        <v>1</v>
      </c>
      <c r="E18">
        <v>5</v>
      </c>
      <c r="F18">
        <f>Tabla23[[#This Row],[Cantidad]]*Tabla23[[#This Row],[Valor]]</f>
        <v>5</v>
      </c>
    </row>
    <row r="19" spans="2:6" x14ac:dyDescent="0.25">
      <c r="F19">
        <f>Tabla23[[#This Row],[Cantidad]]*Tabla23[[#This Row],[Valor]]</f>
        <v>0</v>
      </c>
    </row>
    <row r="20" spans="2:6" x14ac:dyDescent="0.25">
      <c r="F20">
        <f>Tabla23[[#This Row],[Cantidad]]*Tabla23[[#This Row],[Valor]]</f>
        <v>0</v>
      </c>
    </row>
    <row r="21" spans="2:6" ht="15.75" x14ac:dyDescent="0.25">
      <c r="B21" s="29" t="s">
        <v>26</v>
      </c>
      <c r="C21" s="29"/>
      <c r="D21" s="29"/>
      <c r="E21" s="29"/>
      <c r="F21" s="29">
        <f>SUBTOTAL(9,F7:F19)</f>
        <v>109</v>
      </c>
    </row>
    <row r="22" spans="2:6" x14ac:dyDescent="0.25">
      <c r="B22" s="1"/>
      <c r="C22" s="1"/>
      <c r="D22" s="1"/>
      <c r="E22" s="1"/>
      <c r="F22" s="1"/>
    </row>
    <row r="23" spans="2:6" x14ac:dyDescent="0.25">
      <c r="B23" s="1" t="s">
        <v>62</v>
      </c>
    </row>
    <row r="24" spans="2:6" x14ac:dyDescent="0.25">
      <c r="B24" t="s">
        <v>14</v>
      </c>
      <c r="C24" t="s">
        <v>15</v>
      </c>
      <c r="D24" t="s">
        <v>16</v>
      </c>
      <c r="E24" t="s">
        <v>17</v>
      </c>
    </row>
    <row r="25" spans="2:6" x14ac:dyDescent="0.25">
      <c r="B25" t="s">
        <v>18</v>
      </c>
      <c r="C25" s="2">
        <v>3</v>
      </c>
      <c r="D25" s="2">
        <v>4</v>
      </c>
      <c r="E25" s="2">
        <v>6</v>
      </c>
    </row>
    <row r="26" spans="2:6" x14ac:dyDescent="0.25">
      <c r="B26" t="s">
        <v>19</v>
      </c>
      <c r="C26" s="2">
        <v>4</v>
      </c>
      <c r="D26" s="2">
        <v>5</v>
      </c>
      <c r="E26" s="2">
        <v>7</v>
      </c>
    </row>
    <row r="27" spans="2:6" x14ac:dyDescent="0.25">
      <c r="B27" t="s">
        <v>20</v>
      </c>
      <c r="C27" s="2">
        <v>3</v>
      </c>
      <c r="D27" s="2">
        <v>4</v>
      </c>
      <c r="E27" s="2">
        <v>6</v>
      </c>
    </row>
    <row r="28" spans="2:6" x14ac:dyDescent="0.25">
      <c r="B28" t="s">
        <v>21</v>
      </c>
      <c r="C28" s="2">
        <v>7</v>
      </c>
      <c r="D28" s="2">
        <v>10</v>
      </c>
      <c r="E28" s="2">
        <v>15</v>
      </c>
    </row>
    <row r="29" spans="2:6" x14ac:dyDescent="0.25">
      <c r="B29" t="s">
        <v>22</v>
      </c>
      <c r="C29" s="2">
        <v>5</v>
      </c>
      <c r="D29" s="2">
        <v>7</v>
      </c>
      <c r="E29" s="2">
        <v>10</v>
      </c>
    </row>
    <row r="31" spans="2:6" x14ac:dyDescent="0.25">
      <c r="B31" s="1"/>
    </row>
    <row r="32" spans="2:6" ht="16.5" x14ac:dyDescent="0.25">
      <c r="B32" s="58"/>
      <c r="C32" s="58"/>
      <c r="D32" s="58"/>
      <c r="E32" s="58"/>
      <c r="F32" s="58"/>
    </row>
    <row r="33" spans="2:6" ht="16.5" x14ac:dyDescent="0.25">
      <c r="B33" s="58"/>
      <c r="C33" s="58"/>
      <c r="D33" s="58"/>
      <c r="E33" s="58"/>
      <c r="F33" s="58"/>
    </row>
    <row r="34" spans="2:6" ht="16.5" x14ac:dyDescent="0.25">
      <c r="B34" s="58"/>
      <c r="C34" s="58"/>
      <c r="D34" s="58"/>
      <c r="E34" s="58"/>
      <c r="F34" s="58"/>
    </row>
  </sheetData>
  <mergeCells count="1">
    <mergeCell ref="B1:F1"/>
  </mergeCells>
  <dataValidations count="2">
    <dataValidation type="list" allowBlank="1" showInputMessage="1" showErrorMessage="1" sqref="C7:C21" xr:uid="{00000000-0002-0000-0400-000000000000}">
      <formula1>$B$25:$B$29</formula1>
    </dataValidation>
    <dataValidation type="list" allowBlank="1" showInputMessage="1" showErrorMessage="1" sqref="C4" xr:uid="{00000000-0002-0000-0400-000001000000}">
      <formula1>$C$24:$E$24</formula1>
    </dataValidation>
  </dataValidations>
  <pageMargins left="0.7" right="0.7" top="0.75" bottom="0.75" header="0.3" footer="0.3"/>
  <pageSetup orientation="portrait" horizontalDpi="4294967293" verticalDpi="4294967293"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G30"/>
  <sheetViews>
    <sheetView workbookViewId="0">
      <selection sqref="A1:G26"/>
    </sheetView>
  </sheetViews>
  <sheetFormatPr baseColWidth="10" defaultRowHeight="15" x14ac:dyDescent="0.25"/>
  <cols>
    <col min="1" max="1" width="10.85546875" customWidth="1"/>
    <col min="2" max="2" width="42.28515625" customWidth="1"/>
    <col min="3" max="3" width="30.28515625" customWidth="1"/>
    <col min="4" max="4" width="20.28515625" customWidth="1"/>
    <col min="5" max="5" width="7.42578125" customWidth="1"/>
    <col min="6" max="6" width="2" bestFit="1" customWidth="1"/>
    <col min="7" max="7" width="27.7109375" bestFit="1" customWidth="1"/>
  </cols>
  <sheetData>
    <row r="1" spans="2:7" ht="21" x14ac:dyDescent="0.35">
      <c r="B1" s="64" t="s">
        <v>27</v>
      </c>
      <c r="C1" s="64"/>
      <c r="D1" s="64"/>
      <c r="E1" s="64"/>
    </row>
    <row r="3" spans="2:7" x14ac:dyDescent="0.25">
      <c r="B3" s="1" t="s">
        <v>27</v>
      </c>
      <c r="C3" s="1" t="s">
        <v>69</v>
      </c>
      <c r="D3" s="1" t="s">
        <v>67</v>
      </c>
    </row>
    <row r="4" spans="2:7" x14ac:dyDescent="0.25">
      <c r="B4" t="s">
        <v>28</v>
      </c>
      <c r="C4" s="32" t="s">
        <v>46</v>
      </c>
      <c r="D4">
        <v>5</v>
      </c>
    </row>
    <row r="5" spans="2:7" x14ac:dyDescent="0.25">
      <c r="B5" t="s">
        <v>29</v>
      </c>
      <c r="C5" s="32" t="s">
        <v>46</v>
      </c>
      <c r="D5">
        <v>5</v>
      </c>
    </row>
    <row r="6" spans="2:7" x14ac:dyDescent="0.25">
      <c r="B6" t="s">
        <v>30</v>
      </c>
      <c r="C6" s="32" t="s">
        <v>43</v>
      </c>
      <c r="D6">
        <v>1</v>
      </c>
    </row>
    <row r="7" spans="2:7" x14ac:dyDescent="0.25">
      <c r="B7" t="s">
        <v>31</v>
      </c>
      <c r="C7" s="32" t="s">
        <v>43</v>
      </c>
      <c r="D7">
        <v>1</v>
      </c>
      <c r="F7" s="1" t="s">
        <v>68</v>
      </c>
    </row>
    <row r="8" spans="2:7" x14ac:dyDescent="0.25">
      <c r="B8" t="s">
        <v>32</v>
      </c>
      <c r="C8" s="32" t="s">
        <v>45</v>
      </c>
      <c r="D8">
        <v>3</v>
      </c>
      <c r="F8" s="7">
        <v>0</v>
      </c>
      <c r="G8" t="s">
        <v>42</v>
      </c>
    </row>
    <row r="9" spans="2:7" x14ac:dyDescent="0.25">
      <c r="B9" t="s">
        <v>33</v>
      </c>
      <c r="C9" s="32" t="s">
        <v>47</v>
      </c>
      <c r="D9">
        <v>4</v>
      </c>
      <c r="F9" s="7">
        <v>1</v>
      </c>
      <c r="G9" t="s">
        <v>43</v>
      </c>
    </row>
    <row r="10" spans="2:7" x14ac:dyDescent="0.25">
      <c r="B10" t="s">
        <v>34</v>
      </c>
      <c r="C10" s="32" t="s">
        <v>44</v>
      </c>
      <c r="D10">
        <v>2</v>
      </c>
      <c r="F10" s="7">
        <v>2</v>
      </c>
      <c r="G10" t="s">
        <v>44</v>
      </c>
    </row>
    <row r="11" spans="2:7" x14ac:dyDescent="0.25">
      <c r="B11" t="s">
        <v>35</v>
      </c>
      <c r="C11" s="32" t="s">
        <v>45</v>
      </c>
      <c r="D11">
        <v>3</v>
      </c>
      <c r="F11" s="7">
        <v>3</v>
      </c>
      <c r="G11" t="s">
        <v>45</v>
      </c>
    </row>
    <row r="12" spans="2:7" x14ac:dyDescent="0.25">
      <c r="B12" t="s">
        <v>36</v>
      </c>
      <c r="C12" s="32" t="s">
        <v>43</v>
      </c>
      <c r="D12">
        <v>1</v>
      </c>
      <c r="F12" s="7">
        <v>4</v>
      </c>
      <c r="G12" t="s">
        <v>46</v>
      </c>
    </row>
    <row r="13" spans="2:7" x14ac:dyDescent="0.25">
      <c r="B13" t="s">
        <v>37</v>
      </c>
      <c r="C13" s="32" t="s">
        <v>43</v>
      </c>
      <c r="D13">
        <v>1</v>
      </c>
      <c r="F13" s="7">
        <v>5</v>
      </c>
      <c r="G13" t="s">
        <v>47</v>
      </c>
    </row>
    <row r="14" spans="2:7" x14ac:dyDescent="0.25">
      <c r="B14" t="s">
        <v>38</v>
      </c>
      <c r="C14" s="32" t="s">
        <v>42</v>
      </c>
      <c r="D14">
        <v>0</v>
      </c>
    </row>
    <row r="15" spans="2:7" x14ac:dyDescent="0.25">
      <c r="B15" t="s">
        <v>39</v>
      </c>
      <c r="C15" s="32" t="s">
        <v>43</v>
      </c>
      <c r="D15">
        <v>1</v>
      </c>
    </row>
    <row r="16" spans="2:7" x14ac:dyDescent="0.25">
      <c r="B16" t="s">
        <v>40</v>
      </c>
      <c r="C16" s="32" t="s">
        <v>44</v>
      </c>
      <c r="D16">
        <v>2</v>
      </c>
    </row>
    <row r="17" spans="1:6" x14ac:dyDescent="0.25">
      <c r="B17" t="s">
        <v>41</v>
      </c>
      <c r="C17" s="32" t="s">
        <v>46</v>
      </c>
      <c r="D17">
        <v>5</v>
      </c>
    </row>
    <row r="18" spans="1:6" x14ac:dyDescent="0.25">
      <c r="C18" s="31" t="s">
        <v>27</v>
      </c>
      <c r="D18" s="31">
        <f>SUM(D4:D17)</f>
        <v>34</v>
      </c>
    </row>
    <row r="20" spans="1:6" ht="15.75" thickBot="1" x14ac:dyDescent="0.3">
      <c r="A20" s="26" t="s">
        <v>70</v>
      </c>
      <c r="B20" s="34" t="s">
        <v>48</v>
      </c>
    </row>
    <row r="21" spans="1:6" ht="15.75" thickTop="1" x14ac:dyDescent="0.25">
      <c r="B21" t="s">
        <v>49</v>
      </c>
    </row>
    <row r="22" spans="1:6" x14ac:dyDescent="0.25">
      <c r="B22" t="s">
        <v>50</v>
      </c>
      <c r="C22" s="36">
        <f>PFSA!F21</f>
        <v>109</v>
      </c>
    </row>
    <row r="23" spans="1:6" x14ac:dyDescent="0.25">
      <c r="B23" t="s">
        <v>51</v>
      </c>
      <c r="C23" s="37">
        <f>D18</f>
        <v>34</v>
      </c>
    </row>
    <row r="24" spans="1:6" x14ac:dyDescent="0.25">
      <c r="B24" s="8" t="s">
        <v>117</v>
      </c>
    </row>
    <row r="25" spans="1:6" x14ac:dyDescent="0.25">
      <c r="B25" s="35" t="s">
        <v>71</v>
      </c>
      <c r="C25" s="35">
        <f>C22*(0.65+(0.01*C23))</f>
        <v>107.91</v>
      </c>
      <c r="D25" t="str">
        <f ca="1">_xlfn.FORMULATEXT(C25)</f>
        <v>=C22*(0.65+(0.01*C23))</v>
      </c>
    </row>
    <row r="27" spans="1:6" x14ac:dyDescent="0.25">
      <c r="B27" s="1"/>
    </row>
    <row r="28" spans="1:6" ht="16.5" x14ac:dyDescent="0.25">
      <c r="B28" s="58"/>
      <c r="C28" s="58"/>
      <c r="D28" s="58"/>
      <c r="E28" s="58"/>
      <c r="F28" s="58"/>
    </row>
    <row r="29" spans="1:6" ht="16.5" x14ac:dyDescent="0.25">
      <c r="B29" s="58"/>
      <c r="C29" s="58"/>
      <c r="D29" s="58"/>
      <c r="E29" s="58"/>
      <c r="F29" s="58"/>
    </row>
    <row r="30" spans="1:6" ht="16.5" x14ac:dyDescent="0.25">
      <c r="B30" s="58"/>
      <c r="C30" s="58"/>
      <c r="D30" s="58"/>
      <c r="E30" s="58"/>
      <c r="F30" s="58"/>
    </row>
  </sheetData>
  <mergeCells count="1">
    <mergeCell ref="B1:E1"/>
  </mergeCells>
  <dataValidations count="1">
    <dataValidation type="list" allowBlank="1" showInputMessage="1" showErrorMessage="1" sqref="C4:C17" xr:uid="{00000000-0002-0000-0500-000000000000}">
      <formula1>$G$8:$G$13</formula1>
    </dataValidation>
  </dataValidations>
  <pageMargins left="0.7" right="0.7" top="0.75" bottom="0.75" header="0.3" footer="0.3"/>
  <pageSetup orientation="portrait" horizontalDpi="4294967293" verticalDpi="4294967293"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B1:F31"/>
  <sheetViews>
    <sheetView workbookViewId="0">
      <selection activeCell="C14" sqref="C14"/>
    </sheetView>
  </sheetViews>
  <sheetFormatPr baseColWidth="10" defaultRowHeight="15" x14ac:dyDescent="0.25"/>
  <cols>
    <col min="1" max="1" width="9.42578125" customWidth="1"/>
    <col min="2" max="2" width="42.28515625" customWidth="1"/>
    <col min="3" max="3" width="23.140625" bestFit="1" customWidth="1"/>
    <col min="4" max="4" width="19.85546875" bestFit="1" customWidth="1"/>
    <col min="5" max="5" width="26.7109375" customWidth="1"/>
    <col min="6" max="6" width="15.28515625" customWidth="1"/>
    <col min="7" max="7" width="27.7109375" bestFit="1" customWidth="1"/>
  </cols>
  <sheetData>
    <row r="1" spans="2:5" ht="21" x14ac:dyDescent="0.35">
      <c r="B1" s="64" t="s">
        <v>53</v>
      </c>
      <c r="C1" s="64"/>
      <c r="D1" s="64"/>
      <c r="E1" s="64"/>
    </row>
    <row r="3" spans="2:5" x14ac:dyDescent="0.25">
      <c r="B3" s="5" t="s">
        <v>74</v>
      </c>
      <c r="C3" s="40"/>
    </row>
    <row r="4" spans="2:5" x14ac:dyDescent="0.25">
      <c r="B4" s="5" t="s">
        <v>75</v>
      </c>
      <c r="C4" s="44">
        <v>4</v>
      </c>
    </row>
    <row r="5" spans="2:5" x14ac:dyDescent="0.25">
      <c r="B5" s="5" t="s">
        <v>76</v>
      </c>
      <c r="C5" s="55">
        <v>8</v>
      </c>
    </row>
    <row r="6" spans="2:5" x14ac:dyDescent="0.25">
      <c r="B6" s="5" t="s">
        <v>77</v>
      </c>
      <c r="C6" s="55">
        <v>20</v>
      </c>
    </row>
    <row r="8" spans="2:5" x14ac:dyDescent="0.25">
      <c r="B8" t="s">
        <v>54</v>
      </c>
      <c r="C8" t="s">
        <v>55</v>
      </c>
      <c r="D8" t="s">
        <v>56</v>
      </c>
    </row>
    <row r="9" spans="2:5" x14ac:dyDescent="0.25">
      <c r="B9" t="s">
        <v>113</v>
      </c>
      <c r="C9">
        <v>25</v>
      </c>
      <c r="D9">
        <v>300</v>
      </c>
    </row>
    <row r="10" spans="2:5" x14ac:dyDescent="0.25">
      <c r="B10" t="s">
        <v>114</v>
      </c>
      <c r="C10">
        <v>15</v>
      </c>
      <c r="D10">
        <v>150</v>
      </c>
    </row>
    <row r="11" spans="2:5" x14ac:dyDescent="0.25">
      <c r="B11" t="s">
        <v>57</v>
      </c>
      <c r="C11">
        <v>15</v>
      </c>
      <c r="D11">
        <v>500</v>
      </c>
    </row>
    <row r="13" spans="2:5" x14ac:dyDescent="0.25">
      <c r="B13" s="1" t="s">
        <v>58</v>
      </c>
    </row>
    <row r="14" spans="2:5" x14ac:dyDescent="0.25">
      <c r="B14" s="5" t="s">
        <v>52</v>
      </c>
      <c r="C14" s="39">
        <f>'Factor de ajuste (PFA)'!C25</f>
        <v>107.91</v>
      </c>
      <c r="D14" t="str">
        <f ca="1">_xlfn.FORMULATEXT(C14)</f>
        <v>='Factor de ajuste (PFA)'!C25</v>
      </c>
    </row>
    <row r="15" spans="2:5" x14ac:dyDescent="0.25">
      <c r="B15" s="38" t="s">
        <v>72</v>
      </c>
    </row>
    <row r="16" spans="2:5" x14ac:dyDescent="0.25">
      <c r="B16" s="5" t="s">
        <v>73</v>
      </c>
      <c r="C16" s="33">
        <f>C10*C14</f>
        <v>1618.6499999999999</v>
      </c>
      <c r="D16" t="str">
        <f ca="1">_xlfn.FORMULATEXT(C16)</f>
        <v>=C10*C14</v>
      </c>
    </row>
    <row r="17" spans="2:6" x14ac:dyDescent="0.25">
      <c r="B17" s="38" t="s">
        <v>80</v>
      </c>
    </row>
    <row r="18" spans="2:6" x14ac:dyDescent="0.25">
      <c r="B18" s="5" t="s">
        <v>81</v>
      </c>
      <c r="C18" s="33">
        <f>C16/$C$5</f>
        <v>202.33124999999998</v>
      </c>
      <c r="D18" t="str">
        <f ca="1">_xlfn.FORMULATEXT(C18)</f>
        <v>=C16/$C$5</v>
      </c>
    </row>
    <row r="19" spans="2:6" x14ac:dyDescent="0.25">
      <c r="B19" s="38" t="s">
        <v>79</v>
      </c>
    </row>
    <row r="20" spans="2:6" x14ac:dyDescent="0.25">
      <c r="B20" s="5" t="s">
        <v>78</v>
      </c>
      <c r="C20" s="33">
        <f>C18/C6</f>
        <v>10.116562499999999</v>
      </c>
      <c r="D20" t="str">
        <f ca="1">_xlfn.FORMULATEXT(C20)</f>
        <v>=C18/C6</v>
      </c>
    </row>
    <row r="21" spans="2:6" x14ac:dyDescent="0.25">
      <c r="B21" s="38" t="s">
        <v>79</v>
      </c>
    </row>
    <row r="22" spans="2:6" x14ac:dyDescent="0.25">
      <c r="B22" s="5" t="s">
        <v>82</v>
      </c>
      <c r="C22" s="33">
        <f>C5*C6</f>
        <v>160</v>
      </c>
      <c r="D22" t="str">
        <f ca="1">_xlfn.FORMULATEXT(C22)</f>
        <v>=C5*C6</v>
      </c>
    </row>
    <row r="23" spans="2:6" x14ac:dyDescent="0.25">
      <c r="B23" s="38" t="s">
        <v>84</v>
      </c>
    </row>
    <row r="24" spans="2:6" x14ac:dyDescent="0.25">
      <c r="B24" s="5" t="s">
        <v>83</v>
      </c>
      <c r="C24" s="46">
        <f>C16/C5/C4</f>
        <v>50.582812499999996</v>
      </c>
      <c r="D24" t="str">
        <f ca="1">_xlfn.FORMULATEXT(C24)</f>
        <v>=C16/C5/C4</v>
      </c>
    </row>
    <row r="25" spans="2:6" x14ac:dyDescent="0.25">
      <c r="B25" s="38" t="s">
        <v>85</v>
      </c>
    </row>
    <row r="26" spans="2:6" x14ac:dyDescent="0.25">
      <c r="B26" s="5" t="s">
        <v>89</v>
      </c>
      <c r="C26" s="45">
        <f>C24/C6</f>
        <v>2.5291406249999997</v>
      </c>
      <c r="D26" t="s">
        <v>109</v>
      </c>
    </row>
    <row r="28" spans="2:6" x14ac:dyDescent="0.25">
      <c r="B28" s="1"/>
    </row>
    <row r="29" spans="2:6" ht="16.5" x14ac:dyDescent="0.25">
      <c r="B29" s="58"/>
      <c r="C29" s="58"/>
      <c r="D29" s="58"/>
      <c r="E29" s="58"/>
      <c r="F29" s="58"/>
    </row>
    <row r="30" spans="2:6" ht="16.5" x14ac:dyDescent="0.25">
      <c r="B30" s="58"/>
      <c r="C30" s="58"/>
      <c r="D30" s="58"/>
      <c r="E30" s="58"/>
      <c r="F30" s="58"/>
    </row>
    <row r="31" spans="2:6" ht="16.5" x14ac:dyDescent="0.25">
      <c r="B31" s="58"/>
      <c r="C31" s="58"/>
      <c r="D31" s="58"/>
      <c r="E31" s="58"/>
      <c r="F31" s="58"/>
    </row>
  </sheetData>
  <mergeCells count="1">
    <mergeCell ref="B1:E1"/>
  </mergeCells>
  <dataValidations count="2">
    <dataValidation type="list" allowBlank="1" showInputMessage="1" showErrorMessage="1" sqref="C3" xr:uid="{00000000-0002-0000-0600-000000000000}">
      <formula1>$B$9:$B$11</formula1>
    </dataValidation>
    <dataValidation type="list" allowBlank="1" showInputMessage="1" showErrorMessage="1" sqref="C4" xr:uid="{00000000-0002-0000-0600-000001000000}">
      <formula1>"1,2,3,4"</formula1>
    </dataValidation>
  </dataValidations>
  <pageMargins left="0.7" right="0.7" top="0.75" bottom="0.75" header="0.3" footer="0.3"/>
  <pageSetup orientation="portrait" horizontalDpi="4294967293" vertic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F16"/>
  <sheetViews>
    <sheetView workbookViewId="0">
      <selection sqref="A1:E11"/>
    </sheetView>
  </sheetViews>
  <sheetFormatPr baseColWidth="10" defaultRowHeight="15" x14ac:dyDescent="0.25"/>
  <cols>
    <col min="1" max="1" width="20.140625" customWidth="1"/>
    <col min="2" max="2" width="48.140625" customWidth="1"/>
    <col min="3" max="3" width="23.140625" bestFit="1" customWidth="1"/>
    <col min="4" max="4" width="19.85546875" bestFit="1" customWidth="1"/>
    <col min="5" max="5" width="26.7109375" customWidth="1"/>
    <col min="6" max="6" width="16.5703125" customWidth="1"/>
    <col min="7" max="7" width="8.140625" customWidth="1"/>
  </cols>
  <sheetData>
    <row r="1" spans="1:6" ht="21" x14ac:dyDescent="0.35">
      <c r="B1" s="64" t="s">
        <v>86</v>
      </c>
      <c r="C1" s="64"/>
      <c r="D1" s="64"/>
      <c r="E1" s="64"/>
    </row>
    <row r="3" spans="1:6" ht="15.75" thickBot="1" x14ac:dyDescent="0.3">
      <c r="A3" s="26" t="s">
        <v>70</v>
      </c>
      <c r="B3" s="47" t="s">
        <v>59</v>
      </c>
    </row>
    <row r="4" spans="1:6" ht="15.75" thickTop="1" x14ac:dyDescent="0.25"/>
    <row r="5" spans="1:6" x14ac:dyDescent="0.25">
      <c r="B5" s="5" t="s">
        <v>75</v>
      </c>
      <c r="C5" s="44">
        <f>'Estimación de Esfuerzo'!C4</f>
        <v>4</v>
      </c>
    </row>
    <row r="6" spans="1:6" x14ac:dyDescent="0.25">
      <c r="B6" s="5" t="s">
        <v>87</v>
      </c>
      <c r="C6" s="49">
        <f>'Estimación de Esfuerzo'!C26</f>
        <v>2.5291406249999997</v>
      </c>
    </row>
    <row r="7" spans="1:6" x14ac:dyDescent="0.25">
      <c r="B7" s="5" t="s">
        <v>88</v>
      </c>
      <c r="C7" s="48">
        <v>35000</v>
      </c>
    </row>
    <row r="8" spans="1:6" x14ac:dyDescent="0.25">
      <c r="B8" s="5" t="s">
        <v>92</v>
      </c>
      <c r="C8" s="48">
        <v>10000</v>
      </c>
    </row>
    <row r="10" spans="1:6" x14ac:dyDescent="0.25">
      <c r="B10" s="5" t="s">
        <v>91</v>
      </c>
      <c r="C10" s="54">
        <f>C5*C7</f>
        <v>140000</v>
      </c>
      <c r="D10" t="str">
        <f ca="1">_xlfn.FORMULATEXT(C10)</f>
        <v>=C5*C7</v>
      </c>
    </row>
    <row r="11" spans="1:6" x14ac:dyDescent="0.25">
      <c r="B11" s="5" t="s">
        <v>90</v>
      </c>
      <c r="C11" s="53">
        <f>C10+C8</f>
        <v>150000</v>
      </c>
      <c r="D11" t="str">
        <f ca="1">_xlfn.FORMULATEXT(C11)</f>
        <v>=C10+C8</v>
      </c>
    </row>
    <row r="13" spans="1:6" x14ac:dyDescent="0.25">
      <c r="B13" s="1"/>
    </row>
    <row r="14" spans="1:6" ht="16.5" x14ac:dyDescent="0.25">
      <c r="B14" s="57"/>
      <c r="C14" s="57"/>
      <c r="D14" s="57"/>
      <c r="E14" s="57"/>
      <c r="F14" s="57"/>
    </row>
    <row r="15" spans="1:6" ht="16.5" x14ac:dyDescent="0.25">
      <c r="B15" s="57"/>
      <c r="C15" s="57"/>
      <c r="D15" s="57"/>
      <c r="E15" s="57"/>
      <c r="F15" s="57"/>
    </row>
    <row r="16" spans="1:6" ht="16.5" x14ac:dyDescent="0.25">
      <c r="B16" s="57"/>
      <c r="C16" s="57"/>
      <c r="D16" s="57"/>
      <c r="E16" s="57"/>
      <c r="F16" s="57"/>
    </row>
  </sheetData>
  <mergeCells count="1">
    <mergeCell ref="B1:E1"/>
  </mergeCells>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I8"/>
  <sheetViews>
    <sheetView tabSelected="1" workbookViewId="0">
      <selection activeCell="J9" sqref="J9"/>
    </sheetView>
  </sheetViews>
  <sheetFormatPr baseColWidth="10" defaultRowHeight="15" x14ac:dyDescent="0.25"/>
  <cols>
    <col min="9" max="9" width="17.28515625" customWidth="1"/>
  </cols>
  <sheetData>
    <row r="1" spans="1:9" x14ac:dyDescent="0.25">
      <c r="A1" s="56" t="s">
        <v>115</v>
      </c>
      <c r="B1" s="56"/>
      <c r="C1" s="56"/>
      <c r="D1" s="56"/>
      <c r="E1" s="56"/>
      <c r="F1" s="56"/>
      <c r="G1" s="56"/>
      <c r="H1" s="56"/>
      <c r="I1" s="56"/>
    </row>
    <row r="3" spans="1:9" x14ac:dyDescent="0.25">
      <c r="A3" s="65" t="s">
        <v>119</v>
      </c>
      <c r="B3" s="65"/>
      <c r="C3" s="65"/>
      <c r="D3" s="65"/>
      <c r="E3" s="65"/>
      <c r="F3" s="65"/>
      <c r="G3" s="65"/>
      <c r="H3" s="65"/>
      <c r="I3" s="65"/>
    </row>
    <row r="4" spans="1:9" x14ac:dyDescent="0.25">
      <c r="A4" s="65"/>
      <c r="B4" s="65"/>
      <c r="C4" s="65"/>
      <c r="D4" s="65"/>
      <c r="E4" s="65"/>
      <c r="F4" s="65"/>
      <c r="G4" s="65"/>
      <c r="H4" s="65"/>
      <c r="I4" s="65"/>
    </row>
    <row r="5" spans="1:9" x14ac:dyDescent="0.25">
      <c r="A5" s="65"/>
      <c r="B5" s="65"/>
      <c r="C5" s="65"/>
      <c r="D5" s="65"/>
      <c r="E5" s="65"/>
      <c r="F5" s="65"/>
      <c r="G5" s="65"/>
      <c r="H5" s="65"/>
      <c r="I5" s="65"/>
    </row>
    <row r="6" spans="1:9" x14ac:dyDescent="0.25">
      <c r="A6" s="65"/>
      <c r="B6" s="65"/>
      <c r="C6" s="65"/>
      <c r="D6" s="65"/>
      <c r="E6" s="65"/>
      <c r="F6" s="65"/>
      <c r="G6" s="65"/>
      <c r="H6" s="65"/>
      <c r="I6" s="65"/>
    </row>
    <row r="7" spans="1:9" x14ac:dyDescent="0.25">
      <c r="A7" s="65"/>
      <c r="B7" s="65"/>
      <c r="C7" s="65"/>
      <c r="D7" s="65"/>
      <c r="E7" s="65"/>
      <c r="F7" s="65"/>
      <c r="G7" s="65"/>
      <c r="H7" s="65"/>
      <c r="I7" s="65"/>
    </row>
    <row r="8" spans="1:9" ht="78" customHeight="1" x14ac:dyDescent="0.25">
      <c r="A8" s="65"/>
      <c r="B8" s="65"/>
      <c r="C8" s="65"/>
      <c r="D8" s="65"/>
      <c r="E8" s="65"/>
      <c r="F8" s="65"/>
      <c r="G8" s="65"/>
      <c r="H8" s="65"/>
      <c r="I8" s="65"/>
    </row>
  </sheetData>
  <mergeCells count="1">
    <mergeCell ref="A3:I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12</vt:i4>
      </vt:variant>
    </vt:vector>
  </HeadingPairs>
  <TitlesOfParts>
    <vt:vector size="20" baseType="lpstr">
      <vt:lpstr>Portada</vt:lpstr>
      <vt:lpstr>Introducción</vt:lpstr>
      <vt:lpstr>Periodo de recuperación</vt:lpstr>
      <vt:lpstr>PFSA</vt:lpstr>
      <vt:lpstr>Factor de ajuste (PFA)</vt:lpstr>
      <vt:lpstr>Estimación de Esfuerzo</vt:lpstr>
      <vt:lpstr>Presupuesto</vt:lpstr>
      <vt:lpstr>Conclusión</vt:lpstr>
      <vt:lpstr>Alta</vt:lpstr>
      <vt:lpstr>Presupuesto!Alta2</vt:lpstr>
      <vt:lpstr>Alta2</vt:lpstr>
      <vt:lpstr>Baja</vt:lpstr>
      <vt:lpstr>EI</vt:lpstr>
      <vt:lpstr>EIF</vt:lpstr>
      <vt:lpstr>EO</vt:lpstr>
      <vt:lpstr>EQ</vt:lpstr>
      <vt:lpstr>ILF</vt:lpstr>
      <vt:lpstr>IMPACTO</vt:lpstr>
      <vt:lpstr>Media</vt:lpstr>
      <vt:lpstr>Valoresimpacto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Celes 2020</dc:creator>
  <cp:lastModifiedBy>Carlitos</cp:lastModifiedBy>
  <cp:lastPrinted>2024-12-28T05:06:45Z</cp:lastPrinted>
  <dcterms:created xsi:type="dcterms:W3CDTF">2022-04-19T00:08:34Z</dcterms:created>
  <dcterms:modified xsi:type="dcterms:W3CDTF">2025-09-14T23:17:36Z</dcterms:modified>
</cp:coreProperties>
</file>