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media/image1.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3.vml" ContentType="application/vnd.openxmlformats-officedocument.vmlDrawing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udal boca" sheetId="1" state="visible" r:id="rId2"/>
    <sheet name="Unidades riego" sheetId="2" state="visible" r:id="rId3"/>
    <sheet name="Cálculo unidad aspersión" sheetId="3" state="visible" r:id="rId4"/>
    <sheet name="Cálculo unidad goteo" sheetId="4" state="visible" r:id="rId5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Caudal ficticio cotinuo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3" authorId="0">
      <text>
        <r>
          <rPr>
            <sz val="8"/>
            <color rgb="FF000000"/>
            <rFont val="Tahoma"/>
            <family val="2"/>
            <charset val="1"/>
          </rPr>
          <t xml:space="preserve">Tiempo necesario para aplicar la lámina de un dia según el marco elegido.</t>
        </r>
      </text>
    </comment>
    <comment ref="C22" authorId="0">
      <text>
        <r>
          <rPr>
            <sz val="8"/>
            <color rgb="FF000000"/>
            <rFont val="Tahoma"/>
            <family val="2"/>
            <charset val="1"/>
          </rPr>
          <t xml:space="preserve">Diámetro mojado</t>
        </r>
      </text>
    </comment>
    <comment ref="C33" authorId="0">
      <text>
        <r>
          <rPr>
            <sz val="8"/>
            <color rgb="FF000000"/>
            <rFont val="Tahoma"/>
            <family val="2"/>
            <charset val="1"/>
          </rPr>
          <t xml:space="preserve">Superficie máxima que se puede regar de manera simultánea.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8"/>
            <color rgb="FF000000"/>
            <rFont val="Tahoma"/>
            <family val="2"/>
            <charset val="1"/>
          </rPr>
          <t xml:space="preserve">Fórmula de Blasius</t>
        </r>
      </text>
    </comment>
  </commentList>
</comments>
</file>

<file path=xl/sharedStrings.xml><?xml version="1.0" encoding="utf-8"?>
<sst xmlns="http://schemas.openxmlformats.org/spreadsheetml/2006/main" count="179" uniqueCount="108">
  <si>
    <t xml:space="preserve">Etc punta (mm/d)</t>
  </si>
  <si>
    <t xml:space="preserve">Ra</t>
  </si>
  <si>
    <t xml:space="preserve">Cd</t>
  </si>
  <si>
    <t xml:space="preserve">Cev</t>
  </si>
  <si>
    <t xml:space="preserve">Hb(mm/d)</t>
  </si>
  <si>
    <t xml:space="preserve">Hb(L/(s·ha))</t>
  </si>
  <si>
    <t xml:space="preserve">T(h/d) proyecto</t>
  </si>
  <si>
    <r>
      <rPr>
        <sz val="10"/>
        <rFont val="Arial"/>
        <family val="2"/>
        <charset val="1"/>
      </rPr>
      <t xml:space="preserve">q</t>
    </r>
    <r>
      <rPr>
        <vertAlign val="subscript"/>
        <sz val="10"/>
        <rFont val="Arial"/>
        <family val="2"/>
        <charset val="1"/>
      </rPr>
      <t xml:space="preserve">s</t>
    </r>
    <r>
      <rPr>
        <sz val="10"/>
        <rFont val="Arial"/>
        <family val="2"/>
        <charset val="1"/>
      </rPr>
      <t xml:space="preserve">(L/(s·ha))</t>
    </r>
  </si>
  <si>
    <t xml:space="preserve">Parcela aspersión cobertura total enterrada</t>
  </si>
  <si>
    <t xml:space="preserve">S(ha)</t>
  </si>
  <si>
    <t xml:space="preserve">q(L/s)</t>
  </si>
  <si>
    <t xml:space="preserve">Parcela ramal pivotante</t>
  </si>
  <si>
    <t xml:space="preserve">Bocas (o hidrantes)</t>
  </si>
  <si>
    <t xml:space="preserve">Tamaño</t>
  </si>
  <si>
    <t xml:space="preserve">1,5”</t>
  </si>
  <si>
    <t xml:space="preserve">2”</t>
  </si>
  <si>
    <t xml:space="preserve">3”</t>
  </si>
  <si>
    <t xml:space="preserve">4”</t>
  </si>
  <si>
    <t xml:space="preserve">6”</t>
  </si>
  <si>
    <t xml:space="preserve">8”</t>
  </si>
  <si>
    <r>
      <rPr>
        <sz val="10"/>
        <rFont val="Arial"/>
        <family val="2"/>
        <charset val="1"/>
      </rPr>
      <t xml:space="preserve">Caudal nominal (m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/h) [hf aprox.=5m]</t>
    </r>
  </si>
  <si>
    <t xml:space="preserve">Caudal nominal (L/s)</t>
  </si>
  <si>
    <t xml:space="preserve">T(h/d) real</t>
  </si>
  <si>
    <t xml:space="preserve">Cobertura total</t>
  </si>
  <si>
    <t xml:space="preserve">Ramal pivotante</t>
  </si>
  <si>
    <t xml:space="preserve">Q(L/s)</t>
  </si>
  <si>
    <t xml:space="preserve">S-Mark II, aspersor para uso agrícola</t>
  </si>
  <si>
    <t xml:space="preserve">x</t>
  </si>
  <si>
    <t xml:space="preserve">log k</t>
  </si>
  <si>
    <t xml:space="preserve">k</t>
  </si>
  <si>
    <t xml:space="preserve">Boquillas (mm)</t>
  </si>
  <si>
    <t xml:space="preserve">3,7x2,5</t>
  </si>
  <si>
    <t xml:space="preserve">4,1x2,8</t>
  </si>
  <si>
    <t xml:space="preserve">4,4x3,2</t>
  </si>
  <si>
    <t xml:space="preserve">4,9x3</t>
  </si>
  <si>
    <t xml:space="preserve">5,4x3</t>
  </si>
  <si>
    <t xml:space="preserve">6,1x3,2</t>
  </si>
  <si>
    <t xml:space="preserve">7x2,5</t>
  </si>
  <si>
    <t xml:space="preserve">bar</t>
  </si>
  <si>
    <t xml:space="preserve">L/min</t>
  </si>
  <si>
    <t xml:space="preserve">d(m)</t>
  </si>
  <si>
    <t xml:space="preserve">*Se aconseja una presión entre 3 y 4 bar</t>
  </si>
  <si>
    <r>
      <rPr>
        <sz val="10"/>
        <rFont val="Arial"/>
        <family val="2"/>
        <charset val="1"/>
      </rPr>
      <t xml:space="preserve">q(m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/h)</t>
    </r>
  </si>
  <si>
    <t xml:space="preserve">Marco(sa x sr)</t>
  </si>
  <si>
    <t xml:space="preserve">tar(h/dia)</t>
  </si>
  <si>
    <t xml:space="preserve">09x12</t>
  </si>
  <si>
    <t xml:space="preserve">12x12</t>
  </si>
  <si>
    <t xml:space="preserve">12x15</t>
  </si>
  <si>
    <t xml:space="preserve">15x15</t>
  </si>
  <si>
    <t xml:space="preserve">15x18</t>
  </si>
  <si>
    <t xml:space="preserve">18x18</t>
  </si>
  <si>
    <t xml:space="preserve">Unidades</t>
  </si>
  <si>
    <t xml:space="preserve">Atendiendo al caudal</t>
  </si>
  <si>
    <t xml:space="preserve">Max. Unidades</t>
  </si>
  <si>
    <t xml:space="preserve">Atendiendo al tiempo</t>
  </si>
  <si>
    <t xml:space="preserve">N aspersores unidad</t>
  </si>
  <si>
    <t xml:space="preserve">hn(m)</t>
  </si>
  <si>
    <t xml:space="preserve">n</t>
  </si>
  <si>
    <t xml:space="preserve">sa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</si>
  <si>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=0,2·h</t>
    </r>
    <r>
      <rPr>
        <vertAlign val="subscript"/>
        <sz val="10"/>
        <rFont val="Arial"/>
        <family val="2"/>
        <charset val="1"/>
      </rPr>
      <t xml:space="preserve">n</t>
    </r>
  </si>
  <si>
    <t xml:space="preserve">C</t>
  </si>
  <si>
    <t xml:space="preserve">sr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</si>
  <si>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2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max</t>
    </r>
    <r>
      <rPr>
        <sz val="10"/>
        <rFont val="Arial"/>
        <family val="2"/>
        <charset val="1"/>
      </rPr>
      <t xml:space="preserve">(m)</t>
    </r>
  </si>
  <si>
    <t xml:space="preserve">C'[Q(L/h),D(mm)]</t>
  </si>
  <si>
    <r>
      <rPr>
        <sz val="10"/>
        <rFont val="Arial"/>
        <family val="2"/>
        <charset val="1"/>
      </rPr>
      <t xml:space="preserve">I</t>
    </r>
    <r>
      <rPr>
        <vertAlign val="subscript"/>
        <sz val="10"/>
        <rFont val="Arial"/>
        <family val="2"/>
        <charset val="1"/>
      </rPr>
      <t xml:space="preserve">0r</t>
    </r>
  </si>
  <si>
    <t xml:space="preserve">qn(L/s)</t>
  </si>
  <si>
    <t xml:space="preserve">Tubos</t>
  </si>
  <si>
    <r>
      <rPr>
        <sz val="10"/>
        <rFont val="Arial"/>
        <family val="2"/>
        <charset val="1"/>
      </rPr>
      <t xml:space="preserve">I</t>
    </r>
    <r>
      <rPr>
        <vertAlign val="subscript"/>
        <sz val="10"/>
        <rFont val="Arial"/>
        <family val="2"/>
        <charset val="1"/>
      </rPr>
      <t xml:space="preserve">0pr</t>
    </r>
  </si>
  <si>
    <t xml:space="preserve">PVC PN 6 atm</t>
  </si>
  <si>
    <t xml:space="preserve">L parcela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</si>
  <si>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ext</t>
    </r>
    <r>
      <rPr>
        <sz val="10"/>
        <rFont val="Arial"/>
        <family val="2"/>
        <charset val="1"/>
      </rPr>
      <t xml:space="preserve">(mm)</t>
    </r>
  </si>
  <si>
    <t xml:space="preserve">e(mm)</t>
  </si>
  <si>
    <t xml:space="preserve">D(mm)</t>
  </si>
  <si>
    <t xml:space="preserve">Lmax</t>
  </si>
  <si>
    <t xml:space="preserve">Na</t>
  </si>
  <si>
    <t xml:space="preserve">Nr</t>
  </si>
  <si>
    <t xml:space="preserve">N = Na x Nr</t>
  </si>
  <si>
    <t xml:space="preserve">Ramales en Lparcela</t>
  </si>
  <si>
    <t xml:space="preserve">hfr-Io·L</t>
  </si>
  <si>
    <t xml:space="preserve">Dpr(mm)</t>
  </si>
  <si>
    <t xml:space="preserve">(indice_aux)</t>
  </si>
  <si>
    <t xml:space="preserve">Dpr(mm) ext</t>
  </si>
  <si>
    <t xml:space="preserve">L portaramal</t>
  </si>
  <si>
    <t xml:space="preserve">Proyecto de una unidad rectangular de riego por goteo</t>
  </si>
  <si>
    <t xml:space="preserve">Datos</t>
  </si>
  <si>
    <t xml:space="preserve">Cálculos</t>
  </si>
  <si>
    <t xml:space="preserve">CVqm</t>
  </si>
  <si>
    <r>
      <rPr>
        <sz val="10"/>
        <rFont val="Arial"/>
        <family val="0"/>
        <charset val="1"/>
      </rPr>
      <t xml:space="preserve">q</t>
    </r>
    <r>
      <rPr>
        <vertAlign val="subscript"/>
        <sz val="10"/>
        <rFont val="Arial"/>
        <family val="2"/>
        <charset val="1"/>
      </rPr>
      <t xml:space="preserve">med</t>
    </r>
    <r>
      <rPr>
        <sz val="10"/>
        <rFont val="Arial"/>
        <family val="2"/>
        <charset val="1"/>
      </rPr>
      <t xml:space="preserve">(L/h)</t>
    </r>
  </si>
  <si>
    <r>
      <rPr>
        <sz val="10"/>
        <rFont val="Arial"/>
        <family val="2"/>
        <charset val="1"/>
      </rPr>
      <t xml:space="preserve">[(hfr-I</t>
    </r>
    <r>
      <rPr>
        <vertAlign val="subscript"/>
        <sz val="10"/>
        <rFont val="Arial"/>
        <family val="2"/>
        <charset val="1"/>
      </rPr>
      <t xml:space="preserve">0r</t>
    </r>
    <r>
      <rPr>
        <sz val="10"/>
        <rFont val="Arial"/>
        <family val="2"/>
        <charset val="1"/>
      </rPr>
      <t xml:space="preserve">·Lr)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+(hf</t>
    </r>
    <r>
      <rPr>
        <vertAlign val="subscript"/>
        <sz val="10"/>
        <rFont val="Arial"/>
        <family val="2"/>
        <charset val="1"/>
      </rPr>
      <t xml:space="preserve">p</t>
    </r>
    <r>
      <rPr>
        <sz val="10"/>
        <rFont val="Arial"/>
        <family val="2"/>
        <charset val="1"/>
      </rPr>
      <t xml:space="preserve">-I</t>
    </r>
    <r>
      <rPr>
        <vertAlign val="subscript"/>
        <sz val="10"/>
        <rFont val="Arial"/>
        <family val="2"/>
        <charset val="1"/>
      </rPr>
      <t xml:space="preserve">0p</t>
    </r>
    <r>
      <rPr>
        <sz val="10"/>
        <rFont val="Arial"/>
        <family val="2"/>
        <charset val="1"/>
      </rPr>
      <t xml:space="preserve">·L</t>
    </r>
    <r>
      <rPr>
        <vertAlign val="subscript"/>
        <sz val="10"/>
        <rFont val="Arial"/>
        <family val="2"/>
        <charset val="1"/>
      </rPr>
      <t xml:space="preserve">p</t>
    </r>
    <r>
      <rPr>
        <sz val="10"/>
        <rFont val="Arial"/>
        <family val="2"/>
        <charset val="1"/>
      </rPr>
      <t xml:space="preserve">)</t>
    </r>
    <r>
      <rPr>
        <vertAlign val="super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]</t>
    </r>
    <r>
      <rPr>
        <vertAlign val="superscript"/>
        <sz val="10"/>
        <rFont val="Arial"/>
        <family val="2"/>
        <charset val="1"/>
      </rPr>
      <t xml:space="preserve">0,5</t>
    </r>
  </si>
  <si>
    <r>
      <rPr>
        <sz val="10"/>
        <rFont val="Arial"/>
        <family val="0"/>
        <charset val="1"/>
      </rPr>
      <t xml:space="preserve">k[L/(h·m</t>
    </r>
    <r>
      <rPr>
        <vertAlign val="superscript"/>
        <sz val="10"/>
        <rFont val="Arial"/>
        <family val="2"/>
        <charset val="1"/>
      </rPr>
      <t xml:space="preserve">x</t>
    </r>
    <r>
      <rPr>
        <sz val="10"/>
        <rFont val="Arial"/>
        <family val="2"/>
        <charset val="1"/>
      </rPr>
      <t xml:space="preserve">)]</t>
    </r>
  </si>
  <si>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qmed</t>
    </r>
    <r>
      <rPr>
        <sz val="10"/>
        <rFont val="Arial"/>
        <family val="2"/>
        <charset val="1"/>
      </rPr>
      <t xml:space="preserve">(m)</t>
    </r>
  </si>
  <si>
    <t xml:space="preserve">CVqh</t>
  </si>
  <si>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(m)</t>
    </r>
  </si>
  <si>
    <r>
      <rPr>
        <sz val="10"/>
        <rFont val="Arial"/>
        <family val="0"/>
        <charset val="1"/>
      </rPr>
      <t xml:space="preserve">q</t>
    </r>
    <r>
      <rPr>
        <vertAlign val="subscript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(L/h)</t>
    </r>
  </si>
  <si>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2"/>
        <charset val="1"/>
      </rPr>
      <t xml:space="preserve">med</t>
    </r>
    <r>
      <rPr>
        <sz val="10"/>
        <rFont val="Arial"/>
        <family val="2"/>
        <charset val="1"/>
      </rPr>
      <t xml:space="preserve">(m)</t>
    </r>
  </si>
  <si>
    <t xml:space="preserve">m</t>
  </si>
  <si>
    <t xml:space="preserve">A1) Cálculo longitud máxima ramal</t>
  </si>
  <si>
    <t xml:space="preserve">A2) Cálculo diámetro mínimo ramal</t>
  </si>
  <si>
    <t xml:space="preserve">A3) Cálculo de diferencia de presiones entre los extremos</t>
  </si>
  <si>
    <t xml:space="preserve">L(m)</t>
  </si>
  <si>
    <r>
      <rPr>
        <sz val="10"/>
        <rFont val="Arial"/>
        <family val="0"/>
        <charset val="1"/>
      </rPr>
      <t xml:space="preserve">I</t>
    </r>
    <r>
      <rPr>
        <vertAlign val="subscript"/>
        <sz val="10"/>
        <rFont val="Arial"/>
        <family val="2"/>
        <charset val="1"/>
      </rPr>
      <t xml:space="preserve">0</t>
    </r>
  </si>
  <si>
    <t xml:space="preserve">s</t>
  </si>
  <si>
    <t xml:space="preserve">le</t>
  </si>
  <si>
    <r>
      <rPr>
        <sz val="10"/>
        <rFont val="Arial"/>
        <family val="0"/>
        <charset val="1"/>
      </rPr>
      <t xml:space="preserve">hfr-I</t>
    </r>
    <r>
      <rPr>
        <vertAlign val="subscript"/>
        <sz val="10"/>
        <rFont val="Arial"/>
        <family val="2"/>
        <charset val="1"/>
      </rPr>
      <t xml:space="preserve">0r</t>
    </r>
    <r>
      <rPr>
        <sz val="10"/>
        <rFont val="Arial"/>
        <family val="2"/>
        <charset val="1"/>
      </rPr>
      <t xml:space="preserve">·Lr</t>
    </r>
  </si>
  <si>
    <t xml:space="preserve">Qr(L/h)</t>
  </si>
  <si>
    <r>
      <rPr>
        <sz val="10"/>
        <rFont val="Arial"/>
        <family val="0"/>
        <charset val="1"/>
      </rPr>
      <t xml:space="preserve">hfp-I</t>
    </r>
    <r>
      <rPr>
        <vertAlign val="subscript"/>
        <sz val="10"/>
        <rFont val="Arial"/>
        <family val="2"/>
        <charset val="1"/>
      </rPr>
      <t xml:space="preserve">0p</t>
    </r>
    <r>
      <rPr>
        <sz val="10"/>
        <rFont val="Arial"/>
        <family val="2"/>
        <charset val="1"/>
      </rPr>
      <t xml:space="preserve">·Lp</t>
    </r>
  </si>
  <si>
    <t xml:space="preserve">B1) Cálculo longitud máxima portaramal</t>
  </si>
  <si>
    <t xml:space="preserve">B2) Cálculo diámetro mínimo portaramal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</si>
</sst>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E+00"/>
    <numFmt numFmtId="169" formatCode="0.000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4F81BD"/>
      <name val="Arial"/>
      <family val="2"/>
      <charset val="1"/>
    </font>
    <font>
      <vertAlign val="sub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color rgb="FF000000"/>
      <name val="Tahoma"/>
      <family val="2"/>
      <charset val="1"/>
    </font>
    <font>
      <strike val="true"/>
      <sz val="10"/>
      <name val="Arial"/>
      <family val="2"/>
      <charset val="1"/>
    </font>
    <font>
      <sz val="10"/>
      <name val="Symbol"/>
      <family val="1"/>
      <charset val="2"/>
    </font>
    <font>
      <i val="true"/>
      <sz val="10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17</xdr:row>
      <xdr:rowOff>34920</xdr:rowOff>
    </xdr:from>
    <xdr:to>
      <xdr:col>9</xdr:col>
      <xdr:colOff>649440</xdr:colOff>
      <xdr:row>33</xdr:row>
      <xdr:rowOff>141840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6048720" y="2825640"/>
          <a:ext cx="2154600" cy="290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18.58"/>
    <col collapsed="false" customWidth="true" hidden="false" outlineLevel="0" max="3" min="2" style="0" width="10.66"/>
    <col collapsed="false" customWidth="true" hidden="false" outlineLevel="0" max="4" min="4" style="0" width="13.43"/>
    <col collapsed="false" customWidth="true" hidden="false" outlineLevel="0" max="5" min="5" style="0" width="15.87"/>
    <col collapsed="false" customWidth="true" hidden="false" outlineLevel="0" max="6" min="6" style="0" width="5.86"/>
    <col collapsed="false" customWidth="true" hidden="false" outlineLevel="0" max="1025" min="7" style="0" width="10.66"/>
  </cols>
  <sheetData>
    <row r="1" customFormat="false" ht="12.75" hidden="false" customHeight="false" outlineLevel="0" collapsed="false">
      <c r="A1" s="1" t="s">
        <v>0</v>
      </c>
      <c r="B1" s="2" t="n">
        <v>6.5</v>
      </c>
    </row>
    <row r="2" customFormat="false" ht="12.75" hidden="false" customHeight="false" outlineLevel="0" collapsed="false">
      <c r="A2" s="1" t="s">
        <v>1</v>
      </c>
      <c r="B2" s="2" t="n">
        <v>0.8</v>
      </c>
    </row>
    <row r="3" customFormat="false" ht="12.75" hidden="false" customHeight="false" outlineLevel="0" collapsed="false">
      <c r="A3" s="1" t="s">
        <v>2</v>
      </c>
      <c r="B3" s="2" t="n">
        <v>0.02</v>
      </c>
    </row>
    <row r="4" customFormat="false" ht="12.75" hidden="false" customHeight="false" outlineLevel="0" collapsed="false">
      <c r="A4" s="1" t="s">
        <v>3</v>
      </c>
      <c r="B4" s="2" t="n">
        <v>0.05</v>
      </c>
    </row>
    <row r="5" customFormat="false" ht="12.75" hidden="false" customHeight="false" outlineLevel="0" collapsed="false">
      <c r="A5" s="1" t="s">
        <v>4</v>
      </c>
      <c r="B5" s="3" t="n">
        <f aca="false">B1/B2*(1-B3)/(1-B4)</f>
        <v>8.38157894736842</v>
      </c>
    </row>
    <row r="6" customFormat="false" ht="12.75" hidden="false" customHeight="false" outlineLevel="0" collapsed="false">
      <c r="A6" s="1" t="s">
        <v>5</v>
      </c>
      <c r="B6" s="3" t="n">
        <f aca="false">B5*10000/24/3600</f>
        <v>0.970090155945419</v>
      </c>
    </row>
    <row r="8" customFormat="false" ht="12.75" hidden="false" customHeight="false" outlineLevel="0" collapsed="false">
      <c r="A8" s="1" t="s">
        <v>6</v>
      </c>
      <c r="B8" s="2" t="n">
        <v>6</v>
      </c>
      <c r="C8" s="2" t="n">
        <v>8</v>
      </c>
      <c r="D8" s="2" t="n">
        <v>10</v>
      </c>
      <c r="E8" s="2" t="n">
        <v>12</v>
      </c>
      <c r="F8" s="2" t="n">
        <v>14</v>
      </c>
      <c r="G8" s="4" t="n">
        <v>16</v>
      </c>
      <c r="H8" s="4" t="n">
        <v>18</v>
      </c>
    </row>
    <row r="9" customFormat="false" ht="15.75" hidden="false" customHeight="false" outlineLevel="0" collapsed="false">
      <c r="A9" s="1" t="s">
        <v>7</v>
      </c>
      <c r="B9" s="3" t="n">
        <f aca="false">$B6*24/B8</f>
        <v>3.88036062378168</v>
      </c>
      <c r="C9" s="3" t="n">
        <f aca="false">$B6*24/C8</f>
        <v>2.91027046783626</v>
      </c>
      <c r="D9" s="3" t="n">
        <f aca="false">$B6*24/D8</f>
        <v>2.32821637426901</v>
      </c>
      <c r="E9" s="3" t="n">
        <f aca="false">$B6*24/E8</f>
        <v>1.94018031189084</v>
      </c>
      <c r="F9" s="3" t="n">
        <f aca="false">$B6*24/F8</f>
        <v>1.66301169590643</v>
      </c>
      <c r="G9" s="5" t="n">
        <f aca="false">$B6*24/G8</f>
        <v>1.45513523391813</v>
      </c>
      <c r="H9" s="5" t="n">
        <f aca="false">$B6*24/H8</f>
        <v>1.29345354126056</v>
      </c>
    </row>
    <row r="10" customFormat="false" ht="12.75" hidden="false" customHeight="false" outlineLevel="0" collapsed="false">
      <c r="A10" s="1"/>
      <c r="B10" s="3"/>
      <c r="C10" s="3"/>
      <c r="D10" s="3"/>
      <c r="E10" s="3"/>
      <c r="F10" s="3"/>
      <c r="G10" s="5"/>
      <c r="H10" s="3"/>
    </row>
    <row r="11" customFormat="false" ht="12.75" hidden="false" customHeight="false" outlineLevel="0" collapsed="false">
      <c r="A11" s="1" t="s">
        <v>8</v>
      </c>
      <c r="G11" s="6"/>
    </row>
    <row r="12" customFormat="false" ht="12.75" hidden="false" customHeight="false" outlineLevel="0" collapsed="false">
      <c r="A12" s="1" t="s">
        <v>9</v>
      </c>
      <c r="B12" s="2" t="n">
        <v>26</v>
      </c>
      <c r="G12" s="6"/>
    </row>
    <row r="13" customFormat="false" ht="12.75" hidden="false" customHeight="false" outlineLevel="0" collapsed="false">
      <c r="A13" s="1" t="s">
        <v>10</v>
      </c>
      <c r="B13" s="7" t="n">
        <f aca="false">B9*$B12</f>
        <v>100.889376218324</v>
      </c>
      <c r="C13" s="7" t="n">
        <f aca="false">C9*$B12</f>
        <v>75.6670321637427</v>
      </c>
      <c r="D13" s="7" t="n">
        <f aca="false">D9*$B12</f>
        <v>60.5336257309942</v>
      </c>
      <c r="E13" s="7" t="n">
        <f aca="false">E9*$B12</f>
        <v>50.4446881091618</v>
      </c>
      <c r="F13" s="7" t="n">
        <f aca="false">F9*$B12</f>
        <v>43.2383040935673</v>
      </c>
      <c r="G13" s="8" t="n">
        <f aca="false">G9*$B12</f>
        <v>37.8335160818713</v>
      </c>
      <c r="H13" s="7" t="n">
        <f aca="false">H9*$B12</f>
        <v>33.6297920727745</v>
      </c>
    </row>
    <row r="14" customFormat="false" ht="12.75" hidden="false" customHeight="false" outlineLevel="0" collapsed="false">
      <c r="A14" s="1"/>
      <c r="B14" s="7"/>
      <c r="C14" s="7"/>
      <c r="D14" s="7"/>
      <c r="E14" s="7"/>
      <c r="F14" s="7"/>
      <c r="G14" s="7"/>
      <c r="H14" s="7"/>
    </row>
    <row r="15" customFormat="false" ht="12.75" hidden="false" customHeight="false" outlineLevel="0" collapsed="false">
      <c r="A15" s="1" t="s">
        <v>11</v>
      </c>
      <c r="B15" s="7"/>
      <c r="C15" s="7"/>
      <c r="D15" s="7"/>
      <c r="E15" s="7"/>
      <c r="F15" s="7"/>
      <c r="G15" s="7"/>
      <c r="H15" s="8"/>
    </row>
    <row r="16" customFormat="false" ht="12.75" hidden="false" customHeight="false" outlineLevel="0" collapsed="false">
      <c r="A16" s="1" t="s">
        <v>9</v>
      </c>
      <c r="B16" s="9" t="n">
        <f aca="false">PI()*325^2/10000</f>
        <v>33.1830724035422</v>
      </c>
      <c r="H16" s="6"/>
    </row>
    <row r="17" customFormat="false" ht="12.75" hidden="false" customHeight="false" outlineLevel="0" collapsed="false">
      <c r="A17" s="1" t="s">
        <v>10</v>
      </c>
      <c r="B17" s="7" t="n">
        <f aca="false">B9*$B16</f>
        <v>128.762287530802</v>
      </c>
      <c r="C17" s="7" t="n">
        <f aca="false">C9*$B16</f>
        <v>96.5717156481012</v>
      </c>
      <c r="D17" s="7" t="n">
        <f aca="false">D9*$B16</f>
        <v>77.2573725184809</v>
      </c>
      <c r="E17" s="7" t="n">
        <f aca="false">E9*$B16</f>
        <v>64.3811437654008</v>
      </c>
      <c r="F17" s="7" t="n">
        <f aca="false">F9*$B16</f>
        <v>55.1838375132007</v>
      </c>
      <c r="G17" s="7" t="n">
        <f aca="false">G9*$B16</f>
        <v>48.2858578240506</v>
      </c>
      <c r="H17" s="8" t="n">
        <f aca="false">H9*$B16</f>
        <v>42.9207625102672</v>
      </c>
    </row>
    <row r="19" s="11" customFormat="true" ht="12.75" hidden="false" customHeight="false" outlineLevel="0" collapsed="false">
      <c r="A19" s="10" t="s">
        <v>12</v>
      </c>
      <c r="E19" s="10"/>
      <c r="F19" s="10"/>
    </row>
    <row r="20" s="11" customFormat="true" ht="12.75" hidden="false" customHeight="false" outlineLevel="0" collapsed="false">
      <c r="A20" s="10" t="s">
        <v>13</v>
      </c>
      <c r="B20" s="10" t="s">
        <v>14</v>
      </c>
      <c r="C20" s="11" t="s">
        <v>15</v>
      </c>
      <c r="D20" s="11" t="s">
        <v>16</v>
      </c>
      <c r="E20" s="12" t="s">
        <v>17</v>
      </c>
      <c r="F20" s="13" t="s">
        <v>18</v>
      </c>
      <c r="G20" s="11" t="s">
        <v>19</v>
      </c>
    </row>
    <row r="21" s="11" customFormat="true" ht="29.25" hidden="false" customHeight="true" outlineLevel="0" collapsed="false">
      <c r="A21" s="14" t="s">
        <v>20</v>
      </c>
      <c r="B21" s="11" t="n">
        <v>25</v>
      </c>
      <c r="C21" s="11" t="n">
        <v>40</v>
      </c>
      <c r="D21" s="11" t="n">
        <v>100</v>
      </c>
      <c r="E21" s="12" t="n">
        <v>160</v>
      </c>
      <c r="F21" s="13" t="n">
        <v>250</v>
      </c>
      <c r="G21" s="11" t="n">
        <v>400</v>
      </c>
    </row>
    <row r="22" s="11" customFormat="true" ht="12.75" hidden="false" customHeight="false" outlineLevel="0" collapsed="false">
      <c r="A22" s="10" t="s">
        <v>21</v>
      </c>
      <c r="B22" s="15" t="n">
        <f aca="false">B21*1000/3600</f>
        <v>6.94444444444444</v>
      </c>
      <c r="C22" s="15" t="n">
        <f aca="false">C21*1000/3600</f>
        <v>11.1111111111111</v>
      </c>
      <c r="D22" s="15" t="n">
        <f aca="false">D21*1000/3600</f>
        <v>27.7777777777778</v>
      </c>
      <c r="E22" s="16" t="n">
        <f aca="false">E21*1000/3600</f>
        <v>44.4444444444444</v>
      </c>
      <c r="F22" s="15" t="n">
        <f aca="false">F21*1000/3600</f>
        <v>69.4444444444444</v>
      </c>
      <c r="G22" s="15" t="n">
        <f aca="false">G21*1000/3600</f>
        <v>111.111111111111</v>
      </c>
    </row>
    <row r="23" s="11" customFormat="true" ht="12.75" hidden="false" customHeight="false" outlineLevel="0" collapsed="false">
      <c r="A23" s="17" t="s">
        <v>22</v>
      </c>
      <c r="D23" s="10" t="s">
        <v>23</v>
      </c>
      <c r="E23" s="12" t="n">
        <f aca="false">24/(E22/B12)</f>
        <v>14.04</v>
      </c>
      <c r="F23" s="18"/>
    </row>
    <row r="24" s="11" customFormat="true" ht="12.75" hidden="false" customHeight="false" outlineLevel="0" collapsed="false">
      <c r="A24" s="17"/>
      <c r="D24" s="10" t="s">
        <v>24</v>
      </c>
      <c r="E24" s="19" t="n">
        <f aca="false">24/(E22/B16)</f>
        <v>17.9188590979128</v>
      </c>
    </row>
    <row r="25" s="11" customFormat="true" ht="12.75" hidden="false" customHeight="false" outlineLevel="0" collapsed="false"/>
    <row r="26" s="11" customFormat="true" ht="12.75" hidden="false" customHeight="false" outlineLevel="0" collapsed="false"/>
  </sheetData>
  <mergeCells count="1">
    <mergeCell ref="A23:A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1" width="15.29"/>
    <col collapsed="false" customWidth="true" hidden="false" outlineLevel="0" max="2" min="2" style="11" width="14.28"/>
    <col collapsed="false" customWidth="true" hidden="false" outlineLevel="0" max="3" min="3" style="11" width="7.57"/>
    <col collapsed="false" customWidth="true" hidden="false" outlineLevel="0" max="4" min="4" style="11" width="8.41"/>
    <col collapsed="false" customWidth="true" hidden="false" outlineLevel="0" max="5" min="5" style="11" width="8.57"/>
    <col collapsed="false" customWidth="true" hidden="false" outlineLevel="0" max="6" min="6" style="11" width="8.41"/>
    <col collapsed="false" customWidth="true" hidden="false" outlineLevel="0" max="7" min="7" style="11" width="8.57"/>
    <col collapsed="false" customWidth="true" hidden="false" outlineLevel="0" max="8" min="8" style="11" width="8.41"/>
    <col collapsed="false" customWidth="true" hidden="false" outlineLevel="0" max="9" min="9" style="11" width="7.57"/>
    <col collapsed="false" customWidth="true" hidden="false" outlineLevel="0" max="10" min="10" style="11" width="8.41"/>
    <col collapsed="false" customWidth="true" hidden="false" outlineLevel="0" max="11" min="11" style="11" width="7.57"/>
    <col collapsed="false" customWidth="true" hidden="false" outlineLevel="0" max="12" min="12" style="11" width="8.41"/>
    <col collapsed="false" customWidth="true" hidden="false" outlineLevel="0" max="13" min="13" style="11" width="7.57"/>
    <col collapsed="false" customWidth="true" hidden="false" outlineLevel="0" max="14" min="14" style="11" width="8.41"/>
    <col collapsed="false" customWidth="true" hidden="false" outlineLevel="0" max="15" min="15" style="11" width="6.57"/>
    <col collapsed="false" customWidth="true" hidden="false" outlineLevel="0" max="16" min="16" style="11" width="5.57"/>
    <col collapsed="false" customWidth="true" hidden="false" outlineLevel="0" max="1025" min="17" style="11" width="11.42"/>
  </cols>
  <sheetData>
    <row r="1" customFormat="false" ht="12.75" hidden="false" customHeight="false" outlineLevel="0" collapsed="false">
      <c r="A1" s="11" t="str">
        <f aca="false">'Caudal boca'!A1</f>
        <v>Etc punta (mm/d)</v>
      </c>
      <c r="B1" s="20" t="n">
        <f aca="false">'Caudal boca'!B1</f>
        <v>6.5</v>
      </c>
    </row>
    <row r="2" customFormat="false" ht="12.75" hidden="false" customHeight="false" outlineLevel="0" collapsed="false">
      <c r="A2" s="11" t="str">
        <f aca="false">'Caudal boca'!A2</f>
        <v>Ra</v>
      </c>
      <c r="B2" s="20" t="n">
        <f aca="false">'Caudal boca'!B2</f>
        <v>0.8</v>
      </c>
    </row>
    <row r="3" customFormat="false" ht="12.75" hidden="false" customHeight="false" outlineLevel="0" collapsed="false">
      <c r="A3" s="10" t="s">
        <v>2</v>
      </c>
      <c r="B3" s="20" t="n">
        <f aca="false">'Caudal boca'!B3</f>
        <v>0.02</v>
      </c>
    </row>
    <row r="4" customFormat="false" ht="12.75" hidden="false" customHeight="false" outlineLevel="0" collapsed="false">
      <c r="A4" s="10" t="s">
        <v>3</v>
      </c>
      <c r="B4" s="20" t="n">
        <f aca="false">'Caudal boca'!B4</f>
        <v>0.05</v>
      </c>
    </row>
    <row r="5" customFormat="false" ht="12.75" hidden="false" customHeight="false" outlineLevel="0" collapsed="false">
      <c r="A5" s="11" t="str">
        <f aca="false">'Caudal boca'!A5</f>
        <v>Hb(mm/d)</v>
      </c>
      <c r="B5" s="18" t="n">
        <f aca="false">'Caudal boca'!B5</f>
        <v>8.38157894736842</v>
      </c>
    </row>
    <row r="6" customFormat="false" ht="12.75" hidden="false" customHeight="false" outlineLevel="0" collapsed="false">
      <c r="A6" s="11" t="str">
        <f aca="false">'Caudal boca'!A6</f>
        <v>Hb(L/(s·ha))</v>
      </c>
      <c r="B6" s="18" t="n">
        <f aca="false">'Caudal boca'!B6</f>
        <v>0.970090155945419</v>
      </c>
    </row>
    <row r="7" customFormat="false" ht="12.75" hidden="false" customHeight="false" outlineLevel="0" collapsed="false">
      <c r="B7" s="18"/>
    </row>
    <row r="8" customFormat="false" ht="12.75" hidden="false" customHeight="false" outlineLevel="0" collapsed="false">
      <c r="A8" s="10" t="s">
        <v>9</v>
      </c>
      <c r="B8" s="20" t="n">
        <f aca="false">'Caudal boca'!B12</f>
        <v>26</v>
      </c>
    </row>
    <row r="9" customFormat="false" ht="12.75" hidden="false" customHeight="false" outlineLevel="0" collapsed="false">
      <c r="A9" s="10" t="s">
        <v>25</v>
      </c>
      <c r="B9" s="21" t="n">
        <f aca="false">'Caudal boca'!E22</f>
        <v>44.4444444444444</v>
      </c>
    </row>
    <row r="11" customFormat="false" ht="12.75" hidden="false" customHeight="false" outlineLevel="0" collapsed="false">
      <c r="A11" s="22" t="s">
        <v>26</v>
      </c>
    </row>
    <row r="12" customFormat="false" ht="12.75" hidden="false" customHeight="false" outlineLevel="0" collapsed="false">
      <c r="A12" s="10"/>
      <c r="B12" s="23"/>
      <c r="C12" s="24"/>
      <c r="F12" s="23"/>
      <c r="G12" s="24"/>
      <c r="J12" s="23"/>
      <c r="K12" s="24"/>
      <c r="N12" s="23"/>
      <c r="O12" s="24"/>
    </row>
    <row r="13" customFormat="false" ht="12.75" hidden="false" customHeight="false" outlineLevel="0" collapsed="false">
      <c r="A13" s="25"/>
      <c r="B13" s="26" t="s">
        <v>27</v>
      </c>
      <c r="C13" s="27" t="s">
        <v>28</v>
      </c>
      <c r="D13" s="28" t="s">
        <v>27</v>
      </c>
      <c r="E13" s="28" t="s">
        <v>28</v>
      </c>
      <c r="F13" s="26" t="s">
        <v>27</v>
      </c>
      <c r="G13" s="27" t="s">
        <v>28</v>
      </c>
      <c r="H13" s="28" t="s">
        <v>27</v>
      </c>
      <c r="I13" s="28" t="s">
        <v>28</v>
      </c>
      <c r="J13" s="26" t="s">
        <v>27</v>
      </c>
      <c r="K13" s="27" t="s">
        <v>28</v>
      </c>
      <c r="L13" s="28" t="s">
        <v>27</v>
      </c>
      <c r="M13" s="28" t="s">
        <v>28</v>
      </c>
      <c r="N13" s="26" t="s">
        <v>27</v>
      </c>
      <c r="O13" s="27" t="s">
        <v>28</v>
      </c>
    </row>
    <row r="14" customFormat="false" ht="12.75" hidden="false" customHeight="false" outlineLevel="0" collapsed="false">
      <c r="B14" s="29" t="n">
        <f aca="false" t="array" ref="B14:C18">LINEST(LOG(B23:B28),LOG($A$23:$A$28),1,1)</f>
        <v>0.526159013307715</v>
      </c>
      <c r="C14" s="30" t="n">
        <v>1.0056106006556</v>
      </c>
      <c r="D14" s="18" t="n">
        <f aca="false" t="array" ref="D14:E18">LINEST(LOG(D23:D28),LOG($A$23:$A$28),1,1)</f>
        <v>0.509379526397834</v>
      </c>
      <c r="E14" s="18" t="n">
        <v>1.08559372551326</v>
      </c>
      <c r="F14" s="29" t="n">
        <f aca="false" t="array" ref="F14:G18">LINEST(LOG(F23:F28),LOG($A$23:$A$28),1,1)</f>
        <v>0.500452605640475</v>
      </c>
      <c r="G14" s="30" t="n">
        <v>1.18522700091364</v>
      </c>
      <c r="H14" s="18" t="n">
        <f aca="false" t="array" ref="H14:I18">LINEST(LOG(H23:H28),LOG($A$23:$A$28),1,1)</f>
        <v>0.501459923552158</v>
      </c>
      <c r="I14" s="18" t="n">
        <v>1.2548508170101</v>
      </c>
      <c r="J14" s="29" t="n">
        <f aca="false" t="array" ref="J14:K18">LINEST(LOG(J23:J28),LOG($A$23:$A$28),1,1)</f>
        <v>0.491962685847537</v>
      </c>
      <c r="K14" s="30" t="n">
        <v>1.33602688017877</v>
      </c>
      <c r="L14" s="18" t="n">
        <f aca="false" t="array" ref="L14:M18">LINEST(LOG(L23:L28),LOG($A$23:$A$28),1,1)</f>
        <v>0.50115957641839</v>
      </c>
      <c r="M14" s="18" t="n">
        <v>1.42847212692726</v>
      </c>
      <c r="N14" s="31" t="n">
        <f aca="false" t="array" ref="N14:O18">LINEST(LOG(N23:N28),LOG($A$23:$A$28),1,1)</f>
        <v>0.611650135293897</v>
      </c>
      <c r="O14" s="30" t="n">
        <v>1.45810866320245</v>
      </c>
    </row>
    <row r="15" customFormat="false" ht="12.75" hidden="false" customHeight="false" outlineLevel="0" collapsed="false">
      <c r="B15" s="29" t="n">
        <v>0.00970068500014275</v>
      </c>
      <c r="C15" s="30" t="n">
        <v>0.00494923976445921</v>
      </c>
      <c r="D15" s="18" t="n">
        <v>0.0038287340350047</v>
      </c>
      <c r="E15" s="18" t="n">
        <v>0.00195340047979136</v>
      </c>
      <c r="F15" s="29" t="n">
        <v>0.00228350035646781</v>
      </c>
      <c r="G15" s="30" t="n">
        <v>0.00116503017737624</v>
      </c>
      <c r="H15" s="18" t="n">
        <v>0.00555317073972336</v>
      </c>
      <c r="I15" s="18" t="n">
        <v>0.00283319924762693</v>
      </c>
      <c r="J15" s="29" t="n">
        <v>0.00870673158025061</v>
      </c>
      <c r="K15" s="30" t="n">
        <v>0.00444212982431808</v>
      </c>
      <c r="L15" s="18" t="n">
        <v>0.00534406698706962</v>
      </c>
      <c r="M15" s="18" t="n">
        <v>0.00272651558482205</v>
      </c>
      <c r="N15" s="29" t="n">
        <v>0.0515746447362923</v>
      </c>
      <c r="O15" s="30" t="n">
        <v>0.0263131193892966</v>
      </c>
    </row>
    <row r="16" customFormat="false" ht="12.75" hidden="false" customHeight="false" outlineLevel="0" collapsed="false">
      <c r="B16" s="29" t="n">
        <v>0.998642184772113</v>
      </c>
      <c r="C16" s="30" t="n">
        <v>0.00284910374952991</v>
      </c>
      <c r="D16" s="18" t="n">
        <v>0.999774061998032</v>
      </c>
      <c r="E16" s="18" t="n">
        <v>0.001124504145318</v>
      </c>
      <c r="F16" s="29" t="n">
        <v>0.99991672779147</v>
      </c>
      <c r="G16" s="30" t="n">
        <v>0.000670667012439801</v>
      </c>
      <c r="H16" s="18" t="n">
        <v>0.999509705975629</v>
      </c>
      <c r="I16" s="18" t="n">
        <v>0.00163097343910175</v>
      </c>
      <c r="J16" s="29" t="n">
        <v>0.998748697819638</v>
      </c>
      <c r="K16" s="30" t="n">
        <v>0.00255717834267141</v>
      </c>
      <c r="L16" s="18" t="n">
        <v>0.999545374046912</v>
      </c>
      <c r="M16" s="18" t="n">
        <v>0.00156955939610192</v>
      </c>
      <c r="N16" s="29" t="n">
        <v>0.972346668505943</v>
      </c>
      <c r="O16" s="30" t="n">
        <v>0.0151475399620419</v>
      </c>
    </row>
    <row r="17" customFormat="false" ht="12.75" hidden="false" customHeight="false" outlineLevel="0" collapsed="false">
      <c r="B17" s="29" t="n">
        <v>2941.90892622662</v>
      </c>
      <c r="C17" s="30" t="n">
        <v>4</v>
      </c>
      <c r="D17" s="18" t="n">
        <v>17699.9717318942</v>
      </c>
      <c r="E17" s="18" t="n">
        <v>4</v>
      </c>
      <c r="F17" s="29" t="n">
        <v>48031.2337305873</v>
      </c>
      <c r="G17" s="30" t="n">
        <v>4</v>
      </c>
      <c r="H17" s="18" t="n">
        <v>8154.3698784311</v>
      </c>
      <c r="I17" s="18" t="n">
        <v>4</v>
      </c>
      <c r="J17" s="29" t="n">
        <v>3192.66988739822</v>
      </c>
      <c r="K17" s="30" t="n">
        <v>4</v>
      </c>
      <c r="L17" s="18" t="n">
        <v>8794.44182417269</v>
      </c>
      <c r="M17" s="18" t="n">
        <v>4</v>
      </c>
      <c r="N17" s="29" t="n">
        <v>140.648032764505</v>
      </c>
      <c r="O17" s="30" t="n">
        <v>4</v>
      </c>
    </row>
    <row r="18" customFormat="false" ht="12.75" hidden="false" customHeight="false" outlineLevel="0" collapsed="false">
      <c r="B18" s="29" t="n">
        <v>0.0238806284990367</v>
      </c>
      <c r="C18" s="30" t="n">
        <v>3.24695687023415E-005</v>
      </c>
      <c r="D18" s="18" t="n">
        <v>0.022381783693931</v>
      </c>
      <c r="E18" s="18" t="n">
        <v>5.05803829134947E-006</v>
      </c>
      <c r="F18" s="29" t="n">
        <v>0.0216041723477576</v>
      </c>
      <c r="G18" s="30" t="n">
        <v>1.79917696629971E-006</v>
      </c>
      <c r="H18" s="18" t="n">
        <v>0.0216912302278682</v>
      </c>
      <c r="I18" s="18" t="n">
        <v>1.06402974362216E-005</v>
      </c>
      <c r="J18" s="29" t="n">
        <v>0.0208773826569188</v>
      </c>
      <c r="K18" s="30" t="n">
        <v>2.61566443049108E-005</v>
      </c>
      <c r="L18" s="18" t="n">
        <v>0.0216652542824877</v>
      </c>
      <c r="M18" s="18" t="n">
        <v>9.85406679156733E-006</v>
      </c>
      <c r="N18" s="29" t="n">
        <v>0.0322714051665333</v>
      </c>
      <c r="O18" s="30" t="n">
        <v>0.000917791867606631</v>
      </c>
    </row>
    <row r="19" customFormat="false" ht="12.75" hidden="false" customHeight="false" outlineLevel="0" collapsed="false">
      <c r="A19" s="32"/>
      <c r="B19" s="33" t="s">
        <v>29</v>
      </c>
      <c r="C19" s="34" t="n">
        <f aca="false">10^C14</f>
        <v>10.1300269475153</v>
      </c>
      <c r="D19" s="35" t="s">
        <v>29</v>
      </c>
      <c r="E19" s="36" t="n">
        <f aca="false">10^E14</f>
        <v>12.1784978983105</v>
      </c>
      <c r="F19" s="33" t="s">
        <v>29</v>
      </c>
      <c r="G19" s="34" t="n">
        <f aca="false">10^G14</f>
        <v>15.3188795331937</v>
      </c>
      <c r="H19" s="35" t="s">
        <v>29</v>
      </c>
      <c r="I19" s="36" t="n">
        <f aca="false">10^I14</f>
        <v>17.9825309734349</v>
      </c>
      <c r="J19" s="33" t="s">
        <v>29</v>
      </c>
      <c r="K19" s="34" t="n">
        <f aca="false">10^K14</f>
        <v>21.6783827663062</v>
      </c>
      <c r="L19" s="35" t="s">
        <v>29</v>
      </c>
      <c r="M19" s="36" t="n">
        <f aca="false">10^M14</f>
        <v>26.8208246570522</v>
      </c>
      <c r="N19" s="33" t="s">
        <v>29</v>
      </c>
      <c r="O19" s="34" t="n">
        <f aca="false">10^O14</f>
        <v>28.7149895919394</v>
      </c>
    </row>
    <row r="21" customFormat="false" ht="12.75" hidden="false" customHeight="false" outlineLevel="0" collapsed="false">
      <c r="A21" s="37" t="s">
        <v>30</v>
      </c>
      <c r="B21" s="38" t="s">
        <v>31</v>
      </c>
      <c r="C21" s="24"/>
      <c r="D21" s="37" t="s">
        <v>32</v>
      </c>
      <c r="E21" s="39"/>
      <c r="F21" s="38" t="s">
        <v>33</v>
      </c>
      <c r="G21" s="24"/>
      <c r="H21" s="37" t="s">
        <v>34</v>
      </c>
      <c r="I21" s="39"/>
      <c r="J21" s="38" t="s">
        <v>35</v>
      </c>
      <c r="K21" s="24"/>
      <c r="L21" s="37" t="s">
        <v>36</v>
      </c>
      <c r="M21" s="39"/>
      <c r="N21" s="38" t="s">
        <v>37</v>
      </c>
      <c r="O21" s="24"/>
    </row>
    <row r="22" customFormat="false" ht="12.75" hidden="false" customHeight="false" outlineLevel="0" collapsed="false">
      <c r="A22" s="25" t="s">
        <v>38</v>
      </c>
      <c r="B22" s="26" t="s">
        <v>39</v>
      </c>
      <c r="C22" s="27" t="s">
        <v>40</v>
      </c>
      <c r="D22" s="28" t="s">
        <v>39</v>
      </c>
      <c r="E22" s="28" t="s">
        <v>40</v>
      </c>
      <c r="F22" s="26" t="s">
        <v>39</v>
      </c>
      <c r="G22" s="27" t="s">
        <v>40</v>
      </c>
      <c r="H22" s="28" t="s">
        <v>39</v>
      </c>
      <c r="I22" s="28" t="s">
        <v>40</v>
      </c>
      <c r="J22" s="26" t="s">
        <v>39</v>
      </c>
      <c r="K22" s="27" t="s">
        <v>40</v>
      </c>
      <c r="L22" s="28" t="s">
        <v>39</v>
      </c>
      <c r="M22" s="28" t="s">
        <v>40</v>
      </c>
      <c r="N22" s="26" t="s">
        <v>39</v>
      </c>
      <c r="O22" s="27" t="s">
        <v>40</v>
      </c>
    </row>
    <row r="23" customFormat="false" ht="12.75" hidden="false" customHeight="false" outlineLevel="0" collapsed="false">
      <c r="A23" s="20" t="n">
        <v>2</v>
      </c>
      <c r="B23" s="40" t="n">
        <v>14.7</v>
      </c>
      <c r="C23" s="41" t="n">
        <v>24.2</v>
      </c>
      <c r="D23" s="20" t="n">
        <v>17.3</v>
      </c>
      <c r="E23" s="20" t="n">
        <v>25.7</v>
      </c>
      <c r="F23" s="40" t="n">
        <v>21.7</v>
      </c>
      <c r="G23" s="41" t="n">
        <v>26</v>
      </c>
      <c r="H23" s="20" t="n">
        <v>25.5</v>
      </c>
      <c r="I23" s="20" t="n">
        <v>27.4</v>
      </c>
      <c r="J23" s="40" t="n">
        <v>30.7</v>
      </c>
      <c r="K23" s="41" t="n">
        <v>28.4</v>
      </c>
      <c r="L23" s="20" t="n">
        <v>38</v>
      </c>
      <c r="M23" s="20" t="n">
        <v>29.4</v>
      </c>
      <c r="N23" s="40" t="n">
        <v>42</v>
      </c>
      <c r="O23" s="41" t="n">
        <v>29</v>
      </c>
    </row>
    <row r="24" customFormat="false" ht="12.75" hidden="false" customHeight="false" outlineLevel="0" collapsed="false">
      <c r="A24" s="20" t="n">
        <v>2.5</v>
      </c>
      <c r="B24" s="40" t="n">
        <v>16.3</v>
      </c>
      <c r="C24" s="41" t="n">
        <v>25.1</v>
      </c>
      <c r="D24" s="20" t="n">
        <v>19.5</v>
      </c>
      <c r="E24" s="20" t="n">
        <v>26.6</v>
      </c>
      <c r="F24" s="40" t="n">
        <v>24.2</v>
      </c>
      <c r="G24" s="41" t="n">
        <v>27.5</v>
      </c>
      <c r="H24" s="20" t="n">
        <v>28.5</v>
      </c>
      <c r="I24" s="20" t="n">
        <v>28.5</v>
      </c>
      <c r="J24" s="40" t="n">
        <v>33.8</v>
      </c>
      <c r="K24" s="41" t="n">
        <v>30.3</v>
      </c>
      <c r="L24" s="20" t="n">
        <v>42.3</v>
      </c>
      <c r="M24" s="20" t="n">
        <v>31.5</v>
      </c>
      <c r="N24" s="40" t="n">
        <v>52.5</v>
      </c>
      <c r="O24" s="41" t="n">
        <v>31.8</v>
      </c>
    </row>
    <row r="25" customFormat="false" ht="12.75" hidden="false" customHeight="false" outlineLevel="0" collapsed="false">
      <c r="A25" s="20" t="n">
        <v>3</v>
      </c>
      <c r="B25" s="40" t="n">
        <v>18</v>
      </c>
      <c r="C25" s="41" t="n">
        <v>25.8</v>
      </c>
      <c r="D25" s="20" t="n">
        <v>21.3</v>
      </c>
      <c r="E25" s="20" t="n">
        <v>27.1</v>
      </c>
      <c r="F25" s="40" t="n">
        <v>26.5</v>
      </c>
      <c r="G25" s="41" t="n">
        <v>28.2</v>
      </c>
      <c r="H25" s="20" t="n">
        <v>31</v>
      </c>
      <c r="I25" s="20" t="n">
        <v>29.8</v>
      </c>
      <c r="J25" s="40" t="n">
        <v>37</v>
      </c>
      <c r="K25" s="41" t="n">
        <v>31.4</v>
      </c>
      <c r="L25" s="20" t="n">
        <v>46.5</v>
      </c>
      <c r="M25" s="20" t="n">
        <v>31.8</v>
      </c>
      <c r="N25" s="40" t="n">
        <v>57.5</v>
      </c>
      <c r="O25" s="41" t="n">
        <v>32.6</v>
      </c>
    </row>
    <row r="26" customFormat="false" ht="12.75" hidden="false" customHeight="false" outlineLevel="0" collapsed="false">
      <c r="A26" s="42" t="n">
        <v>3.5</v>
      </c>
      <c r="B26" s="43" t="n">
        <v>19.5</v>
      </c>
      <c r="C26" s="44" t="n">
        <v>25.8</v>
      </c>
      <c r="D26" s="42" t="n">
        <v>23</v>
      </c>
      <c r="E26" s="42" t="n">
        <v>27.6</v>
      </c>
      <c r="F26" s="43" t="n">
        <v>28.7</v>
      </c>
      <c r="G26" s="44" t="n">
        <v>28.4</v>
      </c>
      <c r="H26" s="42" t="n">
        <v>33.8</v>
      </c>
      <c r="I26" s="42" t="n">
        <v>29.9</v>
      </c>
      <c r="J26" s="43" t="n">
        <v>40.2</v>
      </c>
      <c r="K26" s="44" t="n">
        <v>31.6</v>
      </c>
      <c r="L26" s="42" t="n">
        <v>50.5</v>
      </c>
      <c r="M26" s="42" t="n">
        <v>31.4</v>
      </c>
      <c r="N26" s="43" t="n">
        <v>62.3</v>
      </c>
      <c r="O26" s="44" t="n">
        <v>32.4</v>
      </c>
    </row>
    <row r="27" customFormat="false" ht="12.75" hidden="false" customHeight="false" outlineLevel="0" collapsed="false">
      <c r="A27" s="20" t="n">
        <v>4</v>
      </c>
      <c r="B27" s="40" t="n">
        <v>21</v>
      </c>
      <c r="C27" s="41" t="n">
        <v>26.6</v>
      </c>
      <c r="D27" s="20" t="n">
        <v>24.7</v>
      </c>
      <c r="E27" s="20" t="n">
        <v>27.8</v>
      </c>
      <c r="F27" s="40" t="n">
        <v>30.7</v>
      </c>
      <c r="G27" s="41" t="n">
        <v>28.9</v>
      </c>
      <c r="H27" s="20" t="n">
        <v>36</v>
      </c>
      <c r="I27" s="20" t="n">
        <v>30</v>
      </c>
      <c r="J27" s="40" t="n">
        <v>43</v>
      </c>
      <c r="K27" s="41" t="n">
        <v>31.8</v>
      </c>
      <c r="L27" s="20" t="n">
        <v>53.8</v>
      </c>
      <c r="M27" s="20" t="n">
        <v>32.7</v>
      </c>
      <c r="N27" s="40" t="n">
        <v>66.5</v>
      </c>
      <c r="O27" s="41" t="n">
        <v>31.9</v>
      </c>
    </row>
    <row r="28" customFormat="false" ht="12.75" hidden="false" customHeight="false" outlineLevel="0" collapsed="false">
      <c r="A28" s="20" t="n">
        <v>4.5</v>
      </c>
      <c r="B28" s="40" t="n">
        <v>22.5</v>
      </c>
      <c r="C28" s="41" t="n">
        <v>27.6</v>
      </c>
      <c r="D28" s="20" t="n">
        <v>26.2</v>
      </c>
      <c r="E28" s="20" t="n">
        <v>27.7</v>
      </c>
      <c r="F28" s="40" t="n">
        <v>32.5</v>
      </c>
      <c r="G28" s="41" t="n">
        <v>28.8</v>
      </c>
      <c r="H28" s="20" t="n">
        <v>38.3</v>
      </c>
      <c r="I28" s="20" t="n">
        <v>29.8</v>
      </c>
      <c r="J28" s="40" t="n">
        <v>45.5</v>
      </c>
      <c r="K28" s="41" t="n">
        <v>32.1</v>
      </c>
      <c r="L28" s="20" t="n">
        <v>56.8</v>
      </c>
      <c r="M28" s="20" t="n">
        <v>31.6</v>
      </c>
      <c r="N28" s="40" t="n">
        <v>70.5</v>
      </c>
      <c r="O28" s="41" t="n">
        <v>31.3</v>
      </c>
    </row>
    <row r="29" customFormat="false" ht="12.75" hidden="false" customHeight="false" outlineLevel="0" collapsed="false">
      <c r="A29" s="22" t="s">
        <v>41</v>
      </c>
      <c r="B29" s="23"/>
      <c r="C29" s="24"/>
      <c r="F29" s="23"/>
      <c r="G29" s="24"/>
      <c r="J29" s="23"/>
      <c r="K29" s="24"/>
      <c r="N29" s="23"/>
      <c r="O29" s="24"/>
    </row>
    <row r="30" customFormat="false" ht="12.75" hidden="false" customHeight="false" outlineLevel="0" collapsed="false">
      <c r="A30" s="10"/>
      <c r="B30" s="39"/>
      <c r="C30" s="39"/>
      <c r="F30" s="39"/>
      <c r="G30" s="39"/>
      <c r="J30" s="39"/>
      <c r="K30" s="39"/>
      <c r="N30" s="39"/>
      <c r="O30" s="39"/>
    </row>
    <row r="31" customFormat="false" ht="14.25" hidden="false" customHeight="false" outlineLevel="0" collapsed="false">
      <c r="A31" s="10" t="s">
        <v>42</v>
      </c>
      <c r="B31" s="23" t="n">
        <f aca="false">B26/1000*60</f>
        <v>1.17</v>
      </c>
      <c r="C31" s="24"/>
      <c r="D31" s="39" t="n">
        <f aca="false">D26/1000*60</f>
        <v>1.38</v>
      </c>
      <c r="E31" s="39"/>
      <c r="F31" s="29" t="n">
        <f aca="false">F26/1000*60</f>
        <v>1.722</v>
      </c>
      <c r="G31" s="30"/>
      <c r="H31" s="45" t="n">
        <f aca="false">H26/1000*60</f>
        <v>2.028</v>
      </c>
      <c r="I31" s="45"/>
      <c r="J31" s="29" t="n">
        <f aca="false">J26/1000*60</f>
        <v>2.412</v>
      </c>
      <c r="K31" s="30"/>
      <c r="L31" s="45" t="n">
        <f aca="false">L26/1000*60</f>
        <v>3.03</v>
      </c>
      <c r="M31" s="45"/>
      <c r="N31" s="29" t="n">
        <f aca="false">N26/1000*60</f>
        <v>3.738</v>
      </c>
      <c r="O31" s="24"/>
    </row>
    <row r="32" customFormat="false" ht="12.75" hidden="false" customHeight="false" outlineLevel="0" collapsed="false">
      <c r="A32" s="10" t="s">
        <v>10</v>
      </c>
      <c r="B32" s="29" t="n">
        <f aca="false">B26/60</f>
        <v>0.325</v>
      </c>
      <c r="C32" s="24"/>
      <c r="D32" s="18" t="n">
        <f aca="false">D26/60</f>
        <v>0.383333333333333</v>
      </c>
      <c r="F32" s="29" t="n">
        <f aca="false">F26/60</f>
        <v>0.478333333333333</v>
      </c>
      <c r="G32" s="24"/>
      <c r="H32" s="18" t="n">
        <f aca="false">H26/60</f>
        <v>0.563333333333333</v>
      </c>
      <c r="J32" s="29" t="n">
        <f aca="false">J26/60</f>
        <v>0.67</v>
      </c>
      <c r="K32" s="24"/>
      <c r="L32" s="18" t="n">
        <f aca="false">L26/60</f>
        <v>0.841666666666667</v>
      </c>
      <c r="N32" s="29" t="n">
        <f aca="false">N26/60</f>
        <v>1.03833333333333</v>
      </c>
      <c r="O32" s="24"/>
    </row>
    <row r="33" customFormat="false" ht="12.75" hidden="false" customHeight="false" outlineLevel="0" collapsed="false">
      <c r="A33" s="10" t="s">
        <v>43</v>
      </c>
      <c r="B33" s="38" t="s">
        <v>44</v>
      </c>
      <c r="C33" s="46" t="s">
        <v>9</v>
      </c>
      <c r="D33" s="10" t="s">
        <v>44</v>
      </c>
      <c r="E33" s="10" t="s">
        <v>9</v>
      </c>
      <c r="F33" s="38" t="s">
        <v>44</v>
      </c>
      <c r="G33" s="46" t="s">
        <v>9</v>
      </c>
      <c r="H33" s="10" t="s">
        <v>44</v>
      </c>
      <c r="I33" s="10" t="s">
        <v>9</v>
      </c>
      <c r="J33" s="38" t="s">
        <v>44</v>
      </c>
      <c r="K33" s="46" t="s">
        <v>9</v>
      </c>
      <c r="L33" s="10" t="s">
        <v>44</v>
      </c>
      <c r="M33" s="10" t="s">
        <v>9</v>
      </c>
      <c r="N33" s="38" t="s">
        <v>44</v>
      </c>
      <c r="O33" s="46" t="s">
        <v>9</v>
      </c>
    </row>
    <row r="34" customFormat="false" ht="12.75" hidden="false" customHeight="false" outlineLevel="0" collapsed="false">
      <c r="A34" s="10" t="s">
        <v>45</v>
      </c>
      <c r="B34" s="29" t="n">
        <f aca="false">$B$5/1000*VALUE(MID($A34,1,2))*VALUE(MID($A34,4,2))/(B$26/1000*60)</f>
        <v>0.773684210526316</v>
      </c>
      <c r="C34" s="30" t="n">
        <f aca="false">$B$9/B$32*VALUE(MID($A34,1,2))*VALUE(MID($A34,4,2))/10000</f>
        <v>1.47692307692308</v>
      </c>
      <c r="D34" s="18" t="n">
        <f aca="false">$B$5/1000*VALUE(MID($A34,1,2))*VALUE(MID($A34,4,2))/(D$26/1000*60)</f>
        <v>0.655949656750572</v>
      </c>
      <c r="E34" s="18" t="n">
        <f aca="false">$B$9/D$32*VALUE(MID($A34,1,2))*VALUE(MID($A34,4,2))/10000</f>
        <v>1.25217391304348</v>
      </c>
      <c r="F34" s="29" t="n">
        <f aca="false">$B$5/1000*VALUE(MID($A34,1,2))*VALUE(MID($A34,4,2))/(F$26/1000*60)</f>
        <v>0.525673940949936</v>
      </c>
      <c r="G34" s="30" t="n">
        <f aca="false">$B$9/F$32*VALUE(MID($A34,1,2))*VALUE(MID($A34,4,2))/10000</f>
        <v>1.00348432055749</v>
      </c>
      <c r="H34" s="18" t="n">
        <f aca="false">$B$5/1000*VALUE(MID($A34,1,2))*VALUE(MID($A34,4,2))/(H$26/1000*60)</f>
        <v>0.446356275303644</v>
      </c>
      <c r="I34" s="18" t="n">
        <f aca="false">$B$9/H$32*VALUE(MID($A34,1,2))*VALUE(MID($A34,4,2))/10000</f>
        <v>0.85207100591716</v>
      </c>
      <c r="J34" s="29" t="n">
        <f aca="false">$B$5/1000*VALUE(MID($A34,1,2))*VALUE(MID($A34,4,2))/(J$26/1000*60)</f>
        <v>0.375294579732914</v>
      </c>
      <c r="K34" s="30" t="n">
        <f aca="false">$B$9/J$32*VALUE(MID($A34,1,2))*VALUE(MID($A34,4,2))/10000</f>
        <v>0.716417910447761</v>
      </c>
      <c r="L34" s="18" t="n">
        <f aca="false">$B$5/1000*VALUE(MID($A34,1,2))*VALUE(MID($A34,4,2))/(L$26/1000*60)</f>
        <v>0.298749348619072</v>
      </c>
      <c r="M34" s="18" t="n">
        <f aca="false">$B$9/L$32*VALUE(MID($A34,1,2))*VALUE(MID($A34,4,2))/10000</f>
        <v>0.57029702970297</v>
      </c>
      <c r="N34" s="29" t="n">
        <f aca="false">$B$5/1000*VALUE(MID($A34,1,2))*VALUE(MID($A34,4,2))/(N$26/1000*60)</f>
        <v>0.242164399763454</v>
      </c>
      <c r="O34" s="30" t="n">
        <f aca="false">$B$9/N$32*VALUE(MID($A34,1,2))*VALUE(MID($A34,4,2))/10000</f>
        <v>0.462279293739968</v>
      </c>
    </row>
    <row r="35" customFormat="false" ht="12.75" hidden="false" customHeight="false" outlineLevel="0" collapsed="false">
      <c r="A35" s="10" t="s">
        <v>46</v>
      </c>
      <c r="B35" s="29" t="n">
        <f aca="false">$B$5/1000*VALUE(MID($A35,1,2))*VALUE(MID($A35,4,2))/(B$26/1000*60)</f>
        <v>1.03157894736842</v>
      </c>
      <c r="C35" s="30" t="n">
        <f aca="false">$B$9/B$32*VALUE(MID($A35,1,2))*VALUE(MID($A35,4,2))/10000</f>
        <v>1.96923076923077</v>
      </c>
      <c r="D35" s="18" t="n">
        <f aca="false">$B$5/1000*VALUE(MID($A35,1,2))*VALUE(MID($A35,4,2))/(D$26/1000*60)</f>
        <v>0.874599542334096</v>
      </c>
      <c r="E35" s="18" t="n">
        <f aca="false">$B$9/D$32*VALUE(MID($A35,1,2))*VALUE(MID($A35,4,2))/10000</f>
        <v>1.6695652173913</v>
      </c>
      <c r="F35" s="29" t="n">
        <f aca="false">$B$5/1000*VALUE(MID($A35,1,2))*VALUE(MID($A35,4,2))/(F$26/1000*60)</f>
        <v>0.700898587933248</v>
      </c>
      <c r="G35" s="30" t="n">
        <f aca="false">$B$9/F$32*VALUE(MID($A35,1,2))*VALUE(MID($A35,4,2))/10000</f>
        <v>1.33797909407666</v>
      </c>
      <c r="H35" s="18" t="n">
        <f aca="false">$B$5/1000*VALUE(MID($A35,1,2))*VALUE(MID($A35,4,2))/(H$26/1000*60)</f>
        <v>0.595141700404858</v>
      </c>
      <c r="I35" s="18" t="n">
        <f aca="false">$B$9/H$32*VALUE(MID($A35,1,2))*VALUE(MID($A35,4,2))/10000</f>
        <v>1.13609467455621</v>
      </c>
      <c r="J35" s="29" t="n">
        <f aca="false">$B$5/1000*VALUE(MID($A35,1,2))*VALUE(MID($A35,4,2))/(J$26/1000*60)</f>
        <v>0.500392772977219</v>
      </c>
      <c r="K35" s="30" t="n">
        <f aca="false">$B$9/J$32*VALUE(MID($A35,1,2))*VALUE(MID($A35,4,2))/10000</f>
        <v>0.955223880597015</v>
      </c>
      <c r="L35" s="18" t="n">
        <f aca="false">$B$5/1000*VALUE(MID($A35,1,2))*VALUE(MID($A35,4,2))/(L$26/1000*60)</f>
        <v>0.39833246482543</v>
      </c>
      <c r="M35" s="18" t="n">
        <f aca="false">$B$9/L$32*VALUE(MID($A35,1,2))*VALUE(MID($A35,4,2))/10000</f>
        <v>0.76039603960396</v>
      </c>
      <c r="N35" s="29" t="n">
        <f aca="false">$B$5/1000*VALUE(MID($A35,1,2))*VALUE(MID($A35,4,2))/(N$26/1000*60)</f>
        <v>0.322885866351271</v>
      </c>
      <c r="O35" s="30" t="n">
        <f aca="false">$B$9/N$32*VALUE(MID($A35,1,2))*VALUE(MID($A35,4,2))/10000</f>
        <v>0.616372391653291</v>
      </c>
    </row>
    <row r="36" customFormat="false" ht="12.75" hidden="false" customHeight="false" outlineLevel="0" collapsed="false">
      <c r="A36" s="10" t="s">
        <v>47</v>
      </c>
      <c r="B36" s="29" t="n">
        <f aca="false">$B$5/1000*VALUE(MID($A36,1,2))*VALUE(MID($A36,4,2))/(B$26/1000*60)</f>
        <v>1.28947368421053</v>
      </c>
      <c r="C36" s="30" t="n">
        <f aca="false">$B$9/B$32*VALUE(MID($A36,1,2))*VALUE(MID($A36,4,2))/10000</f>
        <v>2.46153846153846</v>
      </c>
      <c r="D36" s="18" t="n">
        <f aca="false">$B$5/1000*VALUE(MID($A36,1,2))*VALUE(MID($A36,4,2))/(D$26/1000*60)</f>
        <v>1.09324942791762</v>
      </c>
      <c r="E36" s="18" t="n">
        <f aca="false">$B$9/D$32*VALUE(MID($A36,1,2))*VALUE(MID($A36,4,2))/10000</f>
        <v>2.08695652173913</v>
      </c>
      <c r="F36" s="31" t="n">
        <f aca="false">$B$5/1000*VALUE(MID($A36,1,2))*VALUE(MID($A36,4,2))/(F$26/1000*60)</f>
        <v>0.87612323491656</v>
      </c>
      <c r="G36" s="47" t="n">
        <f aca="false">$B$9/F$32*VALUE(MID($A36,1,2))*VALUE(MID($A36,4,2))/10000</f>
        <v>1.67247386759582</v>
      </c>
      <c r="H36" s="18" t="n">
        <f aca="false">$B$5/1000*VALUE(MID($A36,1,2))*VALUE(MID($A36,4,2))/(H$26/1000*60)</f>
        <v>0.743927125506073</v>
      </c>
      <c r="I36" s="18" t="n">
        <f aca="false">$B$9/H$32*VALUE(MID($A36,1,2))*VALUE(MID($A36,4,2))/10000</f>
        <v>1.42011834319527</v>
      </c>
      <c r="J36" s="29" t="n">
        <f aca="false">$B$5/1000*VALUE(MID($A36,1,2))*VALUE(MID($A36,4,2))/(J$26/1000*60)</f>
        <v>0.625490966221524</v>
      </c>
      <c r="K36" s="30" t="n">
        <f aca="false">$B$9/J$32*VALUE(MID($A36,1,2))*VALUE(MID($A36,4,2))/10000</f>
        <v>1.19402985074627</v>
      </c>
      <c r="L36" s="18" t="n">
        <f aca="false">$B$5/1000*VALUE(MID($A36,1,2))*VALUE(MID($A36,4,2))/(L$26/1000*60)</f>
        <v>0.497915581031787</v>
      </c>
      <c r="M36" s="18" t="n">
        <f aca="false">$B$9/L$32*VALUE(MID($A36,1,2))*VALUE(MID($A36,4,2))/10000</f>
        <v>0.95049504950495</v>
      </c>
      <c r="N36" s="29" t="n">
        <f aca="false">$B$5/1000*VALUE(MID($A36,1,2))*VALUE(MID($A36,4,2))/(N$26/1000*60)</f>
        <v>0.403607332939089</v>
      </c>
      <c r="O36" s="30" t="n">
        <f aca="false">$B$9/N$32*VALUE(MID($A36,1,2))*VALUE(MID($A36,4,2))/10000</f>
        <v>0.770465489566613</v>
      </c>
    </row>
    <row r="37" customFormat="false" ht="12.75" hidden="false" customHeight="false" outlineLevel="0" collapsed="false">
      <c r="A37" s="10" t="s">
        <v>48</v>
      </c>
      <c r="B37" s="48" t="n">
        <f aca="false">$B$5/1000*VALUE(MID($A37,1,2))*VALUE(MID($A37,4,2))/(B$26/1000*60)</f>
        <v>1.61184210526316</v>
      </c>
      <c r="C37" s="30" t="n">
        <f aca="false">$B$9/B$32*VALUE(MID($A37,1,2))*VALUE(MID($A37,4,2))/10000</f>
        <v>3.07692307692308</v>
      </c>
      <c r="D37" s="49" t="n">
        <f aca="false">$B$5/1000*VALUE(MID($A37,1,2))*VALUE(MID($A37,4,2))/(D$26/1000*60)</f>
        <v>1.36656178489703</v>
      </c>
      <c r="E37" s="18" t="n">
        <f aca="false">$B$9/D$32*VALUE(MID($A37,1,2))*VALUE(MID($A37,4,2))/10000</f>
        <v>2.60869565217391</v>
      </c>
      <c r="F37" s="48" t="n">
        <f aca="false">$B$5/1000*VALUE(MID($A37,1,2))*VALUE(MID($A37,4,2))/(F$26/1000*60)</f>
        <v>1.0951540436457</v>
      </c>
      <c r="G37" s="30" t="n">
        <f aca="false">$B$9/F$32*VALUE(MID($A37,1,2))*VALUE(MID($A37,4,2))/10000</f>
        <v>2.09059233449477</v>
      </c>
      <c r="H37" s="18" t="n">
        <f aca="false">$B$5/1000*VALUE(MID($A37,1,2))*VALUE(MID($A37,4,2))/(H$26/1000*60)</f>
        <v>0.929908906882591</v>
      </c>
      <c r="I37" s="18" t="n">
        <f aca="false">$B$9/H$32*VALUE(MID($A37,1,2))*VALUE(MID($A37,4,2))/10000</f>
        <v>1.77514792899408</v>
      </c>
      <c r="J37" s="29" t="n">
        <f aca="false">$B$5/1000*VALUE(MID($A37,1,2))*VALUE(MID($A37,4,2))/(J$26/1000*60)</f>
        <v>0.781863707776905</v>
      </c>
      <c r="K37" s="30" t="n">
        <f aca="false">$B$9/J$32*VALUE(MID($A37,1,2))*VALUE(MID($A37,4,2))/10000</f>
        <v>1.49253731343284</v>
      </c>
      <c r="L37" s="18" t="n">
        <f aca="false">$B$5/1000*VALUE(MID($A37,1,2))*VALUE(MID($A37,4,2))/(L$26/1000*60)</f>
        <v>0.622394476289734</v>
      </c>
      <c r="M37" s="18" t="n">
        <f aca="false">$B$9/L$32*VALUE(MID($A37,1,2))*VALUE(MID($A37,4,2))/10000</f>
        <v>1.18811881188119</v>
      </c>
      <c r="N37" s="29" t="n">
        <f aca="false">$B$5/1000*VALUE(MID($A37,1,2))*VALUE(MID($A37,4,2))/(N$26/1000*60)</f>
        <v>0.504509166173862</v>
      </c>
      <c r="O37" s="30" t="n">
        <f aca="false">$B$9/N$32*VALUE(MID($A37,1,2))*VALUE(MID($A37,4,2))/10000</f>
        <v>0.963081861958266</v>
      </c>
    </row>
    <row r="38" customFormat="false" ht="12.75" hidden="false" customHeight="false" outlineLevel="0" collapsed="false">
      <c r="A38" s="10" t="s">
        <v>49</v>
      </c>
      <c r="B38" s="48" t="n">
        <f aca="false">$B$5/1000*VALUE(MID($A38,1,2))*VALUE(MID($A38,4,2))/(B$26/1000*60)</f>
        <v>1.93421052631579</v>
      </c>
      <c r="C38" s="30" t="n">
        <f aca="false">$B$9/B$32*VALUE(MID($A38,1,2))*VALUE(MID($A38,4,2))/10000</f>
        <v>3.69230769230769</v>
      </c>
      <c r="D38" s="49" t="n">
        <f aca="false">$B$5/1000*VALUE(MID($A38,1,2))*VALUE(MID($A38,4,2))/(D$26/1000*60)</f>
        <v>1.63987414187643</v>
      </c>
      <c r="E38" s="18" t="n">
        <f aca="false">$B$9/D$32*VALUE(MID($A38,1,2))*VALUE(MID($A38,4,2))/10000</f>
        <v>3.1304347826087</v>
      </c>
      <c r="F38" s="48" t="n">
        <f aca="false">$B$5/1000*VALUE(MID($A38,1,2))*VALUE(MID($A38,4,2))/(F$26/1000*60)</f>
        <v>1.31418485237484</v>
      </c>
      <c r="G38" s="30" t="n">
        <f aca="false">$B$9/F$32*VALUE(MID($A38,1,2))*VALUE(MID($A38,4,2))/10000</f>
        <v>2.50871080139373</v>
      </c>
      <c r="H38" s="49" t="n">
        <f aca="false">$B$5/1000*VALUE(MID($A38,1,2))*VALUE(MID($A38,4,2))/(H$26/1000*60)</f>
        <v>1.11589068825911</v>
      </c>
      <c r="I38" s="18" t="n">
        <f aca="false">$B$9/H$32*VALUE(MID($A38,1,2))*VALUE(MID($A38,4,2))/10000</f>
        <v>2.1301775147929</v>
      </c>
      <c r="J38" s="48" t="n">
        <f aca="false">$B$5/1000*VALUE(MID($A38,1,2))*VALUE(MID($A38,4,2))/(J$26/1000*60)</f>
        <v>0.938236449332286</v>
      </c>
      <c r="K38" s="30" t="n">
        <f aca="false">$B$9/J$32*VALUE(MID($A38,1,2))*VALUE(MID($A38,4,2))/10000</f>
        <v>1.7910447761194</v>
      </c>
      <c r="L38" s="49" t="n">
        <f aca="false">$B$5/1000*VALUE(MID($A38,1,2))*VALUE(MID($A38,4,2))/(L$26/1000*60)</f>
        <v>0.746873371547681</v>
      </c>
      <c r="M38" s="18" t="n">
        <f aca="false">$B$9/L$32*VALUE(MID($A38,1,2))*VALUE(MID($A38,4,2))/10000</f>
        <v>1.42574257425743</v>
      </c>
      <c r="N38" s="50" t="n">
        <f aca="false">$B$5/1000*VALUE(MID($A38,1,2))*VALUE(MID($A38,4,2))/(N$26/1000*60)</f>
        <v>0.605410999408634</v>
      </c>
      <c r="O38" s="30" t="n">
        <f aca="false">$B$9/N$32*VALUE(MID($A38,1,2))*VALUE(MID($A38,4,2))/10000</f>
        <v>1.15569823434992</v>
      </c>
    </row>
    <row r="39" customFormat="false" ht="12.75" hidden="false" customHeight="false" outlineLevel="0" collapsed="false">
      <c r="A39" s="10" t="s">
        <v>50</v>
      </c>
      <c r="B39" s="48" t="n">
        <f aca="false">$B$5/1000*VALUE(MID($A39,1,2))*VALUE(MID($A39,4,2))/(B$26/1000*60)</f>
        <v>2.32105263157895</v>
      </c>
      <c r="C39" s="30" t="n">
        <f aca="false">$B$9/B$32*VALUE(MID($A39,1,2))*VALUE(MID($A39,4,2))/10000</f>
        <v>4.43076923076923</v>
      </c>
      <c r="D39" s="49" t="n">
        <f aca="false">$B$5/1000*VALUE(MID($A39,1,2))*VALUE(MID($A39,4,2))/(D$26/1000*60)</f>
        <v>1.96784897025172</v>
      </c>
      <c r="E39" s="18" t="n">
        <f aca="false">$B$9/D$32*VALUE(MID($A39,1,2))*VALUE(MID($A39,4,2))/10000</f>
        <v>3.75652173913043</v>
      </c>
      <c r="F39" s="48" t="n">
        <f aca="false">$B$5/1000*VALUE(MID($A39,1,2))*VALUE(MID($A39,4,2))/(F$26/1000*60)</f>
        <v>1.57702182284981</v>
      </c>
      <c r="G39" s="30" t="n">
        <f aca="false">$B$9/F$32*VALUE(MID($A39,1,2))*VALUE(MID($A39,4,2))/10000</f>
        <v>3.01045296167247</v>
      </c>
      <c r="H39" s="49" t="n">
        <f aca="false">$B$5/1000*VALUE(MID($A39,1,2))*VALUE(MID($A39,4,2))/(H$26/1000*60)</f>
        <v>1.33906882591093</v>
      </c>
      <c r="I39" s="18" t="n">
        <f aca="false">$B$9/H$32*VALUE(MID($A39,1,2))*VALUE(MID($A39,4,2))/10000</f>
        <v>2.55621301775148</v>
      </c>
      <c r="J39" s="48" t="n">
        <f aca="false">$B$5/1000*VALUE(MID($A39,1,2))*VALUE(MID($A39,4,2))/(J$26/1000*60)</f>
        <v>1.12588373919874</v>
      </c>
      <c r="K39" s="30" t="n">
        <f aca="false">$B$9/J$32*VALUE(MID($A39,1,2))*VALUE(MID($A39,4,2))/10000</f>
        <v>2.14925373134328</v>
      </c>
      <c r="L39" s="49" t="n">
        <f aca="false">$B$5/1000*VALUE(MID($A39,1,2))*VALUE(MID($A39,4,2))/(L$26/1000*60)</f>
        <v>0.896248045857217</v>
      </c>
      <c r="M39" s="18" t="n">
        <f aca="false">$B$9/L$32*VALUE(MID($A39,1,2))*VALUE(MID($A39,4,2))/10000</f>
        <v>1.71089108910891</v>
      </c>
      <c r="N39" s="48" t="n">
        <f aca="false">$B$5/1000*VALUE(MID($A39,1,2))*VALUE(MID($A39,4,2))/(N$26/1000*60)</f>
        <v>0.726493199290361</v>
      </c>
      <c r="O39" s="30" t="n">
        <f aca="false">$B$9/N$32*VALUE(MID($A39,1,2))*VALUE(MID($A39,4,2))/10000</f>
        <v>1.3868378812199</v>
      </c>
    </row>
    <row r="41" customFormat="false" ht="12.75" hidden="false" customHeight="false" outlineLevel="0" collapsed="false">
      <c r="F41" s="10" t="s">
        <v>51</v>
      </c>
      <c r="G41" s="18" t="n">
        <f aca="false">B8/G36</f>
        <v>15.5458333333333</v>
      </c>
      <c r="H41" s="51" t="n">
        <f aca="false">ROUNDUP(G41,0)</f>
        <v>16</v>
      </c>
      <c r="I41" s="22" t="s">
        <v>52</v>
      </c>
    </row>
    <row r="42" customFormat="false" ht="12.75" hidden="false" customHeight="false" outlineLevel="0" collapsed="false">
      <c r="F42" s="10" t="s">
        <v>53</v>
      </c>
      <c r="G42" s="18" t="n">
        <f aca="false">'Caudal boca'!G8/F36</f>
        <v>18.2622710622711</v>
      </c>
      <c r="H42" s="11" t="n">
        <v>18</v>
      </c>
      <c r="I42" s="22" t="s">
        <v>54</v>
      </c>
    </row>
    <row r="43" customFormat="false" ht="12.75" hidden="false" customHeight="false" outlineLevel="0" collapsed="false">
      <c r="F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1" width="13.29"/>
    <col collapsed="false" customWidth="true" hidden="false" outlineLevel="0" max="2" min="2" style="11" width="6.28"/>
    <col collapsed="false" customWidth="true" hidden="false" outlineLevel="0" max="3" min="3" style="11" width="18.13"/>
    <col collapsed="false" customWidth="true" hidden="false" outlineLevel="0" max="4" min="4" style="11" width="6.57"/>
    <col collapsed="false" customWidth="true" hidden="false" outlineLevel="0" max="5" min="5" style="11" width="3.98"/>
    <col collapsed="false" customWidth="true" hidden="false" outlineLevel="0" max="6" min="6" style="11" width="11.71"/>
    <col collapsed="false" customWidth="true" hidden="false" outlineLevel="0" max="7" min="7" style="11" width="10.85"/>
    <col collapsed="false" customWidth="true" hidden="false" outlineLevel="0" max="8" min="8" style="11" width="19.14"/>
    <col collapsed="false" customWidth="true" hidden="false" outlineLevel="0" max="9" min="9" style="11" width="15"/>
    <col collapsed="false" customWidth="true" hidden="false" outlineLevel="0" max="10" min="10" style="11" width="8.41"/>
    <col collapsed="false" customWidth="true" hidden="false" outlineLevel="0" max="11" min="11" style="11" width="11.42"/>
    <col collapsed="false" customWidth="true" hidden="false" outlineLevel="0" max="12" min="12" style="11" width="13.86"/>
    <col collapsed="false" customWidth="true" hidden="false" outlineLevel="0" max="1025" min="13" style="11" width="11.42"/>
  </cols>
  <sheetData>
    <row r="1" customFormat="false" ht="12.75" hidden="false" customHeight="false" outlineLevel="0" collapsed="false">
      <c r="C1" s="22" t="s">
        <v>55</v>
      </c>
      <c r="D1" s="15" t="n">
        <f aca="false">'Unidades riego'!B9/'Unidades riego'!F32</f>
        <v>92.9152148664344</v>
      </c>
      <c r="F1" s="10" t="s">
        <v>56</v>
      </c>
      <c r="G1" s="15" t="n">
        <f aca="false">'Unidades riego'!A26*100000/9806.65</f>
        <v>35.6900674542275</v>
      </c>
      <c r="I1" s="52" t="s">
        <v>57</v>
      </c>
      <c r="J1" s="53" t="n">
        <v>1E-006</v>
      </c>
    </row>
    <row r="2" customFormat="false" ht="15.75" hidden="false" customHeight="false" outlineLevel="0" collapsed="false">
      <c r="C2" s="10" t="s">
        <v>58</v>
      </c>
      <c r="D2" s="11" t="str">
        <f aca="false">MID('Unidades riego'!A36,1,2)</f>
        <v>12</v>
      </c>
      <c r="F2" s="52" t="s">
        <v>59</v>
      </c>
      <c r="I2" s="10" t="s">
        <v>60</v>
      </c>
      <c r="J2" s="53" t="n">
        <f aca="false">0.316*4^1.75*J1^0.25/2/9.80665/PI()^1.75</f>
        <v>0.000777551420269806</v>
      </c>
    </row>
    <row r="3" customFormat="false" ht="15.75" hidden="false" customHeight="false" outlineLevel="0" collapsed="false">
      <c r="C3" s="10" t="s">
        <v>61</v>
      </c>
      <c r="D3" s="11" t="str">
        <f aca="false">MID('Unidades riego'!A36,4,2)</f>
        <v>15</v>
      </c>
      <c r="F3" s="52" t="s">
        <v>62</v>
      </c>
      <c r="G3" s="18" t="n">
        <f aca="false">0.2*'Unidades riego'!A26*100000/9806.65</f>
        <v>7.1380134908455</v>
      </c>
      <c r="I3" s="10" t="s">
        <v>63</v>
      </c>
      <c r="J3" s="54" t="n">
        <f aca="false">J2*(1000*3600)^-1.75*(1000)^4.75</f>
        <v>0.464728966284704</v>
      </c>
    </row>
    <row r="4" customFormat="false" ht="15.75" hidden="false" customHeight="false" outlineLevel="0" collapsed="false">
      <c r="C4" s="10" t="s">
        <v>64</v>
      </c>
      <c r="D4" s="10" t="n">
        <v>0.005</v>
      </c>
      <c r="F4" s="10" t="s">
        <v>65</v>
      </c>
      <c r="G4" s="18" t="n">
        <f aca="false">'Unidades riego'!F32</f>
        <v>0.478333333333333</v>
      </c>
    </row>
    <row r="5" customFormat="false" ht="15.75" hidden="false" customHeight="false" outlineLevel="0" collapsed="false">
      <c r="A5" s="10" t="s">
        <v>66</v>
      </c>
      <c r="C5" s="10" t="s">
        <v>67</v>
      </c>
      <c r="D5" s="10" t="n">
        <v>0.005</v>
      </c>
      <c r="J5" s="10"/>
      <c r="K5" s="10"/>
    </row>
    <row r="6" customFormat="false" ht="12.75" hidden="false" customHeight="false" outlineLevel="0" collapsed="false">
      <c r="A6" s="10" t="s">
        <v>68</v>
      </c>
      <c r="G6" s="10" t="s">
        <v>69</v>
      </c>
      <c r="H6" s="20" t="n">
        <v>279</v>
      </c>
    </row>
    <row r="7" customFormat="false" ht="12.75" hidden="false" customHeight="false" outlineLevel="0" collapsed="false">
      <c r="G7" s="10"/>
    </row>
    <row r="8" customFormat="false" ht="15.75" hidden="false" customHeight="false" outlineLevel="0" collapsed="false">
      <c r="A8" s="10" t="s">
        <v>70</v>
      </c>
      <c r="B8" s="10" t="s">
        <v>71</v>
      </c>
      <c r="C8" s="10" t="s">
        <v>72</v>
      </c>
      <c r="D8" s="10" t="s">
        <v>73</v>
      </c>
      <c r="E8" s="10" t="s">
        <v>74</v>
      </c>
      <c r="F8" s="10" t="s">
        <v>75</v>
      </c>
      <c r="G8" s="10" t="s">
        <v>76</v>
      </c>
      <c r="H8" s="10" t="s">
        <v>77</v>
      </c>
      <c r="I8" s="10" t="s">
        <v>78</v>
      </c>
      <c r="J8" s="10" t="s">
        <v>79</v>
      </c>
      <c r="K8" s="10" t="s">
        <v>80</v>
      </c>
      <c r="L8" s="10" t="s">
        <v>81</v>
      </c>
      <c r="M8" s="10" t="s">
        <v>82</v>
      </c>
      <c r="O8" s="10"/>
      <c r="P8" s="10"/>
    </row>
    <row r="9" customFormat="false" ht="12.75" hidden="false" customHeight="false" outlineLevel="0" collapsed="false">
      <c r="A9" s="20" t="n">
        <v>40</v>
      </c>
      <c r="B9" s="20" t="n">
        <v>1.5</v>
      </c>
      <c r="C9" s="11" t="n">
        <f aca="false">A9-2*B9</f>
        <v>37</v>
      </c>
      <c r="D9" s="15" t="n">
        <f aca="false">IF(D9,(($G$3+$D$4*D9)/(1/(1+1.75)*$J$2*($G$4/1000/$D$2)^1.75*(C9/1000)^-4.75))^(1/2.75),100)</f>
        <v>86.4209963623178</v>
      </c>
      <c r="E9" s="51" t="n">
        <f aca="false">ROUNDDOWN(D9/$D$2,0)</f>
        <v>7</v>
      </c>
      <c r="F9" s="13" t="n">
        <f aca="false">ROUNDDOWN($D$1/'Cálculo unidad aspersión'!E9,0)</f>
        <v>13</v>
      </c>
      <c r="G9" s="13" t="n">
        <f aca="false">E9*F9</f>
        <v>91</v>
      </c>
      <c r="H9" s="18" t="n">
        <f aca="false">$H$6/(E9*$D$2)</f>
        <v>3.32142857142857</v>
      </c>
      <c r="I9" s="18" t="n">
        <f aca="false">1/(1.75+1)*$J$2*($G$4/1000/$D$2)^1.75*(E9*$D$2)^2.75*(C9/1000)^-4.75-$D$4*E9*$D$2</f>
        <v>6.58112324774958</v>
      </c>
      <c r="J9" s="51" t="n">
        <f aca="false">(($G$3-I9+$D$5*F9*$D$3)/(1/(1.75+1)*$J$2*($G$4/1000*E9/$D$3)^1.75*(F9*$D$3)^2.75))^(-1/4.75)*1000</f>
        <v>156.508446194033</v>
      </c>
      <c r="K9" s="55" t="n">
        <f aca="false">MATCH(J9,$C$9:$C$17,1)+1</f>
        <v>10</v>
      </c>
      <c r="L9" s="56" t="e">
        <f aca="false">INDEX($A$9:$A$17,K9)</f>
        <v>#VALUE!</v>
      </c>
      <c r="M9" s="56" t="n">
        <f aca="false">F9*$D$3</f>
        <v>195</v>
      </c>
    </row>
    <row r="10" customFormat="false" ht="12.75" hidden="false" customHeight="false" outlineLevel="0" collapsed="false">
      <c r="A10" s="42" t="n">
        <v>50</v>
      </c>
      <c r="B10" s="42" t="n">
        <v>1.6</v>
      </c>
      <c r="C10" s="12" t="n">
        <f aca="false">A10-2*B10</f>
        <v>46.8</v>
      </c>
      <c r="D10" s="57" t="n">
        <f aca="false">IF(D10,(($G$3+$D$4*D10)/(1/(1+1.75)*$J$2*($G$4/1000/$D$2)^1.75*(C10/1000)^-4.75))^(1/2.75),100)</f>
        <v>131.058768728146</v>
      </c>
      <c r="E10" s="58" t="n">
        <f aca="false">ROUNDDOWN(D10/$D$2,0)</f>
        <v>10</v>
      </c>
      <c r="F10" s="12" t="n">
        <f aca="false">ROUNDDOWN($D$1/'Cálculo unidad aspersión'!E10,0)</f>
        <v>9</v>
      </c>
      <c r="G10" s="12" t="n">
        <f aca="false">E10*F10</f>
        <v>90</v>
      </c>
      <c r="H10" s="19" t="n">
        <f aca="false">$H$6/(E10*$D$2)</f>
        <v>2.325</v>
      </c>
      <c r="I10" s="19" t="n">
        <f aca="false">1/(1.75+1)*$J$2*($G$4/1000/$D$2)^1.75*(E10*$D$2)^2.75*(C10/1000)^-4.75-$D$4*E10*$D$2</f>
        <v>5.51559194849211</v>
      </c>
      <c r="J10" s="58" t="n">
        <f aca="false">(($G$3-I10+$D$5*F10*$D$3)/(1/(1.75+1)*$J$2*($G$4/1000*E10/$D$3)^1.75*(F10*$D$3)^2.75))^(-1/4.75)*1000</f>
        <v>132.462565969902</v>
      </c>
      <c r="K10" s="58" t="n">
        <f aca="false">MATCH(J10,$C$9:$C$17,1)+1</f>
        <v>8</v>
      </c>
      <c r="L10" s="59" t="n">
        <f aca="false">INDEX($A$9:$A$17,K10)</f>
        <v>140</v>
      </c>
      <c r="M10" s="59" t="n">
        <f aca="false">F10*$D$3</f>
        <v>135</v>
      </c>
      <c r="O10" s="51"/>
      <c r="P10" s="18"/>
    </row>
    <row r="11" customFormat="false" ht="12.75" hidden="false" customHeight="false" outlineLevel="0" collapsed="false">
      <c r="A11" s="20" t="n">
        <v>63</v>
      </c>
      <c r="B11" s="20" t="n">
        <v>2</v>
      </c>
      <c r="C11" s="11" t="n">
        <f aca="false">A11-2*B11</f>
        <v>59</v>
      </c>
      <c r="D11" s="15" t="n">
        <f aca="false">IF(D11,(($G$3+$D$4*D11)/(1/(1+1.75)*$J$2*($G$4/1000/$D$2)^1.75*(C11/1000)^-4.75))^(1/2.75),100)</f>
        <v>198.58102268091</v>
      </c>
      <c r="E11" s="51" t="n">
        <f aca="false">ROUNDDOWN(D11/$D$2,0)</f>
        <v>16</v>
      </c>
      <c r="F11" s="13" t="n">
        <f aca="false">ROUNDDOWN($D$1/'Cálculo unidad aspersión'!E11,0)</f>
        <v>5</v>
      </c>
      <c r="G11" s="11" t="n">
        <f aca="false">E11*F11</f>
        <v>80</v>
      </c>
      <c r="H11" s="18" t="n">
        <f aca="false">$H$6/(E11*$D$2)</f>
        <v>1.453125</v>
      </c>
      <c r="I11" s="18" t="n">
        <f aca="false">1/(1.75+1)*$J$2*($G$4/1000/$D$2)^1.75*(E11*$D$2)^2.75*(C11/1000)^-4.75-$D$4*E11*$D$2</f>
        <v>6.45121136430818</v>
      </c>
      <c r="J11" s="51" t="n">
        <f aca="false">(($G$3-I11+$D$5*F11*$D$3)/(1/(1.75+1)*$J$2*($G$4/1000*E11/$D$3)^1.75*(F11*$D$3)^2.75))^(-1/4.75)*1000</f>
        <v>131.848055018764</v>
      </c>
      <c r="K11" s="51" t="n">
        <f aca="false">MATCH(J11,$C$9:$C$17,1)+1</f>
        <v>8</v>
      </c>
      <c r="L11" s="11" t="n">
        <f aca="false">INDEX($A$9:$A$17,K11)</f>
        <v>140</v>
      </c>
      <c r="M11" s="11" t="n">
        <f aca="false">F11*$D$3</f>
        <v>75</v>
      </c>
    </row>
    <row r="12" customFormat="false" ht="12.75" hidden="false" customHeight="false" outlineLevel="0" collapsed="false">
      <c r="A12" s="20" t="n">
        <v>75</v>
      </c>
      <c r="B12" s="20" t="n">
        <v>2.3</v>
      </c>
      <c r="C12" s="11" t="n">
        <f aca="false">A12-2*B12</f>
        <v>70.4</v>
      </c>
      <c r="D12" s="15" t="n">
        <f aca="false">IF(D12,(($G$3+$D$4*D12)/(1/(1+1.75)*$J$2*($G$4/1000/$D$2)^1.75*(C12/1000)^-4.75))^(1/2.75),100)</f>
        <v>273.908967681241</v>
      </c>
      <c r="E12" s="51" t="n">
        <f aca="false">ROUNDDOWN(D12/$D$2,0)</f>
        <v>22</v>
      </c>
      <c r="F12" s="13" t="n">
        <f aca="false">ROUNDDOWN($D$1/'Cálculo unidad aspersión'!E12,0)</f>
        <v>4</v>
      </c>
      <c r="G12" s="11" t="n">
        <f aca="false">E12*F12</f>
        <v>88</v>
      </c>
      <c r="H12" s="18" t="n">
        <f aca="false">$H$6/(E12*$D$2)</f>
        <v>1.05681818181818</v>
      </c>
      <c r="I12" s="18" t="n">
        <f aca="false">1/(1.75+1)*$J$2*($G$4/1000/$D$2)^1.75*(E12*$D$2)^2.75*(C12/1000)^-4.75-$D$4*E12*$D$2</f>
        <v>6.36773746191919</v>
      </c>
      <c r="J12" s="51" t="n">
        <f aca="false">(($G$3-I12+$D$5*F12*$D$3)/(1/(1.75+1)*$J$2*($G$4/1000*E12/$D$3)^1.75*(F12*$D$3)^2.75))^(-1/4.75)*1000</f>
        <v>130.075281861153</v>
      </c>
      <c r="K12" s="51" t="n">
        <f aca="false">MATCH(J12,$C$9:$C$17,1)+1</f>
        <v>8</v>
      </c>
      <c r="L12" s="13" t="n">
        <f aca="false">INDEX($A$9:$A$17,K12)</f>
        <v>140</v>
      </c>
      <c r="M12" s="13" t="n">
        <f aca="false">F12*$D$3</f>
        <v>60</v>
      </c>
    </row>
    <row r="13" customFormat="false" ht="12.75" hidden="false" customHeight="false" outlineLevel="0" collapsed="false">
      <c r="A13" s="20" t="n">
        <v>90</v>
      </c>
      <c r="B13" s="20" t="n">
        <v>2.8</v>
      </c>
      <c r="C13" s="11" t="n">
        <f aca="false">A13-2*B13</f>
        <v>84.4</v>
      </c>
      <c r="D13" s="15" t="n">
        <f aca="false">IF(D13,(($G$3+$D$4*D13)/(1/(1+1.75)*$J$2*($G$4/1000/$D$2)^1.75*(C13/1000)^-4.75))^(1/2.75),100)</f>
        <v>383.265966261097</v>
      </c>
      <c r="E13" s="51" t="n">
        <f aca="false">ROUNDDOWN(D13/$D$2,0)</f>
        <v>31</v>
      </c>
      <c r="F13" s="13" t="n">
        <f aca="false">ROUNDDOWN($D$1/'Cálculo unidad aspersión'!E13,0)</f>
        <v>2</v>
      </c>
      <c r="G13" s="11" t="n">
        <f aca="false">E13*F13</f>
        <v>62</v>
      </c>
      <c r="H13" s="18" t="n">
        <f aca="false">$H$6/(E13*$D$2)</f>
        <v>0.75</v>
      </c>
      <c r="I13" s="18" t="n">
        <f aca="false">1/(1.75+1)*$J$2*($G$4/1000/$D$2)^1.75*(E13*$D$2)^2.75*(C13/1000)^-4.75-$D$4*E13*$D$2</f>
        <v>6.48111941703445</v>
      </c>
      <c r="J13" s="51" t="n">
        <f aca="false">(($G$3-I13+$D$5*F13*$D$3)/(1/(1.75+1)*$J$2*($G$4/1000*E13/$D$3)^1.75*(F13*$D$3)^2.75))^(-1/4.75)*1000</f>
        <v>104.860937245456</v>
      </c>
      <c r="K13" s="51" t="n">
        <f aca="false">MATCH(J13,$C$9:$C$17,1)+1</f>
        <v>7</v>
      </c>
      <c r="L13" s="11" t="n">
        <f aca="false">INDEX($A$9:$A$17,K13)</f>
        <v>125</v>
      </c>
      <c r="M13" s="11" t="n">
        <f aca="false">F13*$D$3</f>
        <v>30</v>
      </c>
    </row>
    <row r="14" customFormat="false" ht="12.75" hidden="false" customHeight="false" outlineLevel="0" collapsed="false">
      <c r="A14" s="20" t="n">
        <v>110</v>
      </c>
      <c r="B14" s="20" t="n">
        <v>2.7</v>
      </c>
      <c r="C14" s="11" t="n">
        <f aca="false">A14-2*B14</f>
        <v>104.6</v>
      </c>
      <c r="D14" s="15" t="n">
        <f aca="false">IF(D14,(($G$3+$D$4*D14)/(1/(1+1.75)*$J$2*($G$4/1000/$D$2)^1.75*(C14/1000)^-4.75))^(1/2.75),100)</f>
        <v>576.020148315678</v>
      </c>
      <c r="E14" s="51" t="n">
        <f aca="false">ROUNDDOWN(D14/$D$2,0)</f>
        <v>48</v>
      </c>
      <c r="F14" s="13" t="n">
        <f aca="false">ROUNDDOWN($D$1/'Cálculo unidad aspersión'!E14,0)</f>
        <v>1</v>
      </c>
      <c r="G14" s="11" t="n">
        <f aca="false">E14*F14</f>
        <v>48</v>
      </c>
      <c r="H14" s="18" t="n">
        <f aca="false">$H$6/(E14*$D$2)</f>
        <v>0.484375</v>
      </c>
      <c r="I14" s="18" t="n">
        <f aca="false">1/(1.75+1)*$J$2*($G$4/1000/$D$2)^1.75*(E14*$D$2)^2.75*(C14/1000)^-4.75-$D$4*E14*$D$2</f>
        <v>7.13715061098642</v>
      </c>
      <c r="J14" s="51" t="n">
        <f aca="false">(($G$3-I14+$D$5*F14*$D$3)/(1/(1.75+1)*$J$2*($G$4/1000*E14/$D$3)^1.75*(F14*$D$3)^2.75))^(-1/4.75)*1000</f>
        <v>135.660857877287</v>
      </c>
      <c r="K14" s="51" t="n">
        <f aca="false">MATCH(J14,$C$9:$C$17,1)+1</f>
        <v>9</v>
      </c>
      <c r="L14" s="11" t="n">
        <f aca="false">INDEX($A$9:$A$17,K14)</f>
        <v>160</v>
      </c>
      <c r="M14" s="11" t="n">
        <f aca="false">F14*$D$3</f>
        <v>15</v>
      </c>
    </row>
    <row r="15" customFormat="false" ht="12.75" hidden="false" customHeight="false" outlineLevel="0" collapsed="false">
      <c r="A15" s="20" t="n">
        <v>125</v>
      </c>
      <c r="B15" s="20" t="n">
        <v>3.1</v>
      </c>
      <c r="C15" s="11" t="n">
        <f aca="false">A15-2*B15</f>
        <v>118.8</v>
      </c>
      <c r="D15" s="15" t="n">
        <f aca="false">IF(D15,(($G$3+$D$4*D15)/(1/(1+1.75)*$J$2*($G$4/1000/$D$2)^1.75*(C15/1000)^-4.75))^(1/2.75),100)</f>
        <v>738.292079745332</v>
      </c>
      <c r="E15" s="51" t="n">
        <f aca="false">ROUNDDOWN(D15/$D$2,0)</f>
        <v>61</v>
      </c>
      <c r="F15" s="13" t="n">
        <f aca="false">ROUNDDOWN($D$1/'Cálculo unidad aspersión'!E15,0)</f>
        <v>1</v>
      </c>
      <c r="G15" s="11" t="n">
        <f aca="false">E15*F15</f>
        <v>61</v>
      </c>
      <c r="H15" s="18" t="n">
        <f aca="false">$H$6/(E15*$D$2)</f>
        <v>0.381147540983607</v>
      </c>
      <c r="I15" s="18" t="n">
        <f aca="false">1/(1.75+1)*$J$2*($G$4/1000/$D$2)^1.75*(E15*$D$2)^2.75*(C15/1000)^-4.75-$D$4*E15*$D$2</f>
        <v>6.91755410678477</v>
      </c>
      <c r="J15" s="51" t="n">
        <f aca="false">(($G$3-I15+$D$5*F15*$D$3)/(1/(1.75+1)*$J$2*($G$4/1000*E15/$D$3)^1.75*(F15*$D$3)^2.75))^(-1/4.75)*1000</f>
        <v>111.2996605204</v>
      </c>
      <c r="K15" s="51" t="n">
        <f aca="false">MATCH(J15,$C$9:$C$17,1)+1</f>
        <v>7</v>
      </c>
      <c r="L15" s="11" t="n">
        <f aca="false">INDEX($A$9:$A$17,K15)</f>
        <v>125</v>
      </c>
      <c r="M15" s="11" t="n">
        <f aca="false">F15*$D$3</f>
        <v>15</v>
      </c>
    </row>
    <row r="16" customFormat="false" ht="12.75" hidden="false" customHeight="false" outlineLevel="0" collapsed="false">
      <c r="A16" s="20" t="n">
        <v>140</v>
      </c>
      <c r="B16" s="20" t="n">
        <v>3.5</v>
      </c>
      <c r="C16" s="11" t="n">
        <f aca="false">A16-2*B16</f>
        <v>133</v>
      </c>
      <c r="D16" s="15" t="n">
        <f aca="false">IF(D16,(($G$3+$D$4*D16)/(1/(1+1.75)*$J$2*($G$4/1000/$D$2)^1.75*(C16/1000)^-4.75))^(1/2.75),100)</f>
        <v>924.608104324956</v>
      </c>
      <c r="E16" s="51" t="n">
        <f aca="false">ROUNDDOWN(D16/$D$2,0)</f>
        <v>77</v>
      </c>
      <c r="F16" s="13" t="n">
        <f aca="false">ROUNDDOWN($D$1/'Cálculo unidad aspersión'!E16,0)</f>
        <v>1</v>
      </c>
      <c r="G16" s="11" t="n">
        <f aca="false">E16*F16</f>
        <v>77</v>
      </c>
      <c r="H16" s="18" t="n">
        <f aca="false">$H$6/(E16*$D$2)</f>
        <v>0.301948051948052</v>
      </c>
      <c r="I16" s="18" t="n">
        <f aca="false">1/(1.75+1)*$J$2*($G$4/1000/$D$2)^1.75*(E16*$D$2)^2.75*(C16/1000)^-4.75-$D$4*E16*$D$2</f>
        <v>7.11979469207505</v>
      </c>
      <c r="J16" s="51" t="n">
        <f aca="false">(($G$3-I16+$D$5*F16*$D$3)/(1/(1.75+1)*$J$2*($G$4/1000*E16/$D$3)^1.75*(F16*$D$3)^2.75))^(-1/4.75)*1000</f>
        <v>154.609481085873</v>
      </c>
      <c r="K16" s="51" t="n">
        <f aca="false">MATCH(J16,$C$9:$C$17,1)+1</f>
        <v>10</v>
      </c>
      <c r="L16" s="56" t="e">
        <f aca="false">INDEX($A$9:$A$17,K16)</f>
        <v>#VALUE!</v>
      </c>
      <c r="M16" s="56" t="n">
        <f aca="false">F16*$D$3</f>
        <v>15</v>
      </c>
    </row>
    <row r="17" customFormat="false" ht="12.75" hidden="false" customHeight="false" outlineLevel="0" collapsed="false">
      <c r="A17" s="20" t="n">
        <v>160</v>
      </c>
      <c r="B17" s="20" t="n">
        <v>4</v>
      </c>
      <c r="C17" s="11" t="n">
        <f aca="false">A17-2*B17</f>
        <v>152</v>
      </c>
      <c r="D17" s="15" t="n">
        <f aca="false">IF(D17,(($G$3+$D$4*D17)/(1/(1+1.75)*$J$2*($G$4/1000/$D$2)^1.75*(C17/1000)^-4.75))^(1/2.75),100)</f>
        <v>1214.77559998167</v>
      </c>
      <c r="E17" s="55" t="n">
        <f aca="false">ROUNDDOWN(D17/$D$2,0)</f>
        <v>101</v>
      </c>
      <c r="F17" s="56" t="n">
        <f aca="false">ROUNDDOWN($D$1/'Cálculo unidad aspersión'!E17,0)</f>
        <v>0</v>
      </c>
      <c r="G17" s="56" t="n">
        <f aca="false">E17*F17</f>
        <v>0</v>
      </c>
      <c r="H17" s="18" t="n">
        <f aca="false">$H$6/(E17*$D$2)</f>
        <v>0.23019801980198</v>
      </c>
      <c r="I17" s="49" t="n">
        <f aca="false">1/(1.75+1)*$J$2*($G$4/1000/$D$2)^1.75*(E17*$D$2)^2.75*(C17/1000)^-4.75-$D$4*E17*$D$2</f>
        <v>7.0690419950932</v>
      </c>
      <c r="J17" s="55" t="e">
        <f aca="false">(($G$3-I17+$D$5*F17*$D$3)/(1/(1.75+1)*$J$2*($G$4/1000*E17/$D$3)^1.75*(F17*$D$3)^2.75))^(-1/4.75)*1000</f>
        <v>#DIV/0!</v>
      </c>
      <c r="K17" s="55" t="e">
        <f aca="false">MATCH(J17,$C$9:$C$17,1)+1</f>
        <v>#DIV/0!</v>
      </c>
      <c r="L17" s="56" t="e">
        <f aca="false">INDEX($A$9:$A$17,K17)</f>
        <v>#DIV/0!</v>
      </c>
      <c r="M17" s="56" t="n">
        <f aca="false">F17*$D$3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1" width="10.58"/>
    <col collapsed="false" customWidth="true" hidden="false" outlineLevel="0" max="6" min="2" style="11" width="9.13"/>
    <col collapsed="false" customWidth="true" hidden="false" outlineLevel="0" max="7" min="7" style="11" width="22.28"/>
    <col collapsed="false" customWidth="true" hidden="false" outlineLevel="0" max="1025" min="8" style="11" width="9.13"/>
  </cols>
  <sheetData>
    <row r="1" customFormat="false" ht="15.75" hidden="false" customHeight="false" outlineLevel="0" collapsed="false">
      <c r="A1" s="60" t="s">
        <v>83</v>
      </c>
    </row>
    <row r="2" customFormat="false" ht="15.75" hidden="false" customHeight="false" outlineLevel="0" collapsed="false">
      <c r="A2" s="60"/>
    </row>
    <row r="3" customFormat="false" ht="12.75" hidden="false" customHeight="false" outlineLevel="0" collapsed="false">
      <c r="A3" s="61" t="s">
        <v>84</v>
      </c>
      <c r="D3" s="61" t="s">
        <v>85</v>
      </c>
    </row>
    <row r="4" customFormat="false" ht="15.75" hidden="false" customHeight="false" outlineLevel="0" collapsed="false">
      <c r="A4" s="11" t="s">
        <v>86</v>
      </c>
      <c r="B4" s="62" t="n">
        <v>0.05</v>
      </c>
      <c r="D4" s="11" t="s">
        <v>87</v>
      </c>
      <c r="E4" s="18" t="n">
        <f aca="false">B9</f>
        <v>3.50411890952327</v>
      </c>
      <c r="G4" s="10" t="s">
        <v>88</v>
      </c>
      <c r="H4" s="18" t="n">
        <f aca="false">E7*SQRT(2*B11+3)/B6*(B11+2)/(B11+1)*E9</f>
        <v>3.28902862857294</v>
      </c>
    </row>
    <row r="5" customFormat="false" ht="15.75" hidden="false" customHeight="false" outlineLevel="0" collapsed="false">
      <c r="A5" s="11" t="s">
        <v>89</v>
      </c>
      <c r="B5" s="62" t="n">
        <v>1</v>
      </c>
      <c r="D5" s="11" t="s">
        <v>90</v>
      </c>
      <c r="E5" s="18" t="n">
        <f aca="false">B8</f>
        <v>10.1971621297793</v>
      </c>
    </row>
    <row r="6" customFormat="false" ht="12.75" hidden="false" customHeight="false" outlineLevel="0" collapsed="false">
      <c r="A6" s="11" t="s">
        <v>27</v>
      </c>
      <c r="B6" s="62" t="n">
        <v>0.54</v>
      </c>
    </row>
    <row r="7" customFormat="false" ht="12.75" hidden="false" customHeight="false" outlineLevel="0" collapsed="false">
      <c r="D7" s="11" t="s">
        <v>91</v>
      </c>
      <c r="E7" s="11" t="n">
        <f aca="false">B4</f>
        <v>0.05</v>
      </c>
    </row>
    <row r="8" customFormat="false" ht="15.75" hidden="false" customHeight="false" outlineLevel="0" collapsed="false">
      <c r="A8" s="11" t="s">
        <v>92</v>
      </c>
      <c r="B8" s="63" t="n">
        <f aca="false">100000/9806.65</f>
        <v>10.1971621297793</v>
      </c>
    </row>
    <row r="9" customFormat="false" ht="15.75" hidden="false" customHeight="false" outlineLevel="0" collapsed="false">
      <c r="A9" s="11" t="s">
        <v>93</v>
      </c>
      <c r="B9" s="63" t="n">
        <f aca="false">B5*B8^B6</f>
        <v>3.50411890952327</v>
      </c>
      <c r="D9" s="11" t="s">
        <v>94</v>
      </c>
      <c r="E9" s="18" t="n">
        <f aca="false">E5/(1+0.5*(B6-1)/B6*E7^2)^(1/B6)</f>
        <v>10.2173002746339</v>
      </c>
    </row>
    <row r="11" customFormat="false" ht="12.75" hidden="false" customHeight="false" outlineLevel="0" collapsed="false">
      <c r="A11" s="11" t="s">
        <v>95</v>
      </c>
      <c r="B11" s="62" t="n">
        <v>1.75</v>
      </c>
    </row>
    <row r="13" customFormat="false" ht="12.75" hidden="false" customHeight="false" outlineLevel="0" collapsed="false">
      <c r="A13" s="64" t="s">
        <v>96</v>
      </c>
      <c r="E13" s="64" t="s">
        <v>97</v>
      </c>
      <c r="H13" s="64" t="s">
        <v>98</v>
      </c>
    </row>
    <row r="15" customFormat="false" ht="12.75" hidden="false" customHeight="false" outlineLevel="0" collapsed="false">
      <c r="A15" s="11" t="s">
        <v>72</v>
      </c>
      <c r="B15" s="62" t="n">
        <v>13.6</v>
      </c>
      <c r="E15" s="11" t="s">
        <v>99</v>
      </c>
      <c r="F15" s="62" t="n">
        <v>50</v>
      </c>
      <c r="H15" s="11" t="s">
        <v>99</v>
      </c>
      <c r="I15" s="62" t="n">
        <v>50</v>
      </c>
    </row>
    <row r="16" customFormat="false" ht="15.75" hidden="false" customHeight="false" outlineLevel="0" collapsed="false">
      <c r="A16" s="11" t="s">
        <v>100</v>
      </c>
      <c r="B16" s="62" t="n">
        <v>0.02</v>
      </c>
      <c r="E16" s="11" t="s">
        <v>100</v>
      </c>
      <c r="F16" s="62" t="n">
        <v>0.02</v>
      </c>
      <c r="H16" s="11" t="s">
        <v>100</v>
      </c>
      <c r="I16" s="62" t="n">
        <v>0.02</v>
      </c>
    </row>
    <row r="17" customFormat="false" ht="12.75" hidden="false" customHeight="false" outlineLevel="0" collapsed="false">
      <c r="A17" s="11" t="s">
        <v>101</v>
      </c>
      <c r="B17" s="62" t="n">
        <v>0.5</v>
      </c>
      <c r="E17" s="11" t="s">
        <v>101</v>
      </c>
      <c r="F17" s="62" t="n">
        <v>0.5</v>
      </c>
      <c r="H17" s="11" t="s">
        <v>101</v>
      </c>
      <c r="I17" s="62" t="n">
        <v>0.5</v>
      </c>
    </row>
    <row r="18" customFormat="false" ht="12.75" hidden="false" customHeight="false" outlineLevel="0" collapsed="false">
      <c r="A18" s="11" t="s">
        <v>102</v>
      </c>
      <c r="B18" s="62" t="n">
        <v>0.8</v>
      </c>
      <c r="E18" s="11" t="s">
        <v>102</v>
      </c>
      <c r="F18" s="62" t="n">
        <v>0.8</v>
      </c>
      <c r="H18" s="11" t="s">
        <v>102</v>
      </c>
      <c r="I18" s="62" t="n">
        <v>0.8</v>
      </c>
    </row>
    <row r="19" customFormat="false" ht="12.75" hidden="false" customHeight="false" outlineLevel="0" collapsed="false">
      <c r="H19" s="11" t="s">
        <v>72</v>
      </c>
      <c r="I19" s="65" t="n">
        <v>13.6</v>
      </c>
    </row>
    <row r="20" customFormat="false" ht="12.75" hidden="false" customHeight="false" outlineLevel="0" collapsed="false">
      <c r="A20" s="11" t="s">
        <v>99</v>
      </c>
      <c r="B20" s="15" t="n">
        <f aca="false">IF(B20,((H4+B16*B20)/(1/(B11+1)*0.465*(B9/B17)^B11*B15^-4.75*(1+B18/B17)))^(1/(1+B11)),50)</f>
        <v>61.3310438054168</v>
      </c>
      <c r="E20" s="11" t="s">
        <v>72</v>
      </c>
      <c r="F20" s="15" t="n">
        <f aca="false">((H4+F16*F15)/(1/(B11+1)*0.465*F15^(1+B11)*(B9/F17)^B11*(1+F18/F17)))^(1/-4.75)</f>
        <v>12.2148439109332</v>
      </c>
    </row>
    <row r="21" customFormat="false" ht="15.75" hidden="false" customHeight="false" outlineLevel="0" collapsed="false">
      <c r="H21" s="11" t="s">
        <v>103</v>
      </c>
      <c r="I21" s="18" t="n">
        <f aca="false">1/(B11+1)*0.465*I15^(1+B11)*(B9/I17)^B11*I19^-4.75*(1+I18/I17)-I16*I15</f>
        <v>1.57493789170853</v>
      </c>
    </row>
    <row r="22" customFormat="false" ht="12.75" hidden="false" customHeight="false" outlineLevel="0" collapsed="false">
      <c r="B22" s="15"/>
      <c r="F22" s="15"/>
      <c r="H22" s="11" t="s">
        <v>104</v>
      </c>
      <c r="I22" s="15" t="n">
        <f aca="false">I15/I17*B9</f>
        <v>350.411890952327</v>
      </c>
    </row>
    <row r="24" customFormat="false" ht="15.75" hidden="false" customHeight="false" outlineLevel="0" collapsed="false">
      <c r="H24" s="11" t="s">
        <v>105</v>
      </c>
      <c r="I24" s="18" t="n">
        <f aca="false">SQRT(H4^2-I21^2)</f>
        <v>2.88743484027486</v>
      </c>
    </row>
    <row r="26" customFormat="false" ht="12.75" hidden="false" customHeight="false" outlineLevel="0" collapsed="false">
      <c r="A26" s="64" t="s">
        <v>106</v>
      </c>
      <c r="E26" s="64" t="s">
        <v>107</v>
      </c>
    </row>
    <row r="28" customFormat="false" ht="12.75" hidden="false" customHeight="false" outlineLevel="0" collapsed="false">
      <c r="A28" s="11" t="s">
        <v>72</v>
      </c>
      <c r="B28" s="62" t="n">
        <v>50</v>
      </c>
      <c r="E28" s="11" t="s">
        <v>99</v>
      </c>
      <c r="F28" s="62" t="n">
        <v>70</v>
      </c>
    </row>
    <row r="29" customFormat="false" ht="15.75" hidden="false" customHeight="false" outlineLevel="0" collapsed="false">
      <c r="A29" s="11" t="s">
        <v>100</v>
      </c>
      <c r="B29" s="62" t="n">
        <v>0.02</v>
      </c>
      <c r="E29" s="11" t="s">
        <v>100</v>
      </c>
      <c r="F29" s="62" t="n">
        <v>0.02</v>
      </c>
    </row>
    <row r="30" customFormat="false" ht="12.75" hidden="false" customHeight="false" outlineLevel="0" collapsed="false">
      <c r="A30" s="11" t="s">
        <v>101</v>
      </c>
      <c r="B30" s="62" t="n">
        <v>1.5</v>
      </c>
      <c r="E30" s="11" t="s">
        <v>101</v>
      </c>
      <c r="F30" s="62" t="n">
        <v>1.5</v>
      </c>
    </row>
    <row r="31" customFormat="false" ht="12.75" hidden="false" customHeight="false" outlineLevel="0" collapsed="false">
      <c r="A31" s="11" t="s">
        <v>102</v>
      </c>
      <c r="B31" s="62" t="n">
        <v>2</v>
      </c>
      <c r="E31" s="11" t="s">
        <v>102</v>
      </c>
      <c r="F31" s="62" t="n">
        <v>2</v>
      </c>
    </row>
    <row r="33" customFormat="false" ht="12.75" hidden="false" customHeight="false" outlineLevel="0" collapsed="false">
      <c r="A33" s="11" t="s">
        <v>99</v>
      </c>
      <c r="B33" s="15" t="n">
        <f aca="false">IF(B33,((I24+B29*B33)/(1/(B11+1)*0.465*(I22/B30)^B11*B28^-4.75*(1+B31/B30)))^(1/(1+B11)),50)</f>
        <v>62.9259371556972</v>
      </c>
      <c r="E33" s="11" t="s">
        <v>72</v>
      </c>
      <c r="F33" s="15" t="n">
        <f aca="false">((I24+F29*F28)/(1/(B11+1)*0.465*F28^(1+B11)*(I22/F30)^B11*(1+F31/F30)))^(1/-4.75)</f>
        <v>52.806687074851</v>
      </c>
    </row>
    <row r="35" customFormat="false" ht="12.75" hidden="false" customHeight="false" outlineLevel="0" collapsed="false">
      <c r="B35" s="15"/>
      <c r="F35" s="1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1996-11-27T10:00:04Z</dcterms:created>
  <dc:creator>Microsoft Corporation</dc:creator>
  <dc:description/>
  <dc:language>es-ES</dc:language>
  <cp:lastModifiedBy>Raúl Sánchez</cp:lastModifiedBy>
  <dcterms:modified xsi:type="dcterms:W3CDTF">2013-03-05T22:01:07Z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