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6705" windowWidth="14805" windowHeight="8010" activeTab="2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B31" i="3" l="1"/>
  <c r="Z17" i="3"/>
  <c r="V19" i="3"/>
  <c r="I19" i="3"/>
  <c r="I18" i="3"/>
  <c r="I17" i="3"/>
  <c r="I16" i="3"/>
  <c r="I15" i="3"/>
  <c r="I14" i="3"/>
  <c r="I13" i="3"/>
  <c r="H19" i="3"/>
  <c r="H18" i="3"/>
  <c r="H17" i="3"/>
  <c r="H16" i="3"/>
  <c r="H15" i="3"/>
  <c r="H14" i="3"/>
  <c r="H13" i="3"/>
  <c r="H12" i="3"/>
  <c r="C12" i="3"/>
  <c r="B17" i="3"/>
  <c r="B16" i="3"/>
  <c r="B15" i="3"/>
  <c r="B14" i="3"/>
  <c r="B13" i="3"/>
  <c r="A17" i="3"/>
  <c r="A16" i="3"/>
  <c r="A15" i="3"/>
  <c r="A14" i="3"/>
  <c r="A13" i="3"/>
  <c r="A12" i="3"/>
  <c r="G8" i="3"/>
  <c r="J7" i="3"/>
  <c r="G45" i="2"/>
  <c r="C50" i="2"/>
  <c r="C49" i="2"/>
  <c r="B50" i="2"/>
  <c r="B6" i="2"/>
  <c r="B7" i="2" s="1"/>
  <c r="B8" i="2" s="1"/>
  <c r="B9" i="2" s="1"/>
  <c r="B10" i="2" s="1"/>
  <c r="B11" i="2" s="1"/>
  <c r="A11" i="2"/>
  <c r="A41" i="2" s="1"/>
  <c r="A10" i="2"/>
  <c r="A40" i="2" s="1"/>
  <c r="A9" i="2"/>
  <c r="A39" i="2" s="1"/>
  <c r="A8" i="2"/>
  <c r="A38" i="2" s="1"/>
  <c r="A7" i="2"/>
  <c r="A37" i="2" s="1"/>
  <c r="A6" i="2"/>
  <c r="A36" i="2" s="1"/>
  <c r="A5" i="2"/>
  <c r="A35" i="2" s="1"/>
  <c r="V19" i="1"/>
  <c r="A33" i="1"/>
  <c r="A32" i="1"/>
  <c r="A31" i="1"/>
  <c r="A30" i="1"/>
  <c r="A29" i="1"/>
  <c r="A28" i="1"/>
  <c r="A27" i="1"/>
  <c r="A26" i="1"/>
  <c r="R9" i="1"/>
  <c r="R8" i="1"/>
  <c r="R7" i="1"/>
  <c r="R6" i="1"/>
  <c r="R5" i="1"/>
  <c r="R4" i="1"/>
  <c r="R3" i="1"/>
  <c r="R2" i="1"/>
  <c r="F34" i="3" l="1"/>
  <c r="F33" i="3"/>
  <c r="T13" i="3"/>
  <c r="S12" i="3"/>
  <c r="R12" i="3"/>
  <c r="Q12" i="3"/>
  <c r="J19" i="3"/>
  <c r="J18" i="3"/>
  <c r="J17" i="3"/>
  <c r="J16" i="3"/>
  <c r="J15" i="3"/>
  <c r="J14" i="3"/>
  <c r="J13" i="3"/>
  <c r="J12" i="3"/>
  <c r="C17" i="3"/>
  <c r="C16" i="3"/>
  <c r="C15" i="3"/>
  <c r="C14" i="3"/>
  <c r="C13" i="3"/>
  <c r="I8" i="3"/>
  <c r="H8" i="3"/>
  <c r="F8" i="3"/>
  <c r="E8" i="3"/>
  <c r="D8" i="3"/>
  <c r="C8" i="3"/>
  <c r="B8" i="3"/>
  <c r="K12" i="3" s="1"/>
  <c r="J6" i="3"/>
  <c r="J5" i="3"/>
  <c r="J4" i="3"/>
  <c r="J3" i="3"/>
  <c r="J2" i="3"/>
  <c r="D12" i="3" s="1"/>
  <c r="C11" i="2"/>
  <c r="E41" i="2" s="1"/>
  <c r="C10" i="2"/>
  <c r="E40" i="2" s="1"/>
  <c r="C9" i="2"/>
  <c r="E39" i="2" s="1"/>
  <c r="C8" i="2"/>
  <c r="E38" i="2" s="1"/>
  <c r="C7" i="2"/>
  <c r="E37" i="2" s="1"/>
  <c r="C6" i="2"/>
  <c r="E36" i="2" s="1"/>
  <c r="C5" i="2"/>
  <c r="D5" i="2" s="1"/>
  <c r="N26" i="1"/>
  <c r="J8" i="3" l="1"/>
  <c r="A34" i="3"/>
  <c r="A33" i="3"/>
  <c r="F36" i="2"/>
  <c r="F38" i="2"/>
  <c r="F37" i="2"/>
  <c r="E35" i="2"/>
  <c r="R26" i="1"/>
  <c r="E5" i="2"/>
  <c r="F5" i="2"/>
  <c r="F35" i="2" l="1"/>
  <c r="Y17" i="3"/>
  <c r="Y16" i="3"/>
  <c r="Y15" i="3"/>
  <c r="Y14" i="3"/>
  <c r="Y13" i="3"/>
  <c r="Y12" i="3"/>
  <c r="X18" i="3"/>
  <c r="W18" i="3"/>
  <c r="V18" i="3"/>
  <c r="U18" i="3"/>
  <c r="T18" i="3"/>
  <c r="S18" i="3"/>
  <c r="R18" i="3"/>
  <c r="Q18" i="3"/>
  <c r="X17" i="3"/>
  <c r="W17" i="3"/>
  <c r="W16" i="3"/>
  <c r="V16" i="3"/>
  <c r="V15" i="3"/>
  <c r="U16" i="3"/>
  <c r="U15" i="3"/>
  <c r="U14" i="3"/>
  <c r="T15" i="3"/>
  <c r="T14" i="3"/>
  <c r="S14" i="3"/>
  <c r="S13" i="3"/>
  <c r="R13" i="3"/>
  <c r="K19" i="3"/>
  <c r="K18" i="3"/>
  <c r="K17" i="3"/>
  <c r="K16" i="3"/>
  <c r="K15" i="3"/>
  <c r="K14" i="3"/>
  <c r="K13" i="3"/>
  <c r="D17" i="3"/>
  <c r="D16" i="3"/>
  <c r="D15" i="3"/>
  <c r="D14" i="3"/>
  <c r="D13" i="3"/>
  <c r="X11" i="3"/>
  <c r="V11" i="3"/>
  <c r="U11" i="3"/>
  <c r="S11" i="3"/>
  <c r="P16" i="3"/>
  <c r="P13" i="3"/>
  <c r="F39" i="2"/>
  <c r="F42" i="2" l="1"/>
  <c r="L14" i="3"/>
  <c r="M14" i="3" s="1"/>
  <c r="L18" i="3"/>
  <c r="L12" i="3"/>
  <c r="M12" i="3" s="1"/>
  <c r="E17" i="3"/>
  <c r="F17" i="3" s="1"/>
  <c r="L15" i="3"/>
  <c r="M15" i="3" s="1"/>
  <c r="E14" i="3"/>
  <c r="F14" i="3" s="1"/>
  <c r="L13" i="3"/>
  <c r="M13" i="3" s="1"/>
  <c r="E12" i="3"/>
  <c r="F12" i="3" s="1"/>
  <c r="D18" i="3"/>
  <c r="Q11" i="3"/>
  <c r="R11" i="3"/>
  <c r="E15" i="3"/>
  <c r="F15" i="3" s="1"/>
  <c r="W11" i="3"/>
  <c r="Z16" i="3" s="1"/>
  <c r="K20" i="3"/>
  <c r="E16" i="3"/>
  <c r="F16" i="3" s="1"/>
  <c r="L16" i="3"/>
  <c r="M16" i="3" s="1"/>
  <c r="P12" i="3"/>
  <c r="M18" i="3"/>
  <c r="P14" i="3"/>
  <c r="E13" i="3"/>
  <c r="F13" i="3" s="1"/>
  <c r="L19" i="3"/>
  <c r="M19" i="3" s="1"/>
  <c r="T11" i="3"/>
  <c r="P15" i="3"/>
  <c r="L17" i="3"/>
  <c r="M17" i="3" s="1"/>
  <c r="P17" i="3"/>
  <c r="F11" i="2"/>
  <c r="F10" i="2"/>
  <c r="F9" i="2"/>
  <c r="F8" i="2"/>
  <c r="F7" i="2"/>
  <c r="F6" i="2"/>
  <c r="E11" i="2"/>
  <c r="E10" i="2"/>
  <c r="E9" i="2"/>
  <c r="E8" i="2"/>
  <c r="E7" i="2"/>
  <c r="E6" i="2"/>
  <c r="D11" i="2"/>
  <c r="D10" i="2"/>
  <c r="D9" i="2"/>
  <c r="D8" i="2"/>
  <c r="D7" i="2"/>
  <c r="D6" i="2"/>
  <c r="C12" i="2"/>
  <c r="U19" i="3" l="1"/>
  <c r="Z13" i="3"/>
  <c r="X19" i="3"/>
  <c r="W19" i="3"/>
  <c r="Z15" i="3"/>
  <c r="T19" i="3"/>
  <c r="R19" i="3"/>
  <c r="Z12" i="3"/>
  <c r="Q19" i="3"/>
  <c r="S19" i="3"/>
  <c r="I15" i="2"/>
  <c r="B52" i="2" s="1"/>
  <c r="D15" i="2"/>
  <c r="C15" i="2"/>
  <c r="B46" i="2" s="1"/>
  <c r="F15" i="2"/>
  <c r="B49" i="2" s="1"/>
  <c r="E15" i="2"/>
  <c r="B48" i="2" s="1"/>
  <c r="G15" i="2"/>
  <c r="H15" i="2"/>
  <c r="B51" i="2" s="1"/>
  <c r="Z14" i="3"/>
  <c r="L20" i="3"/>
  <c r="H22" i="3" s="1"/>
  <c r="H25" i="3" s="1"/>
  <c r="E18" i="3"/>
  <c r="B22" i="3" s="1"/>
  <c r="B25" i="3" s="1"/>
  <c r="F18" i="3"/>
  <c r="B23" i="3" s="1"/>
  <c r="M20" i="3"/>
  <c r="H23" i="3" s="1"/>
  <c r="H24" i="3" s="1"/>
  <c r="H26" i="3" s="1"/>
  <c r="E12" i="2"/>
  <c r="I4" i="2" s="1"/>
  <c r="B32" i="2" s="1"/>
  <c r="B35" i="2" s="1"/>
  <c r="F12" i="2"/>
  <c r="I5" i="2" s="1"/>
  <c r="B15" i="2"/>
  <c r="B45" i="2" s="1"/>
  <c r="B47" i="2"/>
  <c r="B24" i="3" l="1"/>
  <c r="B26" i="3" s="1"/>
  <c r="C45" i="2"/>
  <c r="D45" i="2" s="1"/>
  <c r="C35" i="2"/>
  <c r="I6" i="2"/>
  <c r="I7" i="2" s="1"/>
  <c r="H27" i="3"/>
  <c r="Z18" i="3"/>
  <c r="O21" i="3" s="1"/>
  <c r="O22" i="3" s="1"/>
  <c r="Y19" i="3"/>
  <c r="B38" i="2"/>
  <c r="B36" i="2"/>
  <c r="B39" i="2"/>
  <c r="B41" i="2"/>
  <c r="B37" i="2"/>
  <c r="B40" i="2"/>
  <c r="C52" i="2"/>
  <c r="D52" i="2" s="1"/>
  <c r="C51" i="2"/>
  <c r="D51" i="2" s="1"/>
  <c r="C48" i="2"/>
  <c r="D48" i="2" s="1"/>
  <c r="D50" i="2"/>
  <c r="D49" i="2"/>
  <c r="C47" i="2"/>
  <c r="D47" i="2" s="1"/>
  <c r="C46" i="2"/>
  <c r="D46" i="2" s="1"/>
  <c r="Z34" i="1"/>
  <c r="Z33" i="1"/>
  <c r="Z32" i="1"/>
  <c r="Z31" i="1"/>
  <c r="Z30" i="1"/>
  <c r="Z29" i="1"/>
  <c r="Z28" i="1"/>
  <c r="Z27" i="1"/>
  <c r="Z26" i="1"/>
  <c r="N33" i="1"/>
  <c r="R33" i="1" s="1"/>
  <c r="N32" i="1"/>
  <c r="R32" i="1" s="1"/>
  <c r="N31" i="1"/>
  <c r="R31" i="1" s="1"/>
  <c r="N30" i="1"/>
  <c r="R30" i="1" s="1"/>
  <c r="N29" i="1"/>
  <c r="R29" i="1" s="1"/>
  <c r="N28" i="1"/>
  <c r="R28" i="1" s="1"/>
  <c r="N27" i="1"/>
  <c r="C41" i="2" l="1"/>
  <c r="C40" i="2"/>
  <c r="C37" i="2"/>
  <c r="D37" i="2" s="1"/>
  <c r="C39" i="2"/>
  <c r="C36" i="2"/>
  <c r="C38" i="2"/>
  <c r="D38" i="2" s="1"/>
  <c r="G38" i="2" s="1"/>
  <c r="H38" i="2" s="1"/>
  <c r="R27" i="1"/>
  <c r="N34" i="1"/>
  <c r="R34" i="1" s="1"/>
  <c r="O24" i="3"/>
  <c r="B27" i="3"/>
  <c r="O23" i="3"/>
  <c r="B42" i="2"/>
  <c r="D35" i="2"/>
  <c r="G35" i="2" s="1"/>
  <c r="H35" i="2" s="1"/>
  <c r="D36" i="2"/>
  <c r="G36" i="2" s="1"/>
  <c r="H36" i="2" s="1"/>
  <c r="C33" i="1"/>
  <c r="Q33" i="1" s="1"/>
  <c r="S33" i="1" s="1"/>
  <c r="T33" i="1" s="1"/>
  <c r="U33" i="1" s="1"/>
  <c r="C32" i="1"/>
  <c r="Q32" i="1" s="1"/>
  <c r="S32" i="1" s="1"/>
  <c r="T32" i="1" s="1"/>
  <c r="U32" i="1" s="1"/>
  <c r="C31" i="1"/>
  <c r="Q31" i="1" s="1"/>
  <c r="S31" i="1" s="1"/>
  <c r="T31" i="1" s="1"/>
  <c r="U31" i="1" s="1"/>
  <c r="C30" i="1"/>
  <c r="Q30" i="1" s="1"/>
  <c r="S30" i="1" s="1"/>
  <c r="T30" i="1" s="1"/>
  <c r="U30" i="1" s="1"/>
  <c r="C29" i="1"/>
  <c r="Q29" i="1" s="1"/>
  <c r="S29" i="1" s="1"/>
  <c r="T29" i="1" s="1"/>
  <c r="U29" i="1" s="1"/>
  <c r="C28" i="1"/>
  <c r="Q28" i="1" s="1"/>
  <c r="S28" i="1" s="1"/>
  <c r="T28" i="1" s="1"/>
  <c r="U28" i="1" s="1"/>
  <c r="C27" i="1"/>
  <c r="Q27" i="1" s="1"/>
  <c r="C26" i="1"/>
  <c r="Q26" i="1" s="1"/>
  <c r="R10" i="1"/>
  <c r="Q10" i="1"/>
  <c r="M17" i="1" s="1"/>
  <c r="X28" i="1" s="1"/>
  <c r="AA28" i="1" s="1"/>
  <c r="M5" i="1"/>
  <c r="N1" i="1"/>
  <c r="N3" i="1" s="1"/>
  <c r="S4" i="1" s="1"/>
  <c r="O25" i="3" l="1"/>
  <c r="Q30" i="3" s="1"/>
  <c r="G31" i="3" s="1"/>
  <c r="S27" i="1"/>
  <c r="T27" i="1" s="1"/>
  <c r="U27" i="1" s="1"/>
  <c r="Q34" i="1"/>
  <c r="V21" i="1" s="1"/>
  <c r="S26" i="1"/>
  <c r="T26" i="1" s="1"/>
  <c r="U26" i="1" s="1"/>
  <c r="G37" i="2"/>
  <c r="H37" i="2" s="1"/>
  <c r="D39" i="2"/>
  <c r="G39" i="2" s="1"/>
  <c r="H39" i="2" s="1"/>
  <c r="C34" i="1"/>
  <c r="K26" i="1"/>
  <c r="S5" i="1"/>
  <c r="M18" i="1"/>
  <c r="X29" i="1" s="1"/>
  <c r="AA29" i="1" s="1"/>
  <c r="M19" i="1"/>
  <c r="X30" i="1" s="1"/>
  <c r="AA30" i="1" s="1"/>
  <c r="M20" i="1"/>
  <c r="X31" i="1" s="1"/>
  <c r="AA31" i="1" s="1"/>
  <c r="S6" i="1"/>
  <c r="S7" i="1"/>
  <c r="S8" i="1"/>
  <c r="S9" i="1"/>
  <c r="M23" i="1"/>
  <c r="X34" i="1" s="1"/>
  <c r="AA34" i="1" s="1"/>
  <c r="S3" i="1"/>
  <c r="M21" i="1"/>
  <c r="X32" i="1" s="1"/>
  <c r="AA32" i="1" s="1"/>
  <c r="M22" i="1"/>
  <c r="X33" i="1" s="1"/>
  <c r="AA33" i="1" s="1"/>
  <c r="S2" i="1"/>
  <c r="M15" i="1"/>
  <c r="X26" i="1" s="1"/>
  <c r="AA26" i="1" s="1"/>
  <c r="M16" i="1"/>
  <c r="X27" i="1" s="1"/>
  <c r="AA27" i="1" s="1"/>
  <c r="M6" i="1"/>
  <c r="B26" i="1" s="1"/>
  <c r="D26" i="1" s="1"/>
  <c r="Q29" i="3" l="1"/>
  <c r="B33" i="3" s="1"/>
  <c r="U34" i="1"/>
  <c r="V15" i="1" s="1"/>
  <c r="B38" i="3"/>
  <c r="H31" i="3"/>
  <c r="G34" i="3" s="1"/>
  <c r="H42" i="2"/>
  <c r="K34" i="2" s="1"/>
  <c r="G33" i="3"/>
  <c r="W26" i="1"/>
  <c r="A37" i="1"/>
  <c r="K27" i="1"/>
  <c r="M7" i="1"/>
  <c r="C31" i="3" l="1"/>
  <c r="B34" i="3" s="1"/>
  <c r="W27" i="1"/>
  <c r="A38" i="1"/>
  <c r="K28" i="1"/>
  <c r="F26" i="1"/>
  <c r="E26" i="1" s="1"/>
  <c r="B27" i="1"/>
  <c r="D27" i="1" s="1"/>
  <c r="M8" i="1"/>
  <c r="F27" i="1" l="1"/>
  <c r="E27" i="1" s="1"/>
  <c r="W28" i="1"/>
  <c r="A39" i="1"/>
  <c r="K29" i="1"/>
  <c r="B28" i="1"/>
  <c r="D28" i="1" s="1"/>
  <c r="M9" i="1"/>
  <c r="B29" i="1" s="1"/>
  <c r="D29" i="1" s="1"/>
  <c r="W29" i="1" l="1"/>
  <c r="A40" i="1"/>
  <c r="F28" i="1"/>
  <c r="K30" i="1"/>
  <c r="F29" i="1"/>
  <c r="E29" i="1" s="1"/>
  <c r="M10" i="1"/>
  <c r="W30" i="1" l="1"/>
  <c r="A41" i="1"/>
  <c r="K31" i="1"/>
  <c r="B30" i="1"/>
  <c r="D30" i="1" s="1"/>
  <c r="E28" i="1"/>
  <c r="M11" i="1"/>
  <c r="B31" i="1" s="1"/>
  <c r="F31" i="1" s="1"/>
  <c r="E31" i="1" s="1"/>
  <c r="F30" i="1" l="1"/>
  <c r="E30" i="1" s="1"/>
  <c r="W31" i="1"/>
  <c r="A42" i="1"/>
  <c r="D31" i="1"/>
  <c r="K32" i="1"/>
  <c r="M12" i="1"/>
  <c r="W32" i="1" l="1"/>
  <c r="A43" i="1"/>
  <c r="K33" i="1"/>
  <c r="B32" i="1"/>
  <c r="D32" i="1" s="1"/>
  <c r="M13" i="1"/>
  <c r="K34" i="1" s="1"/>
  <c r="W34" i="1" l="1"/>
  <c r="A45" i="1"/>
  <c r="W33" i="1"/>
  <c r="A44" i="1"/>
  <c r="F32" i="1"/>
  <c r="B33" i="1"/>
  <c r="D33" i="1" s="1"/>
  <c r="D34" i="1" s="1"/>
  <c r="I25" i="1" s="1"/>
  <c r="F33" i="1" l="1"/>
  <c r="E33" i="1" s="1"/>
  <c r="E32" i="1"/>
  <c r="F34" i="1"/>
  <c r="E34" i="1" l="1"/>
  <c r="I26" i="1" s="1"/>
  <c r="I27" i="1" s="1"/>
  <c r="I28" i="1" l="1"/>
  <c r="I29" i="1"/>
  <c r="I30" i="1" s="1"/>
  <c r="B43" i="1" s="1"/>
  <c r="L30" i="1" l="1"/>
  <c r="L29" i="1"/>
  <c r="L33" i="1"/>
  <c r="B39" i="1"/>
  <c r="B45" i="1"/>
  <c r="I33" i="1"/>
  <c r="L31" i="1"/>
  <c r="B41" i="1"/>
  <c r="L34" i="1"/>
  <c r="B42" i="1"/>
  <c r="L43" i="1"/>
  <c r="L45" i="1" s="1"/>
  <c r="B37" i="1"/>
  <c r="L37" i="1"/>
  <c r="L38" i="1" s="1"/>
  <c r="I32" i="1"/>
  <c r="L26" i="1"/>
  <c r="B40" i="1"/>
  <c r="L32" i="1"/>
  <c r="L28" i="1"/>
  <c r="B44" i="1"/>
  <c r="L27" i="1"/>
  <c r="B38" i="1"/>
  <c r="L39" i="1" l="1"/>
  <c r="L44" i="1"/>
</calcChain>
</file>

<file path=xl/sharedStrings.xml><?xml version="1.0" encoding="utf-8"?>
<sst xmlns="http://schemas.openxmlformats.org/spreadsheetml/2006/main" count="219" uniqueCount="182">
  <si>
    <t xml:space="preserve">xmax −xmin </t>
  </si>
  <si>
    <t>число интервалов</t>
  </si>
  <si>
    <t>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</si>
  <si>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</si>
  <si>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</si>
  <si>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</si>
  <si>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</si>
  <si>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</si>
  <si>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</si>
  <si>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</si>
  <si>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</si>
  <si>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</si>
  <si>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Интервалы</t>
  </si>
  <si>
    <r>
      <t>∑</t>
    </r>
    <r>
      <rPr>
        <sz val="12"/>
        <color rgb="FF000000"/>
        <rFont val="Times New Roman"/>
        <family val="1"/>
        <charset val="204"/>
      </rPr>
      <t xml:space="preserve"> </t>
    </r>
  </si>
  <si>
    <t xml:space="preserve"> </t>
  </si>
  <si>
    <t>сумма</t>
  </si>
  <si>
    <t>wi /h</t>
  </si>
  <si>
    <t xml:space="preserve">mi </t>
  </si>
  <si>
    <t xml:space="preserve">wi </t>
  </si>
  <si>
    <r>
      <t>a</t>
    </r>
    <r>
      <rPr>
        <sz val="11.5"/>
        <color rgb="FF000000"/>
        <rFont val="Times New Roman"/>
        <family val="1"/>
        <charset val="204"/>
      </rPr>
      <t>i</t>
    </r>
    <r>
      <rPr>
        <sz val="14"/>
        <color rgb="FF000000"/>
        <rFont val="Segoe UI Symbol"/>
        <family val="2"/>
      </rPr>
      <t>−</t>
    </r>
    <r>
      <rPr>
        <sz val="15"/>
        <color rgb="FF000000"/>
        <rFont val="Times New Roman"/>
        <family val="1"/>
        <charset val="204"/>
      </rPr>
      <t>a</t>
    </r>
    <r>
      <rPr>
        <sz val="11.5"/>
        <color rgb="FF000000"/>
        <rFont val="Times New Roman"/>
        <family val="1"/>
        <charset val="204"/>
      </rPr>
      <t>i</t>
    </r>
    <r>
      <rPr>
        <sz val="11"/>
        <color rgb="FF000000"/>
        <rFont val="Segoe UI Symbol"/>
        <family val="2"/>
      </rPr>
      <t>+</t>
    </r>
    <r>
      <rPr>
        <sz val="11"/>
        <color rgb="FF000000"/>
        <rFont val="Times New Roman"/>
        <family val="1"/>
        <charset val="204"/>
      </rPr>
      <t>1</t>
    </r>
    <r>
      <rPr>
        <sz val="12"/>
        <color rgb="FF000000"/>
        <rFont val="Times New Roman"/>
        <family val="1"/>
        <charset val="204"/>
      </rPr>
      <t xml:space="preserve"> </t>
    </r>
  </si>
  <si>
    <r>
      <t>x</t>
    </r>
    <r>
      <rPr>
        <vertAlign val="subscript"/>
        <sz val="15"/>
        <color rgb="FF000000"/>
        <rFont val="Times New Roman"/>
        <family val="1"/>
        <charset val="204"/>
      </rPr>
      <t>i</t>
    </r>
    <r>
      <rPr>
        <sz val="12"/>
        <color rgb="FF000000"/>
        <rFont val="Times New Roman"/>
        <family val="1"/>
        <charset val="204"/>
      </rPr>
      <t xml:space="preserve"> </t>
    </r>
  </si>
  <si>
    <r>
      <t>m</t>
    </r>
    <r>
      <rPr>
        <vertAlign val="subscript"/>
        <sz val="15"/>
        <color rgb="FF000000"/>
        <rFont val="Times New Roman"/>
        <family val="1"/>
        <charset val="204"/>
      </rPr>
      <t>i</t>
    </r>
    <r>
      <rPr>
        <sz val="12"/>
        <color rgb="FF000000"/>
        <rFont val="Times New Roman"/>
        <family val="1"/>
        <charset val="204"/>
      </rPr>
      <t xml:space="preserve"> </t>
    </r>
  </si>
  <si>
    <r>
      <t>x</t>
    </r>
    <r>
      <rPr>
        <sz val="11.5"/>
        <color rgb="FF000000"/>
        <rFont val="Times New Roman"/>
        <family val="1"/>
        <charset val="204"/>
      </rPr>
      <t>i</t>
    </r>
    <r>
      <rPr>
        <sz val="15"/>
        <color rgb="FF000000"/>
        <rFont val="Times New Roman"/>
        <family val="1"/>
        <charset val="204"/>
      </rPr>
      <t>m</t>
    </r>
    <r>
      <rPr>
        <sz val="11.5"/>
        <color rgb="FF000000"/>
        <rFont val="Times New Roman"/>
        <family val="1"/>
        <charset val="204"/>
      </rPr>
      <t>i</t>
    </r>
    <r>
      <rPr>
        <sz val="12"/>
        <color rgb="FF000000"/>
        <rFont val="Times New Roman"/>
        <family val="1"/>
        <charset val="204"/>
      </rPr>
      <t xml:space="preserve"> </t>
    </r>
  </si>
  <si>
    <r>
      <t>x</t>
    </r>
    <r>
      <rPr>
        <sz val="11.5"/>
        <color rgb="FF000000"/>
        <rFont val="Times New Roman"/>
        <family val="1"/>
        <charset val="204"/>
      </rPr>
      <t>i</t>
    </r>
    <r>
      <rPr>
        <sz val="11"/>
        <color rgb="FF000000"/>
        <rFont val="Times New Roman"/>
        <family val="1"/>
        <charset val="204"/>
      </rPr>
      <t>2</t>
    </r>
    <r>
      <rPr>
        <sz val="14.5"/>
        <color rgb="FF000000"/>
        <rFont val="Times New Roman"/>
        <family val="1"/>
        <charset val="204"/>
      </rPr>
      <t>m</t>
    </r>
    <r>
      <rPr>
        <sz val="11.5"/>
        <color rgb="FF000000"/>
        <rFont val="Times New Roman"/>
        <family val="1"/>
        <charset val="204"/>
      </rPr>
      <t>i</t>
    </r>
    <r>
      <rPr>
        <sz val="12"/>
        <color rgb="FF000000"/>
        <rFont val="Times New Roman"/>
        <family val="1"/>
        <charset val="204"/>
      </rPr>
      <t xml:space="preserve"> </t>
    </r>
  </si>
  <si>
    <t>xi2</t>
  </si>
  <si>
    <t>хв</t>
  </si>
  <si>
    <t>х2</t>
  </si>
  <si>
    <t>D</t>
  </si>
  <si>
    <t>q</t>
  </si>
  <si>
    <t>s2</t>
  </si>
  <si>
    <t>s</t>
  </si>
  <si>
    <t>хв-3s</t>
  </si>
  <si>
    <t>хв+3s</t>
  </si>
  <si>
    <t>ai</t>
  </si>
  <si>
    <t>(ai-хв)/s</t>
  </si>
  <si>
    <t>Ф(ui)</t>
  </si>
  <si>
    <t>Pi</t>
  </si>
  <si>
    <t xml:space="preserve">∑ </t>
  </si>
  <si>
    <t>№</t>
  </si>
  <si>
    <t>mi'</t>
  </si>
  <si>
    <t>mi-mi'</t>
  </si>
  <si>
    <t>(mi-mi')2</t>
  </si>
  <si>
    <t>((mi-mi')2)/mi'</t>
  </si>
  <si>
    <t>x2набл</t>
  </si>
  <si>
    <t>х2крит</t>
  </si>
  <si>
    <t>Гипотеза о нормальном распределении принимается</t>
  </si>
  <si>
    <t>Правило 3 сигм принимается</t>
  </si>
  <si>
    <t>F*(ai)</t>
  </si>
  <si>
    <t>0,5+Ф(ui)</t>
  </si>
  <si>
    <t>F(ai)</t>
  </si>
  <si>
    <t>|F*(ai)-F(ai)|</t>
  </si>
  <si>
    <t>max|F*(ai)-F(ai)|</t>
  </si>
  <si>
    <r>
      <t>λ</t>
    </r>
    <r>
      <rPr>
        <sz val="11"/>
        <color theme="1"/>
        <rFont val="Calibri"/>
        <family val="2"/>
      </rPr>
      <t>крит</t>
    </r>
  </si>
  <si>
    <t>λопыт</t>
  </si>
  <si>
    <t>f(ai)</t>
  </si>
  <si>
    <t>δ</t>
  </si>
  <si>
    <t>ty</t>
  </si>
  <si>
    <t>хв-δ</t>
  </si>
  <si>
    <t>хв+δ</t>
  </si>
  <si>
    <t>Ϭ</t>
  </si>
  <si>
    <t>s-δ</t>
  </si>
  <si>
    <t>s+δ</t>
  </si>
  <si>
    <t>mi</t>
  </si>
  <si>
    <t>ai-ai+1</t>
  </si>
  <si>
    <t>xi</t>
  </si>
  <si>
    <t>mi/h</t>
  </si>
  <si>
    <t>xi*mi</t>
  </si>
  <si>
    <t>xi2*mi</t>
  </si>
  <si>
    <t>Сумма</t>
  </si>
  <si>
    <t>Dв</t>
  </si>
  <si>
    <t>λ</t>
  </si>
  <si>
    <t>|mi-mi'|</t>
  </si>
  <si>
    <t>х2набл</t>
  </si>
  <si>
    <t>Ϭв</t>
  </si>
  <si>
    <t>Гипотеза H0 не отвергается</t>
  </si>
  <si>
    <t>λкрит</t>
  </si>
  <si>
    <t>X\Y</t>
  </si>
  <si>
    <t>mx</t>
  </si>
  <si>
    <t>my</t>
  </si>
  <si>
    <t>n</t>
  </si>
  <si>
    <t>Xi</t>
  </si>
  <si>
    <t>ui</t>
  </si>
  <si>
    <t>ui*mx</t>
  </si>
  <si>
    <t>ui2*mx</t>
  </si>
  <si>
    <t>С1</t>
  </si>
  <si>
    <t>С2</t>
  </si>
  <si>
    <t>vj</t>
  </si>
  <si>
    <t>Yj</t>
  </si>
  <si>
    <t>vj2*my</t>
  </si>
  <si>
    <t>vj*my</t>
  </si>
  <si>
    <t>uв</t>
  </si>
  <si>
    <t>u2</t>
  </si>
  <si>
    <t>Du</t>
  </si>
  <si>
    <t>Dx</t>
  </si>
  <si>
    <t>vв</t>
  </si>
  <si>
    <t>v2</t>
  </si>
  <si>
    <t>Dv</t>
  </si>
  <si>
    <t>yв</t>
  </si>
  <si>
    <t>Dy</t>
  </si>
  <si>
    <t>ui\vi</t>
  </si>
  <si>
    <t>ui*S(vj*mxy)</t>
  </si>
  <si>
    <t>uv</t>
  </si>
  <si>
    <t>uv-u*v</t>
  </si>
  <si>
    <t>Ϭu</t>
  </si>
  <si>
    <t>Ϭv</t>
  </si>
  <si>
    <t>Ϭx</t>
  </si>
  <si>
    <t>Ϭy</t>
  </si>
  <si>
    <t>rв</t>
  </si>
  <si>
    <t>x</t>
  </si>
  <si>
    <t>y</t>
  </si>
  <si>
    <t>yx-yв=rв*(Ϭy/Ϭx)(x-xв)</t>
  </si>
  <si>
    <t>rв*(Ϭy/Ϭx)</t>
  </si>
  <si>
    <t>rв*(Ϭx/Ϭy)</t>
  </si>
  <si>
    <t>xy-xв=rв*(Ϭx/Ϭy)(y-yв)</t>
  </si>
  <si>
    <t>Yx</t>
  </si>
  <si>
    <t>Xy</t>
  </si>
  <si>
    <t>|tнабл|</t>
  </si>
  <si>
    <t>tкрит</t>
  </si>
  <si>
    <t>h1</t>
  </si>
  <si>
    <t>h2</t>
  </si>
  <si>
    <t>Интервалы Y</t>
  </si>
  <si>
    <t>vj*S(ui*mxy)</t>
  </si>
  <si>
    <t>|tнабл|&gt;2 Не отвергаем и не принимаем гипотезу H1</t>
  </si>
  <si>
    <t>rв - значимый коэфициент</t>
  </si>
  <si>
    <t>0,5-0,5</t>
  </si>
  <si>
    <t>0,5+0,5</t>
  </si>
  <si>
    <t>20-42,5</t>
  </si>
  <si>
    <t>42,5-65</t>
  </si>
  <si>
    <t>65-87,5</t>
  </si>
  <si>
    <t>87,5-110</t>
  </si>
  <si>
    <t>110-132,5</t>
  </si>
  <si>
    <t>132,5-155</t>
  </si>
  <si>
    <t>155-177,5</t>
  </si>
  <si>
    <t>177,5-200</t>
  </si>
  <si>
    <t>F*(20)</t>
  </si>
  <si>
    <t>F*(42,5)</t>
  </si>
  <si>
    <t>F*(65)</t>
  </si>
  <si>
    <t>F*(87,5)</t>
  </si>
  <si>
    <t>F*(110)</t>
  </si>
  <si>
    <t>F*(132,5)</t>
  </si>
  <si>
    <t>F*(155)</t>
  </si>
  <si>
    <t>F*(177,5)</t>
  </si>
  <si>
    <t>F*(200)</t>
  </si>
  <si>
    <t>-0,4332</t>
  </si>
  <si>
    <t>-0,3461</t>
  </si>
  <si>
    <t>-0,2019</t>
  </si>
  <si>
    <t>-0,0199</t>
  </si>
  <si>
    <t>0,1654</t>
  </si>
  <si>
    <t>0,3186</t>
  </si>
  <si>
    <t>0,4192</t>
  </si>
  <si>
    <t>0,5-0,4332</t>
  </si>
  <si>
    <t>0,5-0,3461</t>
  </si>
  <si>
    <t>0,5-0,2019</t>
  </si>
  <si>
    <t>0,5-0,0199</t>
  </si>
  <si>
    <t>0,5+0,1654</t>
  </si>
  <si>
    <t>0,5+0,3186</t>
  </si>
  <si>
    <t>0,5+0,4192</t>
  </si>
  <si>
    <t>a∈(103,26;121,68)</t>
  </si>
  <si>
    <t>P(103,26&lt;a&lt;121,68)=0,95</t>
  </si>
  <si>
    <t>Ϭ∈(39,8;53,08)</t>
  </si>
  <si>
    <t>P(39,8&lt;Ϭ&lt;53,08)=0,95</t>
  </si>
  <si>
    <t>0-44</t>
  </si>
  <si>
    <t>44-88</t>
  </si>
  <si>
    <t>88-132</t>
  </si>
  <si>
    <t>132-176</t>
  </si>
  <si>
    <t>176-220</t>
  </si>
  <si>
    <t>220-264</t>
  </si>
  <si>
    <t>264-308</t>
  </si>
  <si>
    <t>140-180</t>
  </si>
  <si>
    <t>180-220</t>
  </si>
  <si>
    <t>220-260</t>
  </si>
  <si>
    <t>260-300</t>
  </si>
  <si>
    <t>300-340</t>
  </si>
  <si>
    <t>340-380</t>
  </si>
  <si>
    <t>380-420</t>
  </si>
  <si>
    <t>420-460</t>
  </si>
  <si>
    <t>9,1-14,1</t>
  </si>
  <si>
    <t>14,1-19,1</t>
  </si>
  <si>
    <t>19,1-24,1</t>
  </si>
  <si>
    <t>24,1-29,1</t>
  </si>
  <si>
    <t>29,1-34,1</t>
  </si>
  <si>
    <t>34,1-39,1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</si>
</sst>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5"/>
      <color rgb="FF000000"/>
      <name val="Times New Roman"/>
      <family val="1"/>
      <charset val="204"/>
    </font>
    <font>
      <sz val="11.5"/>
      <color rgb="FF000000"/>
      <name val="Times New Roman"/>
      <family val="1"/>
      <charset val="204"/>
    </font>
    <font>
      <sz val="20"/>
      <color rgb="FF000000"/>
      <name val="Segoe UI Symbol"/>
      <family val="2"/>
    </font>
    <font>
      <sz val="14"/>
      <color rgb="FF000000"/>
      <name val="Segoe UI Symbol"/>
      <family val="2"/>
    </font>
    <font>
      <sz val="16"/>
      <color rgb="FF000000"/>
      <name val="Segoe UI Symbol"/>
      <family val="2"/>
    </font>
    <font>
      <sz val="11"/>
      <color rgb="FF000000"/>
      <name val="Segoe UI Symbol"/>
      <family val="2"/>
    </font>
    <font>
      <sz val="11"/>
      <color rgb="FF000000"/>
      <name val="Times New Roman"/>
      <family val="1"/>
      <charset val="204"/>
    </font>
    <font>
      <vertAlign val="subscript"/>
      <sz val="15"/>
      <color rgb="FF000000"/>
      <name val="Times New Roman"/>
      <family val="1"/>
      <charset val="204"/>
    </font>
    <font>
      <sz val="14.5"/>
      <color rgb="FF000000"/>
      <name val="Times New Roman"/>
      <family val="1"/>
      <charset val="204"/>
    </font>
    <font>
      <sz val="14.5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i/>
      <sz val="11"/>
      <color theme="1"/>
      <name val="Calibri"/>
      <family val="2"/>
      <charset val="204"/>
      <scheme val="minor"/>
    </font>
    <font>
      <sz val="14"/>
      <color theme="1"/>
      <name val="Arial"/>
      <family val="2"/>
      <charset val="204"/>
    </font>
    <font>
      <sz val="16"/>
      <color theme="1"/>
      <name val="Arial"/>
      <family val="2"/>
      <charset val="204"/>
    </font>
    <font>
      <sz val="16"/>
      <color theme="1"/>
      <name val="Calibri"/>
      <family val="2"/>
      <scheme val="minor"/>
    </font>
    <font>
      <sz val="14.5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</borders>
  <cellStyleXfs count="2">
    <xf numFmtId="0" fontId="0" fillId="0" borderId="0"/>
    <xf numFmtId="0" fontId="12" fillId="0" borderId="5"/>
  </cellStyleXfs>
  <cellXfs count="40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 indent="1"/>
    </xf>
    <xf numFmtId="0" fontId="7" fillId="0" borderId="3" xfId="0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2" fillId="0" borderId="5" xfId="1"/>
    <xf numFmtId="0" fontId="12" fillId="0" borderId="5" xfId="1" applyNumberFormat="1"/>
    <xf numFmtId="0" fontId="12" fillId="0" borderId="5" xfId="1" applyNumberFormat="1" applyAlignment="1">
      <alignment horizontal="center"/>
    </xf>
    <xf numFmtId="0" fontId="12" fillId="0" borderId="5" xfId="1" applyAlignment="1">
      <alignment horizontal="center"/>
    </xf>
    <xf numFmtId="0" fontId="13" fillId="0" borderId="0" xfId="0" applyFont="1"/>
    <xf numFmtId="0" fontId="15" fillId="0" borderId="0" xfId="0" applyFont="1"/>
    <xf numFmtId="164" fontId="12" fillId="0" borderId="5" xfId="1" applyNumberFormat="1"/>
    <xf numFmtId="0" fontId="16" fillId="0" borderId="0" xfId="0" applyFont="1"/>
    <xf numFmtId="0" fontId="16" fillId="0" borderId="0" xfId="1" applyFont="1" applyFill="1" applyBorder="1"/>
    <xf numFmtId="0" fontId="17" fillId="0" borderId="0" xfId="0" applyFont="1"/>
    <xf numFmtId="0" fontId="18" fillId="0" borderId="0" xfId="0" applyFont="1"/>
    <xf numFmtId="0" fontId="17" fillId="0" borderId="0" xfId="1" applyFont="1" applyFill="1" applyBorder="1"/>
    <xf numFmtId="0" fontId="1" fillId="0" borderId="1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2" fillId="0" borderId="5" xfId="1" applyFill="1" applyAlignment="1">
      <alignment horizontal="center"/>
    </xf>
    <xf numFmtId="164" fontId="12" fillId="0" borderId="5" xfId="1" applyNumberFormat="1" applyFill="1"/>
    <xf numFmtId="164" fontId="12" fillId="3" borderId="5" xfId="1" applyNumberFormat="1" applyFill="1"/>
    <xf numFmtId="49" fontId="12" fillId="0" borderId="5" xfId="1" applyNumberFormat="1"/>
    <xf numFmtId="0" fontId="12" fillId="0" borderId="6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7" xfId="1" applyBorder="1" applyAlignment="1">
      <alignment horizontal="center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9" fillId="3" borderId="5" xfId="1" applyFont="1" applyFill="1" applyAlignment="1">
      <alignment horizontal="center"/>
    </xf>
  </cellXfs>
  <cellStyles count="2">
    <cellStyle name="Обычный" xfId="0" builtinId="0"/>
    <cellStyle name="Рита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относительных частот</a:t>
            </a:r>
          </a:p>
        </c:rich>
      </c:tx>
      <c:layout>
        <c:manualLayout>
          <c:xMode val="edge"/>
          <c:yMode val="edge"/>
          <c:x val="0.3108911983869706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Лист1!$P$2</c:f>
              <c:strCache>
                <c:ptCount val="1"/>
                <c:pt idx="0">
                  <c:v>20-42,5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Лист1!$S$2</c:f>
              <c:numCache>
                <c:formatCode>General</c:formatCode>
                <c:ptCount val="1"/>
                <c:pt idx="0">
                  <c:v>3.5555555555555557E-3</c:v>
                </c:pt>
              </c:numCache>
            </c:numRef>
          </c:val>
        </c:ser>
        <c:ser>
          <c:idx val="0"/>
          <c:order val="1"/>
          <c:tx>
            <c:strRef>
              <c:f>Лист1!$P$3</c:f>
              <c:strCache>
                <c:ptCount val="1"/>
                <c:pt idx="0">
                  <c:v>42,5-65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Лист1!$S$3</c:f>
              <c:numCache>
                <c:formatCode>0.00</c:formatCode>
                <c:ptCount val="1"/>
                <c:pt idx="0">
                  <c:v>4.4444444444444444E-3</c:v>
                </c:pt>
              </c:numCache>
            </c:numRef>
          </c:val>
        </c:ser>
        <c:ser>
          <c:idx val="1"/>
          <c:order val="2"/>
          <c:tx>
            <c:strRef>
              <c:f>Лист1!$P$4</c:f>
              <c:strCache>
                <c:ptCount val="1"/>
                <c:pt idx="0">
                  <c:v>65-87,5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Лист1!$S$4</c:f>
              <c:numCache>
                <c:formatCode>0.00</c:formatCode>
                <c:ptCount val="1"/>
                <c:pt idx="0">
                  <c:v>6.2222222222222227E-3</c:v>
                </c:pt>
              </c:numCache>
            </c:numRef>
          </c:val>
        </c:ser>
        <c:ser>
          <c:idx val="3"/>
          <c:order val="3"/>
          <c:tx>
            <c:strRef>
              <c:f>Лист1!$P$5</c:f>
              <c:strCache>
                <c:ptCount val="1"/>
                <c:pt idx="0">
                  <c:v>87,5-110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Лист1!$S$5</c:f>
              <c:numCache>
                <c:formatCode>0.00</c:formatCode>
                <c:ptCount val="1"/>
                <c:pt idx="0">
                  <c:v>6.6666666666666662E-3</c:v>
                </c:pt>
              </c:numCache>
            </c:numRef>
          </c:val>
        </c:ser>
        <c:ser>
          <c:idx val="4"/>
          <c:order val="4"/>
          <c:tx>
            <c:strRef>
              <c:f>Лист1!$P$6</c:f>
              <c:strCache>
                <c:ptCount val="1"/>
                <c:pt idx="0">
                  <c:v>110-132,5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Лист1!$S$6</c:f>
              <c:numCache>
                <c:formatCode>0.00</c:formatCode>
                <c:ptCount val="1"/>
                <c:pt idx="0">
                  <c:v>8.0000000000000002E-3</c:v>
                </c:pt>
              </c:numCache>
            </c:numRef>
          </c:val>
        </c:ser>
        <c:ser>
          <c:idx val="5"/>
          <c:order val="5"/>
          <c:tx>
            <c:strRef>
              <c:f>Лист1!$P$7</c:f>
              <c:strCache>
                <c:ptCount val="1"/>
                <c:pt idx="0">
                  <c:v>132,5-155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Лист1!$S$7</c:f>
              <c:numCache>
                <c:formatCode>0.00</c:formatCode>
                <c:ptCount val="1"/>
                <c:pt idx="0">
                  <c:v>6.2222222222222227E-3</c:v>
                </c:pt>
              </c:numCache>
            </c:numRef>
          </c:val>
        </c:ser>
        <c:ser>
          <c:idx val="6"/>
          <c:order val="6"/>
          <c:tx>
            <c:strRef>
              <c:f>Лист1!$P$8</c:f>
              <c:strCache>
                <c:ptCount val="1"/>
                <c:pt idx="0">
                  <c:v>155-177,5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Лист1!$S$8</c:f>
              <c:numCache>
                <c:formatCode>0.00</c:formatCode>
                <c:ptCount val="1"/>
                <c:pt idx="0">
                  <c:v>4.8888888888888888E-3</c:v>
                </c:pt>
              </c:numCache>
            </c:numRef>
          </c:val>
        </c:ser>
        <c:ser>
          <c:idx val="7"/>
          <c:order val="7"/>
          <c:tx>
            <c:strRef>
              <c:f>Лист1!$P$9</c:f>
              <c:strCache>
                <c:ptCount val="1"/>
                <c:pt idx="0">
                  <c:v>177,5-200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Лист1!$S$9</c:f>
              <c:numCache>
                <c:formatCode>0.00</c:formatCode>
                <c:ptCount val="1"/>
                <c:pt idx="0">
                  <c:v>4.4444444444444444E-3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7700104"/>
        <c:axId val="357735216"/>
        <c:axId val="0"/>
      </c:bar3DChart>
      <c:catAx>
        <c:axId val="357700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Интервалы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735216"/>
        <c:crosses val="autoZero"/>
        <c:auto val="1"/>
        <c:lblAlgn val="ctr"/>
        <c:lblOffset val="100"/>
        <c:noMultiLvlLbl val="0"/>
      </c:catAx>
      <c:valAx>
        <c:axId val="35773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Wi/h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3348584774792943"/>
              <c:y val="0.164420749489647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70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75000"/>
                </a:schemeClr>
              </a:solidFill>
              <a:ln>
                <a:noFill/>
              </a:ln>
              <a:effectLst/>
            </c:spPr>
          </c:marker>
          <c:cat>
            <c:numRef>
              <c:f>Лист1!$M$5:$M$13</c:f>
              <c:numCache>
                <c:formatCode>General</c:formatCode>
                <c:ptCount val="9"/>
                <c:pt idx="0">
                  <c:v>20</c:v>
                </c:pt>
                <c:pt idx="1">
                  <c:v>42.5</c:v>
                </c:pt>
                <c:pt idx="2">
                  <c:v>65</c:v>
                </c:pt>
                <c:pt idx="3">
                  <c:v>87.5</c:v>
                </c:pt>
                <c:pt idx="4">
                  <c:v>110</c:v>
                </c:pt>
                <c:pt idx="5">
                  <c:v>132.5</c:v>
                </c:pt>
                <c:pt idx="6">
                  <c:v>155</c:v>
                </c:pt>
                <c:pt idx="7">
                  <c:v>177.5</c:v>
                </c:pt>
                <c:pt idx="8">
                  <c:v>200</c:v>
                </c:pt>
              </c:numCache>
            </c:numRef>
          </c:cat>
          <c:val>
            <c:numRef>
              <c:f>Лист1!$M$15:$M$23</c:f>
              <c:numCache>
                <c:formatCode>General</c:formatCode>
                <c:ptCount val="9"/>
                <c:pt idx="0">
                  <c:v>0</c:v>
                </c:pt>
                <c:pt idx="1">
                  <c:v>0.08</c:v>
                </c:pt>
                <c:pt idx="2">
                  <c:v>0.18</c:v>
                </c:pt>
                <c:pt idx="3">
                  <c:v>0.32</c:v>
                </c:pt>
                <c:pt idx="4">
                  <c:v>0.47</c:v>
                </c:pt>
                <c:pt idx="5">
                  <c:v>0.65</c:v>
                </c:pt>
                <c:pt idx="6">
                  <c:v>0.79</c:v>
                </c:pt>
                <c:pt idx="7">
                  <c:v>0.9</c:v>
                </c:pt>
                <c:pt idx="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  <a:effectLst/>
          </c:spPr>
        </c:dropLines>
        <c:marker val="1"/>
        <c:smooth val="0"/>
        <c:axId val="357787296"/>
        <c:axId val="357787680"/>
      </c:lineChart>
      <c:catAx>
        <c:axId val="35778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787680"/>
        <c:crosses val="autoZero"/>
        <c:auto val="1"/>
        <c:lblAlgn val="ctr"/>
        <c:lblOffset val="100"/>
        <c:noMultiLvlLbl val="0"/>
      </c:catAx>
      <c:valAx>
        <c:axId val="35778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78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относительных частот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noFill/>
            <a:ln w="19050" cmpd="sng">
              <a:solidFill>
                <a:schemeClr val="tx1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Лист1!$A$37:$A$45</c:f>
              <c:numCache>
                <c:formatCode>General</c:formatCode>
                <c:ptCount val="9"/>
                <c:pt idx="0">
                  <c:v>20</c:v>
                </c:pt>
                <c:pt idx="1">
                  <c:v>42.5</c:v>
                </c:pt>
                <c:pt idx="2">
                  <c:v>65</c:v>
                </c:pt>
                <c:pt idx="3">
                  <c:v>87.5</c:v>
                </c:pt>
                <c:pt idx="4">
                  <c:v>110</c:v>
                </c:pt>
                <c:pt idx="5">
                  <c:v>132.5</c:v>
                </c:pt>
                <c:pt idx="6">
                  <c:v>155</c:v>
                </c:pt>
                <c:pt idx="7">
                  <c:v>177.5</c:v>
                </c:pt>
                <c:pt idx="8">
                  <c:v>200</c:v>
                </c:pt>
              </c:numCache>
            </c:numRef>
          </c:cat>
          <c:val>
            <c:numRef>
              <c:f>Лист1!$S$2:$S$9</c:f>
              <c:numCache>
                <c:formatCode>0.00</c:formatCode>
                <c:ptCount val="8"/>
                <c:pt idx="0" formatCode="General">
                  <c:v>3.5555555555555557E-3</c:v>
                </c:pt>
                <c:pt idx="1">
                  <c:v>4.4444444444444444E-3</c:v>
                </c:pt>
                <c:pt idx="2">
                  <c:v>6.2222222222222227E-3</c:v>
                </c:pt>
                <c:pt idx="3">
                  <c:v>6.6666666666666662E-3</c:v>
                </c:pt>
                <c:pt idx="4">
                  <c:v>8.0000000000000002E-3</c:v>
                </c:pt>
                <c:pt idx="5">
                  <c:v>6.2222222222222227E-3</c:v>
                </c:pt>
                <c:pt idx="6">
                  <c:v>4.8888888888888888E-3</c:v>
                </c:pt>
                <c:pt idx="7">
                  <c:v>4.4444444444444444E-3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57804432"/>
        <c:axId val="357804816"/>
      </c:barChart>
      <c:lineChart>
        <c:grouping val="standard"/>
        <c:varyColors val="0"/>
        <c:ser>
          <c:idx val="0"/>
          <c:order val="1"/>
          <c:tx>
            <c:v>4</c:v>
          </c:tx>
          <c:spPr>
            <a:ln w="19050" cap="rnd">
              <a:solidFill>
                <a:schemeClr val="tx2">
                  <a:lumMod val="75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val>
            <c:numRef>
              <c:f>Лист1!$B$37:$B$45</c:f>
              <c:numCache>
                <c:formatCode>General</c:formatCode>
                <c:ptCount val="9"/>
                <c:pt idx="0">
                  <c:v>1.1834753321445293E-3</c:v>
                </c:pt>
                <c:pt idx="1">
                  <c:v>2.76149635947539E-3</c:v>
                </c:pt>
                <c:pt idx="2">
                  <c:v>5.0955933657208623E-3</c:v>
                </c:pt>
                <c:pt idx="3">
                  <c:v>7.4354982467653482E-3</c:v>
                </c:pt>
                <c:pt idx="4">
                  <c:v>8.5800617053131811E-3</c:v>
                </c:pt>
                <c:pt idx="5">
                  <c:v>7.829531403646648E-3</c:v>
                </c:pt>
                <c:pt idx="6">
                  <c:v>5.6499701471302609E-3</c:v>
                </c:pt>
                <c:pt idx="7">
                  <c:v>3.2241969251616725E-3</c:v>
                </c:pt>
                <c:pt idx="8">
                  <c:v>1.4549966364984556E-3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804432"/>
        <c:axId val="357804816"/>
      </c:lineChart>
      <c:catAx>
        <c:axId val="35780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804816"/>
        <c:crosses val="autoZero"/>
        <c:auto val="1"/>
        <c:lblAlgn val="ctr"/>
        <c:lblOffset val="100"/>
        <c:noMultiLvlLbl val="0"/>
      </c:catAx>
      <c:valAx>
        <c:axId val="35780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Wi/h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7777777777777776E-2"/>
              <c:y val="0.25780475357247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80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Лист2!$B$5:$B$11</c:f>
              <c:numCache>
                <c:formatCode>General</c:formatCode>
                <c:ptCount val="7"/>
                <c:pt idx="0">
                  <c:v>22</c:v>
                </c:pt>
                <c:pt idx="1">
                  <c:v>66</c:v>
                </c:pt>
                <c:pt idx="2">
                  <c:v>110</c:v>
                </c:pt>
                <c:pt idx="3">
                  <c:v>154</c:v>
                </c:pt>
                <c:pt idx="4">
                  <c:v>198</c:v>
                </c:pt>
                <c:pt idx="5">
                  <c:v>242</c:v>
                </c:pt>
                <c:pt idx="6">
                  <c:v>286</c:v>
                </c:pt>
              </c:numCache>
            </c:numRef>
          </c:cat>
          <c:val>
            <c:numRef>
              <c:f>Лист2!$C$5:$C$11</c:f>
              <c:numCache>
                <c:formatCode>General</c:formatCode>
                <c:ptCount val="7"/>
                <c:pt idx="0">
                  <c:v>46</c:v>
                </c:pt>
                <c:pt idx="1">
                  <c:v>24</c:v>
                </c:pt>
                <c:pt idx="2">
                  <c:v>18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358154744"/>
        <c:axId val="358106832"/>
      </c:lineChart>
      <c:catAx>
        <c:axId val="358154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2395013123359576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8106832"/>
        <c:crosses val="autoZero"/>
        <c:auto val="1"/>
        <c:lblAlgn val="ctr"/>
        <c:lblOffset val="100"/>
        <c:noMultiLvlLbl val="0"/>
      </c:catAx>
      <c:valAx>
        <c:axId val="35810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8154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19050">
              <a:solidFill>
                <a:schemeClr val="tx1">
                  <a:alpha val="99000"/>
                </a:schemeClr>
              </a:solidFill>
            </a:ln>
            <a:effectLst/>
          </c:spPr>
          <c:invertIfNegative val="0"/>
          <c:cat>
            <c:numRef>
              <c:f>Лист2!$B$5:$B$11</c:f>
              <c:numCache>
                <c:formatCode>General</c:formatCode>
                <c:ptCount val="7"/>
                <c:pt idx="0">
                  <c:v>22</c:v>
                </c:pt>
                <c:pt idx="1">
                  <c:v>66</c:v>
                </c:pt>
                <c:pt idx="2">
                  <c:v>110</c:v>
                </c:pt>
                <c:pt idx="3">
                  <c:v>154</c:v>
                </c:pt>
                <c:pt idx="4">
                  <c:v>198</c:v>
                </c:pt>
                <c:pt idx="5">
                  <c:v>242</c:v>
                </c:pt>
                <c:pt idx="6">
                  <c:v>286</c:v>
                </c:pt>
              </c:numCache>
            </c:numRef>
          </c:cat>
          <c:val>
            <c:numRef>
              <c:f>Лист2!$D$5:$D$11</c:f>
              <c:numCache>
                <c:formatCode>General</c:formatCode>
                <c:ptCount val="7"/>
                <c:pt idx="0">
                  <c:v>1.0454545454545454</c:v>
                </c:pt>
                <c:pt idx="1">
                  <c:v>0.54545454545454541</c:v>
                </c:pt>
                <c:pt idx="2">
                  <c:v>0.40909090909090912</c:v>
                </c:pt>
                <c:pt idx="3">
                  <c:v>0.22727272727272727</c:v>
                </c:pt>
                <c:pt idx="4">
                  <c:v>0.11363636363636363</c:v>
                </c:pt>
                <c:pt idx="5">
                  <c:v>0.15909090909090909</c:v>
                </c:pt>
                <c:pt idx="6">
                  <c:v>9.0909090909090912E-2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58110624"/>
        <c:axId val="358113368"/>
      </c:barChart>
      <c:catAx>
        <c:axId val="35811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8113368"/>
        <c:crosses val="autoZero"/>
        <c:auto val="1"/>
        <c:lblAlgn val="ctr"/>
        <c:lblOffset val="100"/>
        <c:noMultiLvlLbl val="0"/>
      </c:catAx>
      <c:valAx>
        <c:axId val="35811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mi/h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811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Лист2!$B$5:$B$11</c:f>
              <c:numCache>
                <c:formatCode>General</c:formatCode>
                <c:ptCount val="7"/>
                <c:pt idx="0">
                  <c:v>22</c:v>
                </c:pt>
                <c:pt idx="1">
                  <c:v>66</c:v>
                </c:pt>
                <c:pt idx="2">
                  <c:v>110</c:v>
                </c:pt>
                <c:pt idx="3">
                  <c:v>154</c:v>
                </c:pt>
                <c:pt idx="4">
                  <c:v>198</c:v>
                </c:pt>
                <c:pt idx="5">
                  <c:v>242</c:v>
                </c:pt>
                <c:pt idx="6">
                  <c:v>286</c:v>
                </c:pt>
              </c:numCache>
            </c:numRef>
          </c:cat>
          <c:val>
            <c:numRef>
              <c:f>Лист2!$B$15:$I$15</c:f>
              <c:numCache>
                <c:formatCode>General</c:formatCode>
                <c:ptCount val="8"/>
                <c:pt idx="0">
                  <c:v>0</c:v>
                </c:pt>
                <c:pt idx="1">
                  <c:v>0.40350877192982454</c:v>
                </c:pt>
                <c:pt idx="2">
                  <c:v>0.61403508771929827</c:v>
                </c:pt>
                <c:pt idx="3">
                  <c:v>0.77192982456140347</c:v>
                </c:pt>
                <c:pt idx="4">
                  <c:v>0.85964912280701755</c:v>
                </c:pt>
                <c:pt idx="5">
                  <c:v>0.90350877192982459</c:v>
                </c:pt>
                <c:pt idx="6">
                  <c:v>0.96491228070175439</c:v>
                </c:pt>
                <c:pt idx="7">
                  <c:v>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358111408"/>
        <c:axId val="358111800"/>
      </c:lineChart>
      <c:catAx>
        <c:axId val="35811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8111800"/>
        <c:crosses val="autoZero"/>
        <c:auto val="1"/>
        <c:lblAlgn val="ctr"/>
        <c:lblOffset val="100"/>
        <c:noMultiLvlLbl val="0"/>
      </c:catAx>
      <c:valAx>
        <c:axId val="35811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811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Лист3!$A$33:$A$34</c:f>
              <c:numCache>
                <c:formatCode>General</c:formatCode>
                <c:ptCount val="2"/>
                <c:pt idx="0">
                  <c:v>9.1</c:v>
                </c:pt>
                <c:pt idx="1">
                  <c:v>39.1</c:v>
                </c:pt>
              </c:numCache>
            </c:numRef>
          </c:xVal>
          <c:yVal>
            <c:numRef>
              <c:f>Лист3!$B$33:$B$34</c:f>
              <c:numCache>
                <c:formatCode>General</c:formatCode>
                <c:ptCount val="2"/>
                <c:pt idx="0">
                  <c:v>180.8955223880597</c:v>
                </c:pt>
                <c:pt idx="1">
                  <c:v>417.5925566970343</c:v>
                </c:pt>
              </c:numCache>
            </c:numRef>
          </c:yVal>
          <c:smooth val="1"/>
        </c:ser>
        <c:ser>
          <c:idx val="1"/>
          <c:order val="1"/>
          <c:tx>
            <c:v>ряд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Лист3!$G$33:$G$34</c:f>
              <c:numCache>
                <c:formatCode>General</c:formatCode>
                <c:ptCount val="2"/>
                <c:pt idx="0">
                  <c:v>8.2753063147973691</c:v>
                </c:pt>
                <c:pt idx="1">
                  <c:v>40.245146088595661</c:v>
                </c:pt>
              </c:numCache>
            </c:numRef>
          </c:xVal>
          <c:yVal>
            <c:numRef>
              <c:f>Лист3!$F$33:$F$34</c:f>
              <c:numCache>
                <c:formatCode>General</c:formatCode>
                <c:ptCount val="2"/>
                <c:pt idx="0">
                  <c:v>140</c:v>
                </c:pt>
                <c:pt idx="1">
                  <c:v>460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112976"/>
        <c:axId val="358112192"/>
      </c:scatterChart>
      <c:valAx>
        <c:axId val="35811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8112192"/>
        <c:crosses val="autoZero"/>
        <c:crossBetween val="midCat"/>
      </c:valAx>
      <c:valAx>
        <c:axId val="3581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811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123825</xdr:colOff>
      <xdr:row>0</xdr:row>
      <xdr:rowOff>0</xdr:rowOff>
    </xdr:from>
    <xdr:to>
      <xdr:col>26</xdr:col>
      <xdr:colOff>428624</xdr:colOff>
      <xdr:row>12</xdr:row>
      <xdr:rowOff>19050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85725</xdr:colOff>
      <xdr:row>10</xdr:row>
      <xdr:rowOff>152400</xdr:rowOff>
    </xdr:from>
    <xdr:to>
      <xdr:col>19</xdr:col>
      <xdr:colOff>19050</xdr:colOff>
      <xdr:row>23</xdr:row>
      <xdr:rowOff>133350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104775</xdr:colOff>
      <xdr:row>34</xdr:row>
      <xdr:rowOff>266700</xdr:rowOff>
    </xdr:from>
    <xdr:to>
      <xdr:col>9</xdr:col>
      <xdr:colOff>76200</xdr:colOff>
      <xdr:row>45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6</xdr:col>
      <xdr:colOff>552450</xdr:colOff>
      <xdr:row>30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16</xdr:row>
      <xdr:rowOff>38100</xdr:rowOff>
    </xdr:from>
    <xdr:to>
      <xdr:col>14</xdr:col>
      <xdr:colOff>333375</xdr:colOff>
      <xdr:row>30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466725</xdr:colOff>
      <xdr:row>16</xdr:row>
      <xdr:rowOff>28575</xdr:rowOff>
    </xdr:from>
    <xdr:to>
      <xdr:col>22</xdr:col>
      <xdr:colOff>161925</xdr:colOff>
      <xdr:row>30</xdr:row>
      <xdr:rowOff>104775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155353</xdr:colOff>
      <xdr:row>33</xdr:row>
      <xdr:rowOff>250194</xdr:rowOff>
    </xdr:from>
    <xdr:to>
      <xdr:col>17</xdr:col>
      <xdr:colOff>133452</xdr:colOff>
      <xdr:row>56</xdr:row>
      <xdr:rowOff>167069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topLeftCell="A24" workbookViewId="0">
      <selection activeCell="P40" sqref="P40"/>
    </sheetView>
  </sheetViews>
  <sheetFormatPr defaultRowHeight="15" x14ac:dyDescent="0.25"/>
  <cols>
    <col min="2" max="2" width="16.140625" bestFit="1" customWidth="1"/>
    <col min="4" max="4" width="9.5703125" bestFit="1" customWidth="1"/>
    <col min="5" max="5" width="13.140625" bestFit="1" customWidth="1"/>
    <col min="6" max="6" width="9.7109375" bestFit="1" customWidth="1"/>
    <col min="12" max="12" width="11.28515625" customWidth="1"/>
    <col min="16" max="16" width="16" customWidth="1"/>
    <col min="19" max="19" width="9.42578125" customWidth="1"/>
    <col min="21" max="21" width="17.42578125" customWidth="1"/>
    <col min="22" max="22" width="8.85546875" customWidth="1"/>
    <col min="25" max="25" width="13.7109375" customWidth="1"/>
    <col min="27" max="27" width="15.140625" customWidth="1"/>
  </cols>
  <sheetData>
    <row r="1" spans="1:22" ht="20.25" thickBot="1" x14ac:dyDescent="0.3">
      <c r="A1" s="23">
        <v>141</v>
      </c>
      <c r="B1" s="24">
        <v>136</v>
      </c>
      <c r="C1" s="24">
        <v>41</v>
      </c>
      <c r="D1" s="24">
        <v>69</v>
      </c>
      <c r="E1" s="24">
        <v>153</v>
      </c>
      <c r="F1" s="24">
        <v>117</v>
      </c>
      <c r="G1" s="24">
        <v>124</v>
      </c>
      <c r="H1" s="24">
        <v>103</v>
      </c>
      <c r="I1" s="24">
        <v>162</v>
      </c>
      <c r="J1" s="24">
        <v>181</v>
      </c>
      <c r="L1" t="s">
        <v>0</v>
      </c>
      <c r="N1">
        <f>J21-A12</f>
        <v>180</v>
      </c>
      <c r="P1" s="5" t="s">
        <v>12</v>
      </c>
      <c r="Q1" s="1" t="s">
        <v>17</v>
      </c>
      <c r="R1" s="1" t="s">
        <v>18</v>
      </c>
      <c r="S1" s="3" t="s">
        <v>16</v>
      </c>
    </row>
    <row r="2" spans="1:22" ht="16.5" thickBot="1" x14ac:dyDescent="0.3">
      <c r="A2" s="25">
        <v>24</v>
      </c>
      <c r="B2" s="26">
        <v>172</v>
      </c>
      <c r="C2" s="26">
        <v>62</v>
      </c>
      <c r="D2" s="26">
        <v>197</v>
      </c>
      <c r="E2" s="26">
        <v>121</v>
      </c>
      <c r="F2" s="26">
        <v>59</v>
      </c>
      <c r="G2" s="26">
        <v>110</v>
      </c>
      <c r="H2" s="26">
        <v>154</v>
      </c>
      <c r="I2" s="26">
        <v>67</v>
      </c>
      <c r="J2" s="26">
        <v>101</v>
      </c>
      <c r="L2" t="s">
        <v>1</v>
      </c>
      <c r="N2">
        <v>8</v>
      </c>
      <c r="P2" s="1" t="s">
        <v>126</v>
      </c>
      <c r="Q2" s="2">
        <v>8</v>
      </c>
      <c r="R2" s="2">
        <f>Q2/Q10</f>
        <v>0.08</v>
      </c>
      <c r="S2" s="2">
        <f>R2/N3</f>
        <v>3.5555555555555557E-3</v>
      </c>
    </row>
    <row r="3" spans="1:22" ht="16.5" thickBot="1" x14ac:dyDescent="0.3">
      <c r="A3" s="25">
        <v>58</v>
      </c>
      <c r="B3" s="26">
        <v>81</v>
      </c>
      <c r="C3" s="26">
        <v>142</v>
      </c>
      <c r="D3" s="26">
        <v>179</v>
      </c>
      <c r="E3" s="26">
        <v>85</v>
      </c>
      <c r="F3" s="26">
        <v>87</v>
      </c>
      <c r="G3" s="26">
        <v>39</v>
      </c>
      <c r="H3" s="26">
        <v>159</v>
      </c>
      <c r="I3" s="26">
        <v>199</v>
      </c>
      <c r="J3" s="26">
        <v>135</v>
      </c>
      <c r="L3" t="s">
        <v>2</v>
      </c>
      <c r="N3">
        <f>N1/N2</f>
        <v>22.5</v>
      </c>
      <c r="P3" s="1" t="s">
        <v>127</v>
      </c>
      <c r="Q3" s="2">
        <v>10</v>
      </c>
      <c r="R3" s="2">
        <f>Q3/Q10</f>
        <v>0.1</v>
      </c>
      <c r="S3" s="7">
        <f>R3/N3</f>
        <v>4.4444444444444444E-3</v>
      </c>
    </row>
    <row r="4" spans="1:22" ht="16.5" thickBot="1" x14ac:dyDescent="0.3">
      <c r="A4" s="25">
        <v>107</v>
      </c>
      <c r="B4" s="26">
        <v>163</v>
      </c>
      <c r="C4" s="26">
        <v>133</v>
      </c>
      <c r="D4" s="26">
        <v>178</v>
      </c>
      <c r="E4" s="26">
        <v>98</v>
      </c>
      <c r="F4" s="26">
        <v>150</v>
      </c>
      <c r="G4" s="26">
        <v>200</v>
      </c>
      <c r="H4" s="26">
        <v>192</v>
      </c>
      <c r="I4" s="26">
        <v>125</v>
      </c>
      <c r="J4" s="26">
        <v>171</v>
      </c>
      <c r="P4" s="1" t="s">
        <v>128</v>
      </c>
      <c r="Q4" s="2">
        <v>14</v>
      </c>
      <c r="R4" s="2">
        <f>Q4/Q10</f>
        <v>0.14000000000000001</v>
      </c>
      <c r="S4" s="7">
        <f>R4/N3</f>
        <v>6.2222222222222227E-3</v>
      </c>
    </row>
    <row r="5" spans="1:22" ht="16.5" thickBot="1" x14ac:dyDescent="0.3">
      <c r="A5" s="25">
        <v>56</v>
      </c>
      <c r="B5" s="26">
        <v>116</v>
      </c>
      <c r="C5" s="26">
        <v>169</v>
      </c>
      <c r="D5" s="26">
        <v>148</v>
      </c>
      <c r="E5" s="26">
        <v>138</v>
      </c>
      <c r="F5" s="26">
        <v>104</v>
      </c>
      <c r="G5" s="26">
        <v>73</v>
      </c>
      <c r="H5" s="26">
        <v>119</v>
      </c>
      <c r="I5" s="26">
        <v>90</v>
      </c>
      <c r="J5" s="26">
        <v>114</v>
      </c>
      <c r="L5" t="s">
        <v>3</v>
      </c>
      <c r="M5">
        <f>A12</f>
        <v>20</v>
      </c>
      <c r="P5" s="1" t="s">
        <v>129</v>
      </c>
      <c r="Q5" s="2">
        <v>15</v>
      </c>
      <c r="R5" s="2">
        <f>Q5/Q10</f>
        <v>0.15</v>
      </c>
      <c r="S5" s="7">
        <f>R5/N3</f>
        <v>6.6666666666666662E-3</v>
      </c>
    </row>
    <row r="6" spans="1:22" ht="16.5" thickBot="1" x14ac:dyDescent="0.3">
      <c r="A6" s="25">
        <v>190</v>
      </c>
      <c r="B6" s="26">
        <v>113</v>
      </c>
      <c r="C6" s="26">
        <v>20</v>
      </c>
      <c r="D6" s="26">
        <v>127</v>
      </c>
      <c r="E6" s="26">
        <v>94</v>
      </c>
      <c r="F6" s="26">
        <v>157</v>
      </c>
      <c r="G6" s="26">
        <v>111</v>
      </c>
      <c r="H6" s="26">
        <v>31</v>
      </c>
      <c r="I6" s="26">
        <v>53</v>
      </c>
      <c r="J6" s="26">
        <v>77</v>
      </c>
      <c r="L6" t="s">
        <v>4</v>
      </c>
      <c r="M6">
        <f>M5+N3</f>
        <v>42.5</v>
      </c>
      <c r="P6" s="1" t="s">
        <v>130</v>
      </c>
      <c r="Q6" s="2">
        <v>18</v>
      </c>
      <c r="R6" s="2">
        <f>Q6/Q10</f>
        <v>0.18</v>
      </c>
      <c r="S6" s="7">
        <f>R6/N3</f>
        <v>8.0000000000000002E-3</v>
      </c>
    </row>
    <row r="7" spans="1:22" ht="18.75" customHeight="1" thickBot="1" x14ac:dyDescent="0.3">
      <c r="A7" s="25">
        <v>132</v>
      </c>
      <c r="B7" s="26">
        <v>75</v>
      </c>
      <c r="C7" s="26">
        <v>91</v>
      </c>
      <c r="D7" s="26">
        <v>66</v>
      </c>
      <c r="E7" s="26">
        <v>115</v>
      </c>
      <c r="F7" s="26">
        <v>72</v>
      </c>
      <c r="G7" s="26">
        <v>44</v>
      </c>
      <c r="H7" s="26">
        <v>26</v>
      </c>
      <c r="I7" s="26">
        <v>128</v>
      </c>
      <c r="J7" s="26">
        <v>97</v>
      </c>
      <c r="L7" t="s">
        <v>5</v>
      </c>
      <c r="M7">
        <f>M6+N3</f>
        <v>65</v>
      </c>
      <c r="P7" s="1" t="s">
        <v>131</v>
      </c>
      <c r="Q7" s="2">
        <v>14</v>
      </c>
      <c r="R7" s="2">
        <f>Q7/Q10</f>
        <v>0.14000000000000001</v>
      </c>
      <c r="S7" s="7">
        <f>R7/N3</f>
        <v>6.2222222222222227E-3</v>
      </c>
    </row>
    <row r="8" spans="1:22" ht="17.25" customHeight="1" thickBot="1" x14ac:dyDescent="0.3">
      <c r="A8" s="25">
        <v>105</v>
      </c>
      <c r="B8" s="26">
        <v>166</v>
      </c>
      <c r="C8" s="26">
        <v>137</v>
      </c>
      <c r="D8" s="26">
        <v>46</v>
      </c>
      <c r="E8" s="26">
        <v>64</v>
      </c>
      <c r="F8" s="26">
        <v>186</v>
      </c>
      <c r="G8" s="26">
        <v>82</v>
      </c>
      <c r="H8" s="26">
        <v>96</v>
      </c>
      <c r="I8" s="26">
        <v>176</v>
      </c>
      <c r="J8" s="26">
        <v>149</v>
      </c>
      <c r="L8" t="s">
        <v>6</v>
      </c>
      <c r="M8">
        <f>M7+N3</f>
        <v>87.5</v>
      </c>
      <c r="P8" s="1" t="s">
        <v>132</v>
      </c>
      <c r="Q8" s="2">
        <v>11</v>
      </c>
      <c r="R8" s="2">
        <f>Q8/Q10</f>
        <v>0.11</v>
      </c>
      <c r="S8" s="7">
        <f>R8/N3</f>
        <v>4.8888888888888888E-3</v>
      </c>
    </row>
    <row r="9" spans="1:22" ht="17.25" customHeight="1" thickBot="1" x14ac:dyDescent="0.3">
      <c r="A9" s="25">
        <v>33</v>
      </c>
      <c r="B9" s="26">
        <v>188</v>
      </c>
      <c r="C9" s="26">
        <v>58</v>
      </c>
      <c r="D9" s="26">
        <v>156</v>
      </c>
      <c r="E9" s="26">
        <v>139</v>
      </c>
      <c r="F9" s="26">
        <v>86</v>
      </c>
      <c r="G9" s="26">
        <v>112</v>
      </c>
      <c r="H9" s="26">
        <v>174</v>
      </c>
      <c r="I9" s="26">
        <v>106</v>
      </c>
      <c r="J9" s="26">
        <v>76</v>
      </c>
      <c r="L9" t="s">
        <v>7</v>
      </c>
      <c r="M9">
        <f>M8+N3</f>
        <v>110</v>
      </c>
      <c r="P9" s="1" t="s">
        <v>133</v>
      </c>
      <c r="Q9" s="2">
        <v>10</v>
      </c>
      <c r="R9" s="2">
        <f>Q9/Q10</f>
        <v>0.1</v>
      </c>
      <c r="S9" s="7">
        <f>R9/N3</f>
        <v>4.4444444444444444E-3</v>
      </c>
    </row>
    <row r="10" spans="1:22" ht="18.75" customHeight="1" thickBot="1" x14ac:dyDescent="0.3">
      <c r="A10" s="25">
        <v>130</v>
      </c>
      <c r="B10" s="26">
        <v>43</v>
      </c>
      <c r="C10" s="26">
        <v>108</v>
      </c>
      <c r="D10" s="26">
        <v>152</v>
      </c>
      <c r="E10" s="26">
        <v>129</v>
      </c>
      <c r="F10" s="26">
        <v>37</v>
      </c>
      <c r="G10" s="26">
        <v>119</v>
      </c>
      <c r="H10" s="26">
        <v>71</v>
      </c>
      <c r="I10" s="26">
        <v>96</v>
      </c>
      <c r="J10" s="26">
        <v>109</v>
      </c>
      <c r="L10" t="s">
        <v>8</v>
      </c>
      <c r="M10">
        <f>M9+N3</f>
        <v>132.5</v>
      </c>
      <c r="P10" s="6" t="s">
        <v>15</v>
      </c>
      <c r="Q10" s="2">
        <f>SUM(Q2:Q9)</f>
        <v>100</v>
      </c>
      <c r="R10" s="2">
        <f>SUM(R2:R9)</f>
        <v>0.99999999999999989</v>
      </c>
      <c r="S10" s="2" t="s">
        <v>14</v>
      </c>
    </row>
    <row r="11" spans="1:22" ht="19.5" customHeight="1" thickBot="1" x14ac:dyDescent="0.3">
      <c r="L11" t="s">
        <v>9</v>
      </c>
      <c r="M11">
        <f>M10+N3</f>
        <v>155</v>
      </c>
    </row>
    <row r="12" spans="1:22" ht="20.25" customHeight="1" thickBot="1" x14ac:dyDescent="0.3">
      <c r="A12" s="27">
        <v>20</v>
      </c>
      <c r="B12" s="24">
        <v>24</v>
      </c>
      <c r="C12" s="24">
        <v>26</v>
      </c>
      <c r="D12" s="24">
        <v>31</v>
      </c>
      <c r="E12" s="24">
        <v>33</v>
      </c>
      <c r="F12" s="24">
        <v>37</v>
      </c>
      <c r="G12" s="24">
        <v>39</v>
      </c>
      <c r="H12" s="24">
        <v>41</v>
      </c>
      <c r="I12" s="36">
        <v>43</v>
      </c>
      <c r="J12" s="24">
        <v>44</v>
      </c>
      <c r="L12" t="s">
        <v>10</v>
      </c>
      <c r="M12">
        <f>M11+N3</f>
        <v>177.5</v>
      </c>
    </row>
    <row r="13" spans="1:22" ht="15" customHeight="1" thickBot="1" x14ac:dyDescent="0.3">
      <c r="A13" s="25">
        <v>46</v>
      </c>
      <c r="B13" s="26">
        <v>53</v>
      </c>
      <c r="C13" s="26">
        <v>56</v>
      </c>
      <c r="D13" s="26">
        <v>58</v>
      </c>
      <c r="E13" s="26">
        <v>58</v>
      </c>
      <c r="F13" s="26">
        <v>59</v>
      </c>
      <c r="G13" s="26">
        <v>62</v>
      </c>
      <c r="H13" s="26">
        <v>64</v>
      </c>
      <c r="I13" s="37">
        <v>66</v>
      </c>
      <c r="J13" s="26">
        <v>67</v>
      </c>
      <c r="L13" t="s">
        <v>11</v>
      </c>
      <c r="M13">
        <f>M12+N3</f>
        <v>200</v>
      </c>
    </row>
    <row r="14" spans="1:22" ht="17.25" customHeight="1" thickBot="1" x14ac:dyDescent="0.3">
      <c r="A14" s="25">
        <v>69</v>
      </c>
      <c r="B14" s="26">
        <v>71</v>
      </c>
      <c r="C14" s="26">
        <v>72</v>
      </c>
      <c r="D14" s="26">
        <v>73</v>
      </c>
      <c r="E14" s="26">
        <v>75</v>
      </c>
      <c r="F14" s="26">
        <v>76</v>
      </c>
      <c r="G14" s="26">
        <v>77</v>
      </c>
      <c r="H14" s="26">
        <v>81</v>
      </c>
      <c r="I14" s="26">
        <v>82</v>
      </c>
      <c r="J14" s="26">
        <v>85</v>
      </c>
    </row>
    <row r="15" spans="1:22" ht="18.75" customHeight="1" thickBot="1" x14ac:dyDescent="0.3">
      <c r="A15" s="25">
        <v>86</v>
      </c>
      <c r="B15" s="26">
        <v>87</v>
      </c>
      <c r="C15" s="37">
        <v>90</v>
      </c>
      <c r="D15" s="26">
        <v>91</v>
      </c>
      <c r="E15" s="26">
        <v>94</v>
      </c>
      <c r="F15" s="26">
        <v>96</v>
      </c>
      <c r="G15" s="26">
        <v>96</v>
      </c>
      <c r="H15" s="26">
        <v>97</v>
      </c>
      <c r="I15" s="26">
        <v>98</v>
      </c>
      <c r="J15" s="26">
        <v>101</v>
      </c>
      <c r="L15" t="s">
        <v>134</v>
      </c>
      <c r="M15">
        <f>0/Q10</f>
        <v>0</v>
      </c>
      <c r="U15" t="s">
        <v>43</v>
      </c>
      <c r="V15">
        <f>U34</f>
        <v>1.6997284613828405</v>
      </c>
    </row>
    <row r="16" spans="1:22" ht="16.5" thickBot="1" x14ac:dyDescent="0.3">
      <c r="A16" s="25">
        <v>103</v>
      </c>
      <c r="B16" s="26">
        <v>104</v>
      </c>
      <c r="C16" s="26">
        <v>105</v>
      </c>
      <c r="D16" s="26">
        <v>106</v>
      </c>
      <c r="E16" s="26">
        <v>107</v>
      </c>
      <c r="F16" s="26">
        <v>108</v>
      </c>
      <c r="G16" s="26">
        <v>109</v>
      </c>
      <c r="H16" s="37">
        <v>110</v>
      </c>
      <c r="I16" s="26">
        <v>111</v>
      </c>
      <c r="J16" s="26">
        <v>112</v>
      </c>
      <c r="L16" t="s">
        <v>135</v>
      </c>
      <c r="M16">
        <f>Q2/Q10</f>
        <v>0.08</v>
      </c>
      <c r="U16" t="s">
        <v>44</v>
      </c>
      <c r="V16">
        <v>11.07</v>
      </c>
    </row>
    <row r="17" spans="1:27" ht="16.5" thickBot="1" x14ac:dyDescent="0.3">
      <c r="A17" s="25">
        <v>113</v>
      </c>
      <c r="B17" s="26">
        <v>114</v>
      </c>
      <c r="C17" s="26">
        <v>115</v>
      </c>
      <c r="D17" s="26">
        <v>116</v>
      </c>
      <c r="E17" s="26">
        <v>117</v>
      </c>
      <c r="F17" s="26">
        <v>119</v>
      </c>
      <c r="G17" s="26">
        <v>119</v>
      </c>
      <c r="H17" s="26">
        <v>121</v>
      </c>
      <c r="I17" s="26">
        <v>124</v>
      </c>
      <c r="J17" s="26">
        <v>125</v>
      </c>
      <c r="L17" t="s">
        <v>136</v>
      </c>
      <c r="M17">
        <f>(Q2+Q3)/Q10</f>
        <v>0.18</v>
      </c>
      <c r="U17" t="s">
        <v>45</v>
      </c>
    </row>
    <row r="18" spans="1:27" ht="16.5" thickBot="1" x14ac:dyDescent="0.3">
      <c r="A18" s="25">
        <v>127</v>
      </c>
      <c r="B18" s="26">
        <v>128</v>
      </c>
      <c r="C18" s="26">
        <v>129</v>
      </c>
      <c r="D18" s="26">
        <v>130</v>
      </c>
      <c r="E18" s="26">
        <v>132</v>
      </c>
      <c r="F18" s="37">
        <v>133</v>
      </c>
      <c r="G18" s="26">
        <v>135</v>
      </c>
      <c r="H18" s="26">
        <v>136</v>
      </c>
      <c r="I18" s="26">
        <v>137</v>
      </c>
      <c r="J18" s="26">
        <v>138</v>
      </c>
      <c r="L18" t="s">
        <v>137</v>
      </c>
      <c r="M18">
        <f>(Q2+Q3+Q4)/Q10</f>
        <v>0.32</v>
      </c>
    </row>
    <row r="19" spans="1:27" ht="16.5" thickBot="1" x14ac:dyDescent="0.3">
      <c r="A19" s="25">
        <v>139</v>
      </c>
      <c r="B19" s="26">
        <v>141</v>
      </c>
      <c r="C19" s="26">
        <v>142</v>
      </c>
      <c r="D19" s="26">
        <v>148</v>
      </c>
      <c r="E19" s="26">
        <v>149</v>
      </c>
      <c r="F19" s="26">
        <v>150</v>
      </c>
      <c r="G19" s="26">
        <v>152</v>
      </c>
      <c r="H19" s="26">
        <v>153</v>
      </c>
      <c r="I19" s="26">
        <v>154</v>
      </c>
      <c r="J19" s="37">
        <v>156</v>
      </c>
      <c r="L19" t="s">
        <v>138</v>
      </c>
      <c r="M19">
        <f>(Q2+Q3+Q4+Q5)/Q10</f>
        <v>0.47</v>
      </c>
      <c r="U19" t="s">
        <v>51</v>
      </c>
      <c r="V19">
        <f>AA32</f>
        <v>2.8599999999999959E-2</v>
      </c>
    </row>
    <row r="20" spans="1:27" ht="16.5" thickBot="1" x14ac:dyDescent="0.3">
      <c r="A20" s="25">
        <v>157</v>
      </c>
      <c r="B20" s="26">
        <v>159</v>
      </c>
      <c r="C20" s="26">
        <v>162</v>
      </c>
      <c r="D20" s="26">
        <v>163</v>
      </c>
      <c r="E20" s="26">
        <v>166</v>
      </c>
      <c r="F20" s="26">
        <v>169</v>
      </c>
      <c r="G20" s="26">
        <v>171</v>
      </c>
      <c r="H20" s="26">
        <v>172</v>
      </c>
      <c r="I20" s="26">
        <v>174</v>
      </c>
      <c r="J20" s="26">
        <v>176</v>
      </c>
      <c r="L20" t="s">
        <v>139</v>
      </c>
      <c r="M20">
        <f>(Q2+Q3+Q4+Q5+Q6)/Q10</f>
        <v>0.65</v>
      </c>
      <c r="U20" s="15" t="s">
        <v>52</v>
      </c>
      <c r="V20">
        <v>1.3580000000000001</v>
      </c>
    </row>
    <row r="21" spans="1:27" ht="16.5" thickBot="1" x14ac:dyDescent="0.3">
      <c r="A21" s="38">
        <v>178</v>
      </c>
      <c r="B21" s="26">
        <v>179</v>
      </c>
      <c r="C21" s="26">
        <v>181</v>
      </c>
      <c r="D21" s="26">
        <v>186</v>
      </c>
      <c r="E21" s="26">
        <v>188</v>
      </c>
      <c r="F21" s="26">
        <v>190</v>
      </c>
      <c r="G21" s="26">
        <v>192</v>
      </c>
      <c r="H21" s="26">
        <v>197</v>
      </c>
      <c r="I21" s="26">
        <v>199</v>
      </c>
      <c r="J21" s="28">
        <v>200</v>
      </c>
      <c r="L21" t="s">
        <v>140</v>
      </c>
      <c r="M21">
        <f>(Q2+Q3+Q4+Q5+Q6+Q7)/Q10</f>
        <v>0.79</v>
      </c>
      <c r="U21" t="s">
        <v>53</v>
      </c>
      <c r="V21">
        <f>SQRT(Q34)*V19</f>
        <v>0.28599999999999959</v>
      </c>
    </row>
    <row r="22" spans="1:27" x14ac:dyDescent="0.25">
      <c r="L22" t="s">
        <v>141</v>
      </c>
      <c r="M22">
        <f>(Q2+Q3+Q4+Q5+Q6+Q7+Q8)/Q10</f>
        <v>0.9</v>
      </c>
      <c r="U22" t="s">
        <v>45</v>
      </c>
    </row>
    <row r="23" spans="1:27" x14ac:dyDescent="0.25">
      <c r="L23" t="s">
        <v>142</v>
      </c>
      <c r="M23">
        <f>(Q2+Q3+Q4+Q5+Q6+Q7+Q8+Q9)/Q10</f>
        <v>1</v>
      </c>
    </row>
    <row r="24" spans="1:27" ht="15.75" thickBot="1" x14ac:dyDescent="0.3"/>
    <row r="25" spans="1:27" ht="21.75" customHeight="1" thickBot="1" x14ac:dyDescent="0.35">
      <c r="A25" s="8" t="s">
        <v>19</v>
      </c>
      <c r="B25" s="9" t="s">
        <v>20</v>
      </c>
      <c r="C25" s="9" t="s">
        <v>21</v>
      </c>
      <c r="D25" s="9" t="s">
        <v>22</v>
      </c>
      <c r="E25" s="10" t="s">
        <v>23</v>
      </c>
      <c r="F25" s="11" t="s">
        <v>24</v>
      </c>
      <c r="H25" t="s">
        <v>25</v>
      </c>
      <c r="I25">
        <f>D34/C34</f>
        <v>112.47499999999999</v>
      </c>
      <c r="K25" s="11" t="s">
        <v>33</v>
      </c>
      <c r="L25" s="11" t="s">
        <v>34</v>
      </c>
      <c r="M25" s="11" t="s">
        <v>35</v>
      </c>
      <c r="N25" s="11" t="s">
        <v>36</v>
      </c>
      <c r="P25" s="13" t="s">
        <v>38</v>
      </c>
      <c r="Q25" s="13" t="s">
        <v>17</v>
      </c>
      <c r="R25" s="12" t="s">
        <v>39</v>
      </c>
      <c r="S25" s="12" t="s">
        <v>40</v>
      </c>
      <c r="T25" s="12" t="s">
        <v>41</v>
      </c>
      <c r="U25" s="12" t="s">
        <v>42</v>
      </c>
      <c r="W25" s="14" t="s">
        <v>33</v>
      </c>
      <c r="X25" s="14" t="s">
        <v>47</v>
      </c>
      <c r="Y25" s="14" t="s">
        <v>48</v>
      </c>
      <c r="Z25" s="14" t="s">
        <v>49</v>
      </c>
      <c r="AA25" s="14" t="s">
        <v>50</v>
      </c>
    </row>
    <row r="26" spans="1:27" ht="21.75" customHeight="1" thickBot="1" x14ac:dyDescent="0.35">
      <c r="A26" s="1" t="str">
        <f>P2</f>
        <v>20-42,5</v>
      </c>
      <c r="B26" s="2">
        <f>(M5+M6)/2</f>
        <v>31.25</v>
      </c>
      <c r="C26" s="2">
        <f t="shared" ref="C26:C33" si="0">Q2</f>
        <v>8</v>
      </c>
      <c r="D26" s="2">
        <f>B26*C26</f>
        <v>250</v>
      </c>
      <c r="E26" s="2">
        <f>F26*C26</f>
        <v>7812.5</v>
      </c>
      <c r="F26" s="11">
        <f t="shared" ref="F26:F33" si="1">((M5+M6)/2)*B26</f>
        <v>976.5625</v>
      </c>
      <c r="H26" t="s">
        <v>26</v>
      </c>
      <c r="I26">
        <f>E34/C34</f>
        <v>14785.9375</v>
      </c>
      <c r="K26" s="12">
        <f t="shared" ref="K26:K34" si="2">M5</f>
        <v>20</v>
      </c>
      <c r="L26" s="11">
        <f>(K26-I25)/I30</f>
        <v>-1.9911834762578355</v>
      </c>
      <c r="M26" s="12">
        <v>-0.5</v>
      </c>
      <c r="N26" s="12">
        <f>M27-M26</f>
        <v>6.6800000000000026E-2</v>
      </c>
      <c r="P26" s="13">
        <v>1</v>
      </c>
      <c r="Q26" s="12">
        <f t="shared" ref="Q26:Q33" si="3">C26</f>
        <v>8</v>
      </c>
      <c r="R26" s="12">
        <f>100*N26</f>
        <v>6.6800000000000024</v>
      </c>
      <c r="S26" s="12">
        <f t="shared" ref="S26:S33" si="4">Q26-R26</f>
        <v>1.3199999999999976</v>
      </c>
      <c r="T26" s="12">
        <f t="shared" ref="T26:T33" si="5">(Q26-R26)*S26</f>
        <v>1.7423999999999937</v>
      </c>
      <c r="U26" s="12">
        <f t="shared" ref="U26:U33" si="6">T26/R26</f>
        <v>0.26083832335329238</v>
      </c>
      <c r="W26" s="13">
        <f t="shared" ref="W26:W34" si="7">K26</f>
        <v>20</v>
      </c>
      <c r="X26" s="14">
        <f t="shared" ref="X26:X34" si="8">M15</f>
        <v>0</v>
      </c>
      <c r="Y26" s="14" t="s">
        <v>124</v>
      </c>
      <c r="Z26" s="14">
        <f t="shared" ref="Z26:Z34" si="9">0.5+M26</f>
        <v>0</v>
      </c>
      <c r="AA26" s="14">
        <f t="shared" ref="AA26:AA34" si="10">IMABS(X26-Z26)</f>
        <v>0</v>
      </c>
    </row>
    <row r="27" spans="1:27" ht="23.25" customHeight="1" thickBot="1" x14ac:dyDescent="0.35">
      <c r="A27" s="1" t="str">
        <f>P3</f>
        <v>42,5-65</v>
      </c>
      <c r="B27" s="2">
        <f t="shared" ref="B27:B33" si="11">(M6+M7)/2</f>
        <v>53.75</v>
      </c>
      <c r="C27" s="2">
        <f t="shared" si="0"/>
        <v>10</v>
      </c>
      <c r="D27" s="2">
        <f t="shared" ref="D27:D33" si="12">B27*C27</f>
        <v>537.5</v>
      </c>
      <c r="E27" s="2">
        <f>F27*C27</f>
        <v>28890.625</v>
      </c>
      <c r="F27" s="11">
        <f t="shared" si="1"/>
        <v>2889.0625</v>
      </c>
      <c r="H27" t="s">
        <v>27</v>
      </c>
      <c r="I27">
        <f>I26-((D34/C34)*I25)</f>
        <v>2135.3118750000012</v>
      </c>
      <c r="K27" s="12">
        <f t="shared" si="2"/>
        <v>42.5</v>
      </c>
      <c r="L27" s="11">
        <f>(K27-I25)/I30</f>
        <v>-1.5067106109882891</v>
      </c>
      <c r="M27" s="32" t="s">
        <v>143</v>
      </c>
      <c r="N27" s="12">
        <f t="shared" ref="N27:N33" si="13">M28-M27</f>
        <v>8.7099999999999955E-2</v>
      </c>
      <c r="P27" s="13">
        <v>2</v>
      </c>
      <c r="Q27" s="12">
        <f t="shared" si="3"/>
        <v>10</v>
      </c>
      <c r="R27" s="12">
        <f t="shared" ref="R27:R34" si="14">100*N27</f>
        <v>8.7099999999999955</v>
      </c>
      <c r="S27" s="12">
        <f t="shared" si="4"/>
        <v>1.2900000000000045</v>
      </c>
      <c r="T27" s="12">
        <f t="shared" si="5"/>
        <v>1.6641000000000115</v>
      </c>
      <c r="U27" s="12">
        <f t="shared" si="6"/>
        <v>0.19105625717566158</v>
      </c>
      <c r="W27" s="13">
        <f t="shared" si="7"/>
        <v>42.5</v>
      </c>
      <c r="X27" s="14">
        <f t="shared" si="8"/>
        <v>0.08</v>
      </c>
      <c r="Y27" s="14" t="s">
        <v>150</v>
      </c>
      <c r="Z27" s="14">
        <f t="shared" si="9"/>
        <v>6.6800000000000026E-2</v>
      </c>
      <c r="AA27" s="14">
        <f t="shared" si="10"/>
        <v>1.3199999999999976E-2</v>
      </c>
    </row>
    <row r="28" spans="1:27" ht="27" customHeight="1" thickBot="1" x14ac:dyDescent="0.35">
      <c r="A28" s="1" t="str">
        <f>P4</f>
        <v>65-87,5</v>
      </c>
      <c r="B28" s="2">
        <f t="shared" si="11"/>
        <v>76.25</v>
      </c>
      <c r="C28" s="2">
        <f t="shared" si="0"/>
        <v>14</v>
      </c>
      <c r="D28" s="2">
        <f t="shared" si="12"/>
        <v>1067.5</v>
      </c>
      <c r="E28" s="2">
        <f t="shared" ref="E28:E33" si="15">F28*C28</f>
        <v>81396.875</v>
      </c>
      <c r="F28" s="11">
        <f t="shared" si="1"/>
        <v>5814.0625</v>
      </c>
      <c r="H28" s="15" t="s">
        <v>59</v>
      </c>
      <c r="I28">
        <f>SQRT(I27)</f>
        <v>46.209434913229586</v>
      </c>
      <c r="K28" s="12">
        <f t="shared" si="2"/>
        <v>65</v>
      </c>
      <c r="L28" s="11">
        <f>(K28-I25)/I30</f>
        <v>-1.0222377457187428</v>
      </c>
      <c r="M28" s="32" t="s">
        <v>144</v>
      </c>
      <c r="N28" s="12">
        <f t="shared" si="13"/>
        <v>0.14420000000000002</v>
      </c>
      <c r="P28" s="13">
        <v>3</v>
      </c>
      <c r="Q28" s="12">
        <f t="shared" si="3"/>
        <v>14</v>
      </c>
      <c r="R28" s="12">
        <f t="shared" si="14"/>
        <v>14.420000000000002</v>
      </c>
      <c r="S28" s="12">
        <f t="shared" si="4"/>
        <v>-0.42000000000000171</v>
      </c>
      <c r="T28" s="12">
        <f t="shared" si="5"/>
        <v>0.17640000000000144</v>
      </c>
      <c r="U28" s="12">
        <f t="shared" si="6"/>
        <v>1.2233009708737962E-2</v>
      </c>
      <c r="W28" s="13">
        <f t="shared" si="7"/>
        <v>65</v>
      </c>
      <c r="X28" s="14">
        <f t="shared" si="8"/>
        <v>0.18</v>
      </c>
      <c r="Y28" s="14" t="s">
        <v>151</v>
      </c>
      <c r="Z28" s="14">
        <f t="shared" si="9"/>
        <v>0.15389999999999998</v>
      </c>
      <c r="AA28" s="29">
        <f t="shared" si="10"/>
        <v>2.6100000000000012E-2</v>
      </c>
    </row>
    <row r="29" spans="1:27" ht="19.5" thickBot="1" x14ac:dyDescent="0.35">
      <c r="A29" s="1" t="str">
        <f>P5</f>
        <v>87,5-110</v>
      </c>
      <c r="B29" s="2">
        <f t="shared" si="11"/>
        <v>98.75</v>
      </c>
      <c r="C29" s="2">
        <f t="shared" si="0"/>
        <v>15</v>
      </c>
      <c r="D29" s="2">
        <f t="shared" si="12"/>
        <v>1481.25</v>
      </c>
      <c r="E29" s="2">
        <f t="shared" si="15"/>
        <v>146273.4375</v>
      </c>
      <c r="F29" s="11">
        <f t="shared" si="1"/>
        <v>9751.5625</v>
      </c>
      <c r="H29" t="s">
        <v>29</v>
      </c>
      <c r="I29">
        <f>(C34/99)*I27</f>
        <v>2156.8806818181833</v>
      </c>
      <c r="K29" s="12">
        <f t="shared" si="2"/>
        <v>87.5</v>
      </c>
      <c r="L29" s="11">
        <f>(K29-I25)/I30</f>
        <v>-0.53776488044919635</v>
      </c>
      <c r="M29" s="32" t="s">
        <v>145</v>
      </c>
      <c r="N29" s="12">
        <f t="shared" si="13"/>
        <v>0.182</v>
      </c>
      <c r="P29" s="13">
        <v>4</v>
      </c>
      <c r="Q29" s="12">
        <f t="shared" si="3"/>
        <v>15</v>
      </c>
      <c r="R29" s="12">
        <f t="shared" si="14"/>
        <v>18.2</v>
      </c>
      <c r="S29" s="12">
        <f t="shared" si="4"/>
        <v>-3.1999999999999993</v>
      </c>
      <c r="T29" s="12">
        <f t="shared" si="5"/>
        <v>10.239999999999995</v>
      </c>
      <c r="U29" s="12">
        <f t="shared" si="6"/>
        <v>0.56263736263736241</v>
      </c>
      <c r="W29" s="13">
        <f t="shared" si="7"/>
        <v>87.5</v>
      </c>
      <c r="X29" s="14">
        <f t="shared" si="8"/>
        <v>0.32</v>
      </c>
      <c r="Y29" s="14" t="s">
        <v>152</v>
      </c>
      <c r="Z29" s="14">
        <f t="shared" si="9"/>
        <v>0.29810000000000003</v>
      </c>
      <c r="AA29" s="14">
        <f t="shared" si="10"/>
        <v>2.1899999999999975E-2</v>
      </c>
    </row>
    <row r="30" spans="1:27" ht="30.75" customHeight="1" thickBot="1" x14ac:dyDescent="0.35">
      <c r="A30" s="1" t="str">
        <f>P6</f>
        <v>110-132,5</v>
      </c>
      <c r="B30" s="2">
        <f t="shared" si="11"/>
        <v>121.25</v>
      </c>
      <c r="C30" s="2">
        <f t="shared" si="0"/>
        <v>18</v>
      </c>
      <c r="D30" s="2">
        <f t="shared" si="12"/>
        <v>2182.5</v>
      </c>
      <c r="E30" s="2">
        <f t="shared" si="15"/>
        <v>264628.125</v>
      </c>
      <c r="F30" s="11">
        <f t="shared" si="1"/>
        <v>14701.5625</v>
      </c>
      <c r="H30" t="s">
        <v>30</v>
      </c>
      <c r="I30">
        <f>SQRT(I29)</f>
        <v>46.44222950955502</v>
      </c>
      <c r="K30" s="12">
        <f t="shared" si="2"/>
        <v>110</v>
      </c>
      <c r="L30" s="11">
        <f>(K30-I25)/I30</f>
        <v>-5.3292015179649981E-2</v>
      </c>
      <c r="M30" s="32" t="s">
        <v>146</v>
      </c>
      <c r="N30" s="12">
        <f t="shared" si="13"/>
        <v>0.18529999999999999</v>
      </c>
      <c r="P30" s="13">
        <v>5</v>
      </c>
      <c r="Q30" s="12">
        <f t="shared" si="3"/>
        <v>18</v>
      </c>
      <c r="R30" s="12">
        <f t="shared" si="14"/>
        <v>18.529999999999998</v>
      </c>
      <c r="S30" s="12">
        <f t="shared" si="4"/>
        <v>-0.52999999999999758</v>
      </c>
      <c r="T30" s="12">
        <f t="shared" si="5"/>
        <v>0.28089999999999743</v>
      </c>
      <c r="U30" s="12">
        <f t="shared" si="6"/>
        <v>1.5159201295196842E-2</v>
      </c>
      <c r="W30" s="13">
        <f t="shared" si="7"/>
        <v>110</v>
      </c>
      <c r="X30" s="14">
        <f t="shared" si="8"/>
        <v>0.47</v>
      </c>
      <c r="Y30" s="14" t="s">
        <v>153</v>
      </c>
      <c r="Z30" s="14">
        <f t="shared" si="9"/>
        <v>0.48009999999999997</v>
      </c>
      <c r="AA30" s="14">
        <f t="shared" si="10"/>
        <v>1.0099999999999998E-2</v>
      </c>
    </row>
    <row r="31" spans="1:27" ht="30" customHeight="1" thickBot="1" x14ac:dyDescent="0.35">
      <c r="A31" s="1" t="str">
        <f>P7</f>
        <v>132,5-155</v>
      </c>
      <c r="B31" s="2">
        <f t="shared" si="11"/>
        <v>143.75</v>
      </c>
      <c r="C31" s="2">
        <f t="shared" si="0"/>
        <v>14</v>
      </c>
      <c r="D31" s="2">
        <f t="shared" si="12"/>
        <v>2012.5</v>
      </c>
      <c r="E31" s="2">
        <f t="shared" si="15"/>
        <v>289296.875</v>
      </c>
      <c r="F31" s="11">
        <f t="shared" si="1"/>
        <v>20664.0625</v>
      </c>
      <c r="H31" t="s">
        <v>46</v>
      </c>
      <c r="K31" s="12">
        <f t="shared" si="2"/>
        <v>132.5</v>
      </c>
      <c r="L31" s="11">
        <f>(K31-I25)/I30</f>
        <v>0.43118085008989637</v>
      </c>
      <c r="M31" s="32" t="s">
        <v>147</v>
      </c>
      <c r="N31" s="12">
        <f t="shared" si="13"/>
        <v>0.1532</v>
      </c>
      <c r="P31" s="13">
        <v>6</v>
      </c>
      <c r="Q31" s="12">
        <f t="shared" si="3"/>
        <v>14</v>
      </c>
      <c r="R31" s="12">
        <f t="shared" si="14"/>
        <v>15.32</v>
      </c>
      <c r="S31" s="12">
        <f t="shared" si="4"/>
        <v>-1.3200000000000003</v>
      </c>
      <c r="T31" s="12">
        <f t="shared" si="5"/>
        <v>1.7424000000000008</v>
      </c>
      <c r="U31" s="12">
        <f t="shared" si="6"/>
        <v>0.11373368146214105</v>
      </c>
      <c r="W31" s="13">
        <f t="shared" si="7"/>
        <v>132.5</v>
      </c>
      <c r="X31" s="14">
        <f t="shared" si="8"/>
        <v>0.65</v>
      </c>
      <c r="Y31" s="14" t="s">
        <v>154</v>
      </c>
      <c r="Z31" s="14">
        <f t="shared" si="9"/>
        <v>0.66539999999999999</v>
      </c>
      <c r="AA31" s="14">
        <f t="shared" si="10"/>
        <v>1.5399999999999969E-2</v>
      </c>
    </row>
    <row r="32" spans="1:27" ht="29.25" customHeight="1" thickBot="1" x14ac:dyDescent="0.35">
      <c r="A32" s="1" t="str">
        <f>P8</f>
        <v>155-177,5</v>
      </c>
      <c r="B32" s="2">
        <f t="shared" si="11"/>
        <v>166.25</v>
      </c>
      <c r="C32" s="2">
        <f t="shared" si="0"/>
        <v>11</v>
      </c>
      <c r="D32" s="2">
        <f t="shared" si="12"/>
        <v>1828.75</v>
      </c>
      <c r="E32" s="2">
        <f t="shared" si="15"/>
        <v>304029.6875</v>
      </c>
      <c r="F32" s="11">
        <f t="shared" si="1"/>
        <v>27639.0625</v>
      </c>
      <c r="H32" t="s">
        <v>31</v>
      </c>
      <c r="I32">
        <f>I25-(3*I30)</f>
        <v>-26.851688528665051</v>
      </c>
      <c r="K32" s="12">
        <f t="shared" si="2"/>
        <v>155</v>
      </c>
      <c r="L32" s="11">
        <f>(K32-I25)/I30</f>
        <v>0.91565371535944273</v>
      </c>
      <c r="M32" s="32" t="s">
        <v>148</v>
      </c>
      <c r="N32" s="12">
        <f t="shared" si="13"/>
        <v>0.10060000000000002</v>
      </c>
      <c r="P32" s="13">
        <v>7</v>
      </c>
      <c r="Q32" s="12">
        <f t="shared" si="3"/>
        <v>11</v>
      </c>
      <c r="R32" s="12">
        <f t="shared" si="14"/>
        <v>10.060000000000002</v>
      </c>
      <c r="S32" s="12">
        <f t="shared" si="4"/>
        <v>0.93999999999999773</v>
      </c>
      <c r="T32" s="12">
        <f t="shared" si="5"/>
        <v>0.88359999999999572</v>
      </c>
      <c r="U32" s="12">
        <f t="shared" si="6"/>
        <v>8.7833001988071119E-2</v>
      </c>
      <c r="W32" s="13">
        <f t="shared" si="7"/>
        <v>155</v>
      </c>
      <c r="X32" s="14">
        <f t="shared" si="8"/>
        <v>0.79</v>
      </c>
      <c r="Y32" s="14" t="s">
        <v>155</v>
      </c>
      <c r="Z32" s="14">
        <f t="shared" si="9"/>
        <v>0.81859999999999999</v>
      </c>
      <c r="AA32" s="39">
        <f t="shared" si="10"/>
        <v>2.8599999999999959E-2</v>
      </c>
    </row>
    <row r="33" spans="1:27" ht="30" customHeight="1" thickBot="1" x14ac:dyDescent="0.35">
      <c r="A33" s="1" t="str">
        <f>P9</f>
        <v>177,5-200</v>
      </c>
      <c r="B33" s="2">
        <f t="shared" si="11"/>
        <v>188.75</v>
      </c>
      <c r="C33" s="2">
        <f t="shared" si="0"/>
        <v>10</v>
      </c>
      <c r="D33" s="2">
        <f t="shared" si="12"/>
        <v>1887.5</v>
      </c>
      <c r="E33" s="2">
        <f t="shared" si="15"/>
        <v>356265.625</v>
      </c>
      <c r="F33" s="11">
        <f t="shared" si="1"/>
        <v>35626.5625</v>
      </c>
      <c r="H33" t="s">
        <v>32</v>
      </c>
      <c r="I33">
        <f>I25+(3*I30)</f>
        <v>251.80168852866504</v>
      </c>
      <c r="K33" s="12">
        <f t="shared" si="2"/>
        <v>177.5</v>
      </c>
      <c r="L33" s="11">
        <f>(K33-I25)/I30</f>
        <v>1.4001265806289891</v>
      </c>
      <c r="M33" s="32" t="s">
        <v>149</v>
      </c>
      <c r="N33" s="12">
        <f t="shared" si="13"/>
        <v>8.0799999999999983E-2</v>
      </c>
      <c r="P33" s="13">
        <v>8</v>
      </c>
      <c r="Q33" s="12">
        <f t="shared" si="3"/>
        <v>10</v>
      </c>
      <c r="R33" s="12">
        <f t="shared" si="14"/>
        <v>8.0799999999999983</v>
      </c>
      <c r="S33" s="12">
        <f t="shared" si="4"/>
        <v>1.9200000000000017</v>
      </c>
      <c r="T33" s="12">
        <f t="shared" si="5"/>
        <v>3.6864000000000066</v>
      </c>
      <c r="U33" s="12">
        <f t="shared" si="6"/>
        <v>0.45623762376237714</v>
      </c>
      <c r="W33" s="13">
        <f t="shared" si="7"/>
        <v>177.5</v>
      </c>
      <c r="X33" s="14">
        <f t="shared" si="8"/>
        <v>0.9</v>
      </c>
      <c r="Y33" s="14" t="s">
        <v>156</v>
      </c>
      <c r="Z33" s="14">
        <f t="shared" si="9"/>
        <v>0.91920000000000002</v>
      </c>
      <c r="AA33" s="14">
        <f t="shared" si="10"/>
        <v>1.9199999999999995E-2</v>
      </c>
    </row>
    <row r="34" spans="1:27" ht="31.5" thickBot="1" x14ac:dyDescent="0.35">
      <c r="A34" s="4" t="s">
        <v>13</v>
      </c>
      <c r="B34" s="2" t="s">
        <v>14</v>
      </c>
      <c r="C34" s="2">
        <f>SUM(C26:C33)</f>
        <v>100</v>
      </c>
      <c r="D34" s="2">
        <f>SUM(D26:D33)</f>
        <v>11247.5</v>
      </c>
      <c r="E34" s="2">
        <f>SUM(E26:E33)</f>
        <v>1478593.75</v>
      </c>
      <c r="F34" s="11">
        <f>SUM(F26:F33)</f>
        <v>118062.5</v>
      </c>
      <c r="K34" s="12">
        <f t="shared" si="2"/>
        <v>200</v>
      </c>
      <c r="L34" s="11">
        <f>(K34-I25)/I30</f>
        <v>1.8845994458985356</v>
      </c>
      <c r="M34" s="12">
        <v>0.5</v>
      </c>
      <c r="N34" s="12">
        <f>SUM(N26:N33)</f>
        <v>1</v>
      </c>
      <c r="P34" s="13" t="s">
        <v>37</v>
      </c>
      <c r="Q34" s="12">
        <f>SUM(Q26:Q33)</f>
        <v>100</v>
      </c>
      <c r="R34" s="12">
        <f t="shared" si="14"/>
        <v>100</v>
      </c>
      <c r="S34" s="12"/>
      <c r="T34" s="12"/>
      <c r="U34" s="12">
        <f>SUM(U26:U33)</f>
        <v>1.6997284613828405</v>
      </c>
      <c r="W34" s="13">
        <f t="shared" si="7"/>
        <v>200</v>
      </c>
      <c r="X34" s="14">
        <f t="shared" si="8"/>
        <v>1</v>
      </c>
      <c r="Y34" s="14" t="s">
        <v>125</v>
      </c>
      <c r="Z34" s="14">
        <f t="shared" si="9"/>
        <v>1</v>
      </c>
      <c r="AA34" s="14">
        <f t="shared" si="10"/>
        <v>0</v>
      </c>
    </row>
    <row r="35" spans="1:27" ht="27.75" customHeight="1" thickBot="1" x14ac:dyDescent="0.3"/>
    <row r="36" spans="1:27" ht="19.5" thickBot="1" x14ac:dyDescent="0.35">
      <c r="A36" s="11" t="s">
        <v>33</v>
      </c>
      <c r="B36" s="11" t="s">
        <v>54</v>
      </c>
      <c r="K36" t="s">
        <v>56</v>
      </c>
      <c r="L36">
        <v>1.984</v>
      </c>
    </row>
    <row r="37" spans="1:27" ht="19.5" thickBot="1" x14ac:dyDescent="0.35">
      <c r="A37" s="11">
        <f t="shared" ref="A37:A45" si="16">K26</f>
        <v>20</v>
      </c>
      <c r="B37" s="11">
        <f>(1/(I30*SQRT(2*3.14)))*EXP(-((A37-I25)*(A37-I25)/(2*I30*I30)))</f>
        <v>1.1834753321445293E-3</v>
      </c>
      <c r="K37" t="s">
        <v>55</v>
      </c>
      <c r="L37">
        <f>(I30/SQRT(Q34))*L36</f>
        <v>9.2141383346957166</v>
      </c>
    </row>
    <row r="38" spans="1:27" ht="19.5" thickBot="1" x14ac:dyDescent="0.35">
      <c r="A38" s="11">
        <f t="shared" si="16"/>
        <v>42.5</v>
      </c>
      <c r="B38" s="11">
        <f>(1/(I30*SQRT(2*3.14)))*EXP(-((A38-I25)*(A38-I25)/(2*I30*I30)))</f>
        <v>2.76149635947539E-3</v>
      </c>
      <c r="K38" t="s">
        <v>57</v>
      </c>
      <c r="L38">
        <f>I25-L37</f>
        <v>103.26086166530428</v>
      </c>
    </row>
    <row r="39" spans="1:27" ht="19.5" thickBot="1" x14ac:dyDescent="0.35">
      <c r="A39" s="11">
        <f t="shared" si="16"/>
        <v>65</v>
      </c>
      <c r="B39" s="11">
        <f>(1/(I30*SQRT(2*3.14)))*EXP(-((A39-I25)*(A39-I25)/(2*I30*I30)))</f>
        <v>5.0955933657208623E-3</v>
      </c>
      <c r="K39" t="s">
        <v>58</v>
      </c>
      <c r="L39">
        <f>I25+L37</f>
        <v>121.68913833469571</v>
      </c>
    </row>
    <row r="40" spans="1:27" ht="19.5" thickBot="1" x14ac:dyDescent="0.35">
      <c r="A40" s="11">
        <f t="shared" si="16"/>
        <v>87.5</v>
      </c>
      <c r="B40" s="11">
        <f>(1/(I30*SQRT(2*3.14)))*EXP(-((A40-I25)*(A40-I25)/(2*I30*I30)))</f>
        <v>7.4354982467653482E-3</v>
      </c>
      <c r="K40" t="s">
        <v>157</v>
      </c>
    </row>
    <row r="41" spans="1:27" ht="19.5" thickBot="1" x14ac:dyDescent="0.35">
      <c r="A41" s="11">
        <f t="shared" si="16"/>
        <v>110</v>
      </c>
      <c r="B41" s="11">
        <f>(1/(I30*SQRT(2*3.14)))*EXP(-((A41-I25)*(A41-I25)/(2*I30*I30)))</f>
        <v>8.5800617053131811E-3</v>
      </c>
      <c r="K41" t="s">
        <v>158</v>
      </c>
    </row>
    <row r="42" spans="1:27" ht="19.5" thickBot="1" x14ac:dyDescent="0.35">
      <c r="A42" s="11">
        <f t="shared" si="16"/>
        <v>132.5</v>
      </c>
      <c r="B42" s="11">
        <f>(1/(I30*SQRT(2*3.14)))*EXP(-((A42-I25)*(A42-I25)/(2*I30*I30)))</f>
        <v>7.829531403646648E-3</v>
      </c>
      <c r="K42" t="s">
        <v>28</v>
      </c>
      <c r="L42">
        <v>0.14299999999999999</v>
      </c>
    </row>
    <row r="43" spans="1:27" ht="19.5" thickBot="1" x14ac:dyDescent="0.35">
      <c r="A43" s="11">
        <f t="shared" si="16"/>
        <v>155</v>
      </c>
      <c r="B43" s="11">
        <f>(1/(I30*SQRT(2*3.14)))*EXP(-((A43-I25)*(A43-I25)/(2*I30*I30)))</f>
        <v>5.6499701471302609E-3</v>
      </c>
      <c r="K43" s="16" t="s">
        <v>55</v>
      </c>
      <c r="L43">
        <f>I30*L42</f>
        <v>6.6412388198663672</v>
      </c>
    </row>
    <row r="44" spans="1:27" ht="19.5" thickBot="1" x14ac:dyDescent="0.35">
      <c r="A44" s="11">
        <f t="shared" si="16"/>
        <v>177.5</v>
      </c>
      <c r="B44" s="11">
        <f>(1/(I30*SQRT(2*3.14)))*EXP(-((A44-I25)*(A44-I25)/(2*I30*I30)))</f>
        <v>3.2241969251616725E-3</v>
      </c>
      <c r="K44" t="s">
        <v>60</v>
      </c>
      <c r="L44">
        <f>I30-L43</f>
        <v>39.800990689688653</v>
      </c>
    </row>
    <row r="45" spans="1:27" ht="19.5" thickBot="1" x14ac:dyDescent="0.35">
      <c r="A45" s="11">
        <f t="shared" si="16"/>
        <v>200</v>
      </c>
      <c r="B45" s="11">
        <f>(1/(I30*SQRT(2*3.14)))*EXP(-((A45-I25)*(A45-I25)/(2*I30*I30)))</f>
        <v>1.4549966364984556E-3</v>
      </c>
      <c r="K45" t="s">
        <v>61</v>
      </c>
      <c r="L45">
        <f>I30+L43</f>
        <v>53.083468329421386</v>
      </c>
    </row>
    <row r="46" spans="1:27" x14ac:dyDescent="0.25">
      <c r="K46" t="s">
        <v>159</v>
      </c>
    </row>
    <row r="47" spans="1:27" x14ac:dyDescent="0.25">
      <c r="K47" t="s">
        <v>160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29" workbookViewId="0">
      <selection activeCell="J50" sqref="J50"/>
    </sheetView>
  </sheetViews>
  <sheetFormatPr defaultRowHeight="15" x14ac:dyDescent="0.25"/>
  <cols>
    <col min="1" max="1" width="13.42578125" customWidth="1"/>
    <col min="2" max="2" width="9.7109375" bestFit="1" customWidth="1"/>
    <col min="4" max="4" width="14" customWidth="1"/>
    <col min="6" max="6" width="10.28515625" customWidth="1"/>
    <col min="7" max="7" width="9.85546875" bestFit="1" customWidth="1"/>
    <col min="8" max="8" width="17.140625" customWidth="1"/>
    <col min="20" max="20" width="9.85546875" bestFit="1" customWidth="1"/>
    <col min="21" max="21" width="18.28515625" customWidth="1"/>
  </cols>
  <sheetData>
    <row r="1" spans="1:11" ht="19.5" thickBot="1" x14ac:dyDescent="0.35">
      <c r="A1" s="11" t="s">
        <v>12</v>
      </c>
      <c r="B1" s="11" t="s">
        <v>161</v>
      </c>
      <c r="C1" s="11" t="s">
        <v>162</v>
      </c>
      <c r="D1" s="11" t="s">
        <v>163</v>
      </c>
      <c r="E1" s="11" t="s">
        <v>164</v>
      </c>
      <c r="F1" s="11" t="s">
        <v>165</v>
      </c>
      <c r="G1" s="11" t="s">
        <v>166</v>
      </c>
      <c r="H1" s="11" t="s">
        <v>167</v>
      </c>
      <c r="J1" s="11" t="s">
        <v>2</v>
      </c>
      <c r="K1" s="11">
        <v>44</v>
      </c>
    </row>
    <row r="2" spans="1:11" ht="19.5" thickBot="1" x14ac:dyDescent="0.35">
      <c r="A2" s="11" t="s">
        <v>62</v>
      </c>
      <c r="B2" s="11">
        <v>46</v>
      </c>
      <c r="C2" s="11">
        <v>24</v>
      </c>
      <c r="D2" s="11">
        <v>18</v>
      </c>
      <c r="E2" s="11">
        <v>10</v>
      </c>
      <c r="F2" s="11">
        <v>5</v>
      </c>
      <c r="G2" s="11">
        <v>7</v>
      </c>
      <c r="H2" s="11">
        <v>4</v>
      </c>
    </row>
    <row r="3" spans="1:11" ht="15.75" thickBot="1" x14ac:dyDescent="0.3"/>
    <row r="4" spans="1:11" ht="19.5" thickBot="1" x14ac:dyDescent="0.35">
      <c r="A4" s="11" t="s">
        <v>63</v>
      </c>
      <c r="B4" s="11" t="s">
        <v>64</v>
      </c>
      <c r="C4" s="11" t="s">
        <v>62</v>
      </c>
      <c r="D4" s="11" t="s">
        <v>65</v>
      </c>
      <c r="E4" s="11" t="s">
        <v>66</v>
      </c>
      <c r="F4" s="11" t="s">
        <v>67</v>
      </c>
      <c r="H4" s="11" t="s">
        <v>25</v>
      </c>
      <c r="I4" s="11">
        <f>E12/C12</f>
        <v>87.228070175438603</v>
      </c>
    </row>
    <row r="5" spans="1:11" ht="19.5" thickBot="1" x14ac:dyDescent="0.35">
      <c r="A5" s="11" t="str">
        <f>B1</f>
        <v>0-44</v>
      </c>
      <c r="B5" s="11">
        <v>22</v>
      </c>
      <c r="C5" s="11">
        <f>B2</f>
        <v>46</v>
      </c>
      <c r="D5" s="11">
        <f>C5/K1</f>
        <v>1.0454545454545454</v>
      </c>
      <c r="E5" s="11">
        <f>B5*C5</f>
        <v>1012</v>
      </c>
      <c r="F5" s="11">
        <f>B5*B5*C5</f>
        <v>22264</v>
      </c>
      <c r="H5" s="11" t="s">
        <v>26</v>
      </c>
      <c r="I5" s="11">
        <f>F12/C12</f>
        <v>13288.771929824561</v>
      </c>
    </row>
    <row r="6" spans="1:11" ht="19.5" thickBot="1" x14ac:dyDescent="0.35">
      <c r="A6" s="11" t="str">
        <f>C1</f>
        <v>44-88</v>
      </c>
      <c r="B6" s="11">
        <f>B5+K1</f>
        <v>66</v>
      </c>
      <c r="C6" s="11">
        <f>C2</f>
        <v>24</v>
      </c>
      <c r="D6" s="11">
        <f>C6/K1</f>
        <v>0.54545454545454541</v>
      </c>
      <c r="E6" s="11">
        <f t="shared" ref="E6:E11" si="0">B6*C6</f>
        <v>1584</v>
      </c>
      <c r="F6" s="11">
        <f t="shared" ref="F6:F11" si="1">B6*B6*C6</f>
        <v>104544</v>
      </c>
      <c r="H6" s="11" t="s">
        <v>69</v>
      </c>
      <c r="I6" s="11">
        <f>I5-(I4*I4)</f>
        <v>5680.0357032933198</v>
      </c>
    </row>
    <row r="7" spans="1:11" ht="19.5" thickBot="1" x14ac:dyDescent="0.35">
      <c r="A7" s="11" t="str">
        <f>D1</f>
        <v>88-132</v>
      </c>
      <c r="B7" s="11">
        <f>B6+K1</f>
        <v>110</v>
      </c>
      <c r="C7" s="11">
        <f>D2</f>
        <v>18</v>
      </c>
      <c r="D7" s="11">
        <f>C7/K1</f>
        <v>0.40909090909090912</v>
      </c>
      <c r="E7" s="11">
        <f t="shared" si="0"/>
        <v>1980</v>
      </c>
      <c r="F7" s="11">
        <f t="shared" si="1"/>
        <v>217800</v>
      </c>
      <c r="H7" s="11" t="s">
        <v>73</v>
      </c>
      <c r="I7" s="11">
        <f>SQRT(I6)</f>
        <v>75.366011592052018</v>
      </c>
    </row>
    <row r="8" spans="1:11" ht="19.5" thickBot="1" x14ac:dyDescent="0.35">
      <c r="A8" s="11" t="str">
        <f>E1</f>
        <v>132-176</v>
      </c>
      <c r="B8" s="11">
        <f>B7+K1</f>
        <v>154</v>
      </c>
      <c r="C8" s="11">
        <f>E2</f>
        <v>10</v>
      </c>
      <c r="D8" s="11">
        <f>C8/K1</f>
        <v>0.22727272727272727</v>
      </c>
      <c r="E8" s="11">
        <f t="shared" si="0"/>
        <v>1540</v>
      </c>
      <c r="F8" s="11">
        <f t="shared" si="1"/>
        <v>237160</v>
      </c>
    </row>
    <row r="9" spans="1:11" ht="19.5" thickBot="1" x14ac:dyDescent="0.35">
      <c r="A9" s="11" t="str">
        <f>F1</f>
        <v>176-220</v>
      </c>
      <c r="B9" s="11">
        <f>B8+K1</f>
        <v>198</v>
      </c>
      <c r="C9" s="11">
        <f>F2</f>
        <v>5</v>
      </c>
      <c r="D9" s="11">
        <f>C9/K1</f>
        <v>0.11363636363636363</v>
      </c>
      <c r="E9" s="11">
        <f t="shared" si="0"/>
        <v>990</v>
      </c>
      <c r="F9" s="11">
        <f t="shared" si="1"/>
        <v>196020</v>
      </c>
    </row>
    <row r="10" spans="1:11" ht="19.5" thickBot="1" x14ac:dyDescent="0.35">
      <c r="A10" s="11" t="str">
        <f>G1</f>
        <v>220-264</v>
      </c>
      <c r="B10" s="11">
        <f>B9+K1</f>
        <v>242</v>
      </c>
      <c r="C10" s="11">
        <f>G2</f>
        <v>7</v>
      </c>
      <c r="D10" s="11">
        <f>C10/K1</f>
        <v>0.15909090909090909</v>
      </c>
      <c r="E10" s="11">
        <f t="shared" si="0"/>
        <v>1694</v>
      </c>
      <c r="F10" s="11">
        <f t="shared" si="1"/>
        <v>409948</v>
      </c>
    </row>
    <row r="11" spans="1:11" ht="19.5" thickBot="1" x14ac:dyDescent="0.35">
      <c r="A11" s="11" t="str">
        <f>H1</f>
        <v>264-308</v>
      </c>
      <c r="B11" s="11">
        <f>B10+K1</f>
        <v>286</v>
      </c>
      <c r="C11" s="11">
        <f>H2</f>
        <v>4</v>
      </c>
      <c r="D11" s="11">
        <f>C11/K1</f>
        <v>9.0909090909090912E-2</v>
      </c>
      <c r="E11" s="11">
        <f t="shared" si="0"/>
        <v>1144</v>
      </c>
      <c r="F11" s="11">
        <f t="shared" si="1"/>
        <v>327184</v>
      </c>
    </row>
    <row r="12" spans="1:11" ht="19.5" thickBot="1" x14ac:dyDescent="0.35">
      <c r="A12" s="11" t="s">
        <v>68</v>
      </c>
      <c r="B12" s="11"/>
      <c r="C12" s="11">
        <f>SUM(C5:C11)</f>
        <v>114</v>
      </c>
      <c r="D12" s="11"/>
      <c r="E12" s="11">
        <f>SUM(E5:E11)</f>
        <v>9944</v>
      </c>
      <c r="F12" s="11">
        <f>SUM(F5:F11)</f>
        <v>1514920</v>
      </c>
    </row>
    <row r="13" spans="1:11" ht="15.75" thickBot="1" x14ac:dyDescent="0.3"/>
    <row r="14" spans="1:11" ht="19.5" thickBot="1" x14ac:dyDescent="0.35">
      <c r="A14" s="11" t="s">
        <v>33</v>
      </c>
      <c r="B14" s="11">
        <v>0</v>
      </c>
      <c r="C14" s="11">
        <v>44</v>
      </c>
      <c r="D14" s="11">
        <v>88</v>
      </c>
      <c r="E14" s="11">
        <v>132</v>
      </c>
      <c r="F14" s="11">
        <v>176</v>
      </c>
      <c r="G14" s="11">
        <v>220</v>
      </c>
      <c r="H14" s="11">
        <v>264</v>
      </c>
      <c r="I14" s="11">
        <v>308</v>
      </c>
    </row>
    <row r="15" spans="1:11" ht="19.5" thickBot="1" x14ac:dyDescent="0.35">
      <c r="A15" s="11" t="s">
        <v>47</v>
      </c>
      <c r="B15" s="11">
        <f>0/C12</f>
        <v>0</v>
      </c>
      <c r="C15" s="11">
        <f>C5/C12</f>
        <v>0.40350877192982454</v>
      </c>
      <c r="D15" s="11">
        <f>(C5+C6)/C12</f>
        <v>0.61403508771929827</v>
      </c>
      <c r="E15" s="11">
        <f>(C5+C6+C7)/C12</f>
        <v>0.77192982456140347</v>
      </c>
      <c r="F15" s="11">
        <f>(C5+C6+C7+C8)/C12</f>
        <v>0.85964912280701755</v>
      </c>
      <c r="G15" s="11">
        <f>(C5+C6+C7+C8+C9)/C12</f>
        <v>0.90350877192982459</v>
      </c>
      <c r="H15" s="11">
        <f>(C5+C6+C7+C8+C9+C10)/C12</f>
        <v>0.96491228070175439</v>
      </c>
      <c r="I15" s="11">
        <f>(C5+C6+C7+C8+C9+C10+C11)/C12</f>
        <v>1</v>
      </c>
    </row>
    <row r="31" spans="1:2" ht="15.75" thickBot="1" x14ac:dyDescent="0.3"/>
    <row r="32" spans="1:2" ht="19.5" thickBot="1" x14ac:dyDescent="0.35">
      <c r="A32" s="11" t="s">
        <v>70</v>
      </c>
      <c r="B32" s="11">
        <f>1/I4</f>
        <v>1.1464199517296861E-2</v>
      </c>
    </row>
    <row r="33" spans="1:11" ht="15.75" thickBot="1" x14ac:dyDescent="0.3"/>
    <row r="34" spans="1:11" ht="19.5" thickBot="1" x14ac:dyDescent="0.35">
      <c r="A34" s="11" t="s">
        <v>12</v>
      </c>
      <c r="B34" s="11" t="s">
        <v>36</v>
      </c>
      <c r="C34" s="11" t="s">
        <v>39</v>
      </c>
      <c r="D34" s="11" t="s">
        <v>39</v>
      </c>
      <c r="E34" s="11" t="s">
        <v>62</v>
      </c>
      <c r="F34" s="11" t="s">
        <v>62</v>
      </c>
      <c r="G34" s="11" t="s">
        <v>71</v>
      </c>
      <c r="H34" s="11" t="s">
        <v>42</v>
      </c>
      <c r="J34" s="11" t="s">
        <v>72</v>
      </c>
      <c r="K34" s="11">
        <f>H42</f>
        <v>2.0289423506488662</v>
      </c>
    </row>
    <row r="35" spans="1:11" ht="19.5" thickBot="1" x14ac:dyDescent="0.35">
      <c r="A35" s="11" t="str">
        <f>A5</f>
        <v>0-44</v>
      </c>
      <c r="B35" s="11">
        <f>EXP(-B32*B14)-EXP(-B32*C14)</f>
        <v>0.39614717548520584</v>
      </c>
      <c r="C35" s="11">
        <f>C12*B35</f>
        <v>45.160778005313468</v>
      </c>
      <c r="D35" s="11">
        <f>C35</f>
        <v>45.160778005313468</v>
      </c>
      <c r="E35" s="11">
        <f t="shared" ref="E35:E41" si="2">C5</f>
        <v>46</v>
      </c>
      <c r="F35" s="11">
        <f>E35</f>
        <v>46</v>
      </c>
      <c r="G35" s="11">
        <f>IMABS(F35-D35)</f>
        <v>0.83922199468653247</v>
      </c>
      <c r="H35" s="11">
        <f>(G35*G35)/D35</f>
        <v>1.5595248520359357E-2</v>
      </c>
      <c r="J35" s="11" t="s">
        <v>44</v>
      </c>
      <c r="K35" s="11">
        <v>7.8150000000000004</v>
      </c>
    </row>
    <row r="36" spans="1:11" ht="19.5" thickBot="1" x14ac:dyDescent="0.35">
      <c r="A36" s="11" t="str">
        <f>A6</f>
        <v>44-88</v>
      </c>
      <c r="B36" s="11">
        <f>EXP(-B32*C14)-EXP(-B32*D14)</f>
        <v>0.23921459084029933</v>
      </c>
      <c r="C36" s="11">
        <f>C12*B36</f>
        <v>27.270463355794124</v>
      </c>
      <c r="D36" s="11">
        <f>C36</f>
        <v>27.270463355794124</v>
      </c>
      <c r="E36" s="11">
        <f t="shared" si="2"/>
        <v>24</v>
      </c>
      <c r="F36" s="11">
        <f>E36</f>
        <v>24</v>
      </c>
      <c r="G36" s="11">
        <f>IMABS(F36-D36)</f>
        <v>3.2704633557941243</v>
      </c>
      <c r="H36" s="11">
        <f>(G36*G36)/D36</f>
        <v>0.39221667861098564</v>
      </c>
      <c r="J36" t="s">
        <v>74</v>
      </c>
    </row>
    <row r="37" spans="1:11" ht="19.5" thickBot="1" x14ac:dyDescent="0.35">
      <c r="A37" s="11" t="str">
        <f>A7</f>
        <v>88-132</v>
      </c>
      <c r="B37" s="11">
        <f>EXP(-B32*D14)-EXP(-B32*E14)</f>
        <v>0.14445040634406561</v>
      </c>
      <c r="C37" s="11">
        <f>C12*B37</f>
        <v>16.467346323223481</v>
      </c>
      <c r="D37" s="11">
        <f>C37</f>
        <v>16.467346323223481</v>
      </c>
      <c r="E37" s="11">
        <f t="shared" si="2"/>
        <v>18</v>
      </c>
      <c r="F37" s="11">
        <f>E37</f>
        <v>18</v>
      </c>
      <c r="G37" s="11">
        <f>IMABS(F37-D37)</f>
        <v>1.5326536767765191</v>
      </c>
      <c r="H37" s="11">
        <f>(G37*G37)/D37</f>
        <v>0.14264759159305521</v>
      </c>
    </row>
    <row r="38" spans="1:11" ht="19.5" thickBot="1" x14ac:dyDescent="0.35">
      <c r="A38" s="11" t="str">
        <f>A8</f>
        <v>132-176</v>
      </c>
      <c r="B38" s="11">
        <f>EXP(-B32*E14)-EXP(-B32*F14)</f>
        <v>8.7226785873173701E-2</v>
      </c>
      <c r="C38" s="11">
        <f>C12*B38</f>
        <v>9.9438535895418028</v>
      </c>
      <c r="D38" s="11">
        <f>C38</f>
        <v>9.9438535895418028</v>
      </c>
      <c r="E38" s="11">
        <f t="shared" si="2"/>
        <v>10</v>
      </c>
      <c r="F38" s="11">
        <f>E38</f>
        <v>10</v>
      </c>
      <c r="G38" s="11">
        <f>IMABS(F38-D38)</f>
        <v>5.6146410458197238E-2</v>
      </c>
      <c r="H38" s="11">
        <f>(G38*G38)/D38</f>
        <v>3.1702190493390186E-4</v>
      </c>
    </row>
    <row r="39" spans="1:11" ht="19.5" thickBot="1" x14ac:dyDescent="0.35">
      <c r="A39" s="11" t="str">
        <f>A9</f>
        <v>176-220</v>
      </c>
      <c r="B39" s="11">
        <f>EXP(-B32*F14)-EXP(-B32*G14)</f>
        <v>5.2672141022863148E-2</v>
      </c>
      <c r="C39" s="11">
        <f>C12*B39</f>
        <v>6.0046240766063992</v>
      </c>
      <c r="D39" s="33">
        <f>C39+C40+C41</f>
        <v>11.820048802587809</v>
      </c>
      <c r="E39" s="11">
        <f t="shared" si="2"/>
        <v>5</v>
      </c>
      <c r="F39" s="33">
        <f>E39+E40+E41</f>
        <v>16</v>
      </c>
      <c r="G39" s="33">
        <f>IMABS(F39-D39)</f>
        <v>4.1799511974121906</v>
      </c>
      <c r="H39" s="33">
        <f>(G39*G39)/D39</f>
        <v>1.4781658100195318</v>
      </c>
    </row>
    <row r="40" spans="1:11" ht="19.5" thickBot="1" x14ac:dyDescent="0.35">
      <c r="A40" s="11" t="str">
        <f>A10</f>
        <v>220-264</v>
      </c>
      <c r="B40" s="11">
        <f>EXP(-B32*G14)-EXP(-B32*H14)</f>
        <v>3.1806221129897456E-2</v>
      </c>
      <c r="C40" s="11">
        <f>C12*B40</f>
        <v>3.6259092088083102</v>
      </c>
      <c r="D40" s="34"/>
      <c r="E40" s="11">
        <f t="shared" si="2"/>
        <v>7</v>
      </c>
      <c r="F40" s="34"/>
      <c r="G40" s="34"/>
      <c r="H40" s="34"/>
    </row>
    <row r="41" spans="1:11" ht="19.5" thickBot="1" x14ac:dyDescent="0.35">
      <c r="A41" s="11" t="str">
        <f>A11</f>
        <v>264-308</v>
      </c>
      <c r="B41" s="11">
        <f>EXP(-B32*H14)-EXP(-B32*I14)</f>
        <v>1.9206276466430694E-2</v>
      </c>
      <c r="C41" s="11">
        <f>C12*B41</f>
        <v>2.1895155171730991</v>
      </c>
      <c r="D41" s="35"/>
      <c r="E41" s="11">
        <f t="shared" si="2"/>
        <v>4</v>
      </c>
      <c r="F41" s="35"/>
      <c r="G41" s="35"/>
      <c r="H41" s="35"/>
    </row>
    <row r="42" spans="1:11" ht="19.5" thickBot="1" x14ac:dyDescent="0.35">
      <c r="A42" s="11" t="s">
        <v>68</v>
      </c>
      <c r="B42" s="11">
        <f>SUM(B35:B41)</f>
        <v>0.97072359716193568</v>
      </c>
      <c r="C42" s="11"/>
      <c r="D42" s="11"/>
      <c r="E42" s="11"/>
      <c r="F42" s="11">
        <f>SUM(F35:F41)</f>
        <v>114</v>
      </c>
      <c r="G42" s="11"/>
      <c r="H42" s="11">
        <f>SUM(H35:H41)</f>
        <v>2.0289423506488662</v>
      </c>
    </row>
    <row r="43" spans="1:11" ht="15.75" customHeight="1" thickBot="1" x14ac:dyDescent="0.3"/>
    <row r="44" spans="1:11" ht="19.5" thickBot="1" x14ac:dyDescent="0.35">
      <c r="A44" s="11" t="s">
        <v>33</v>
      </c>
      <c r="B44" s="11" t="s">
        <v>47</v>
      </c>
      <c r="C44" s="11" t="s">
        <v>49</v>
      </c>
      <c r="D44" s="11" t="s">
        <v>50</v>
      </c>
      <c r="F44" s="15" t="s">
        <v>75</v>
      </c>
      <c r="G44">
        <v>1.3580000000000001</v>
      </c>
    </row>
    <row r="45" spans="1:11" ht="19.5" thickBot="1" x14ac:dyDescent="0.35">
      <c r="A45" s="11">
        <v>0</v>
      </c>
      <c r="B45" s="17">
        <f>B15</f>
        <v>0</v>
      </c>
      <c r="C45" s="17">
        <f>1-EXP(-B32*A45)</f>
        <v>0</v>
      </c>
      <c r="D45" s="17">
        <f>IMABS(B45-C45)</f>
        <v>0</v>
      </c>
      <c r="F45" t="s">
        <v>53</v>
      </c>
      <c r="G45">
        <f>SQRT(C12)*D52</f>
        <v>0.31258644404000313</v>
      </c>
    </row>
    <row r="46" spans="1:11" ht="19.5" thickBot="1" x14ac:dyDescent="0.35">
      <c r="A46" s="11">
        <v>44</v>
      </c>
      <c r="B46" s="17">
        <f>C15</f>
        <v>0.40350877192982454</v>
      </c>
      <c r="C46" s="17">
        <f>1-EXP(-B32*A46)</f>
        <v>0.39614717548520584</v>
      </c>
      <c r="D46" s="30">
        <f>IMABS(B46-C46)</f>
        <v>7.361596444618701E-3</v>
      </c>
      <c r="F46" t="s">
        <v>74</v>
      </c>
    </row>
    <row r="47" spans="1:11" ht="19.5" thickBot="1" x14ac:dyDescent="0.35">
      <c r="A47" s="11">
        <v>88</v>
      </c>
      <c r="B47" s="17">
        <f>D15</f>
        <v>0.61403508771929827</v>
      </c>
      <c r="C47" s="17">
        <f>1-EXP(-B32*A47)</f>
        <v>0.63536176632550512</v>
      </c>
      <c r="D47" s="30">
        <f t="shared" ref="D47:D52" si="3">IMABS(B47-C47)</f>
        <v>2.132667860620685E-2</v>
      </c>
    </row>
    <row r="48" spans="1:11" ht="19.5" thickBot="1" x14ac:dyDescent="0.35">
      <c r="A48" s="11">
        <v>132</v>
      </c>
      <c r="B48" s="17">
        <f>E15</f>
        <v>0.77192982456140347</v>
      </c>
      <c r="C48" s="17">
        <f>1-EXP(-B32*A48)</f>
        <v>0.77981217266957081</v>
      </c>
      <c r="D48" s="17">
        <f t="shared" si="3"/>
        <v>7.8823481081673474E-3</v>
      </c>
    </row>
    <row r="49" spans="1:4" ht="19.5" thickBot="1" x14ac:dyDescent="0.35">
      <c r="A49" s="11">
        <v>176</v>
      </c>
      <c r="B49" s="17">
        <f>F15</f>
        <v>0.85964912280701755</v>
      </c>
      <c r="C49" s="17">
        <f>1-EXP(-B32*A49)</f>
        <v>0.86703895854274449</v>
      </c>
      <c r="D49" s="17">
        <f t="shared" si="3"/>
        <v>7.3898357357269351E-3</v>
      </c>
    </row>
    <row r="50" spans="1:4" ht="19.5" thickBot="1" x14ac:dyDescent="0.35">
      <c r="A50" s="11">
        <v>220</v>
      </c>
      <c r="B50" s="17">
        <f>G15</f>
        <v>0.90350877192982459</v>
      </c>
      <c r="C50" s="17">
        <f>1-EXP(-B32*A50)</f>
        <v>0.91971109956560759</v>
      </c>
      <c r="D50" s="17">
        <f t="shared" si="3"/>
        <v>1.6202327635782998E-2</v>
      </c>
    </row>
    <row r="51" spans="1:4" ht="19.5" thickBot="1" x14ac:dyDescent="0.35">
      <c r="A51" s="11">
        <v>264</v>
      </c>
      <c r="B51" s="17">
        <f>H15</f>
        <v>0.96491228070175439</v>
      </c>
      <c r="C51" s="17">
        <f>1-EXP(-B32*A51)</f>
        <v>0.9515173206955051</v>
      </c>
      <c r="D51" s="17">
        <f t="shared" si="3"/>
        <v>1.339496000624929E-2</v>
      </c>
    </row>
    <row r="52" spans="1:4" ht="19.5" thickBot="1" x14ac:dyDescent="0.35">
      <c r="A52" s="11">
        <v>308</v>
      </c>
      <c r="B52" s="17">
        <f>I15</f>
        <v>1</v>
      </c>
      <c r="C52" s="17">
        <f>1-EXP(-B32*A52)</f>
        <v>0.97072359716193579</v>
      </c>
      <c r="D52" s="31">
        <f t="shared" si="3"/>
        <v>2.9276402838064208E-2</v>
      </c>
    </row>
  </sheetData>
  <mergeCells count="4">
    <mergeCell ref="D39:D41"/>
    <mergeCell ref="F39:F41"/>
    <mergeCell ref="G39:G41"/>
    <mergeCell ref="H39:H41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abSelected="1" topLeftCell="A21" zoomScale="85" zoomScaleNormal="85" workbookViewId="0">
      <selection activeCell="U37" sqref="U37"/>
    </sheetView>
  </sheetViews>
  <sheetFormatPr defaultRowHeight="15" x14ac:dyDescent="0.25"/>
  <cols>
    <col min="1" max="1" width="11.28515625" customWidth="1"/>
    <col min="2" max="2" width="14.7109375" bestFit="1" customWidth="1"/>
    <col min="7" max="7" width="16.42578125" customWidth="1"/>
    <col min="8" max="8" width="9.85546875" customWidth="1"/>
    <col min="9" max="9" width="10.28515625" customWidth="1"/>
    <col min="14" max="14" width="18.5703125" customWidth="1"/>
    <col min="15" max="15" width="14.42578125" customWidth="1"/>
    <col min="20" max="20" width="9.28515625" customWidth="1"/>
    <col min="24" max="24" width="20.140625" customWidth="1"/>
    <col min="25" max="25" width="14.5703125" customWidth="1"/>
  </cols>
  <sheetData>
    <row r="1" spans="1:26" ht="19.5" thickBot="1" x14ac:dyDescent="0.35">
      <c r="A1" s="11" t="s">
        <v>76</v>
      </c>
      <c r="B1" s="11" t="s">
        <v>168</v>
      </c>
      <c r="C1" s="11" t="s">
        <v>169</v>
      </c>
      <c r="D1" s="11" t="s">
        <v>170</v>
      </c>
      <c r="E1" s="11" t="s">
        <v>171</v>
      </c>
      <c r="F1" s="11" t="s">
        <v>172</v>
      </c>
      <c r="G1" s="11" t="s">
        <v>173</v>
      </c>
      <c r="H1" s="11" t="s">
        <v>174</v>
      </c>
      <c r="I1" s="11" t="s">
        <v>175</v>
      </c>
      <c r="J1" s="11" t="s">
        <v>77</v>
      </c>
    </row>
    <row r="2" spans="1:26" ht="19.5" thickBot="1" x14ac:dyDescent="0.35">
      <c r="A2" s="11" t="s">
        <v>176</v>
      </c>
      <c r="B2" s="11">
        <v>1</v>
      </c>
      <c r="C2" s="11">
        <v>4</v>
      </c>
      <c r="D2" s="11">
        <v>5</v>
      </c>
      <c r="E2" s="11"/>
      <c r="F2" s="11"/>
      <c r="G2" s="11"/>
      <c r="H2" s="11"/>
      <c r="I2" s="11"/>
      <c r="J2" s="11">
        <f>B2+C2+D2</f>
        <v>10</v>
      </c>
      <c r="L2" t="s">
        <v>79</v>
      </c>
      <c r="M2">
        <v>100</v>
      </c>
    </row>
    <row r="3" spans="1:26" ht="19.5" thickBot="1" x14ac:dyDescent="0.35">
      <c r="A3" s="11" t="s">
        <v>177</v>
      </c>
      <c r="B3" s="11"/>
      <c r="C3" s="11">
        <v>6</v>
      </c>
      <c r="D3" s="11">
        <v>7</v>
      </c>
      <c r="E3" s="11">
        <v>2</v>
      </c>
      <c r="F3" s="11"/>
      <c r="G3" s="11"/>
      <c r="H3" s="11"/>
      <c r="I3" s="11"/>
      <c r="J3" s="11">
        <f>C3+D3+E3</f>
        <v>15</v>
      </c>
      <c r="L3" t="s">
        <v>118</v>
      </c>
      <c r="M3">
        <v>5</v>
      </c>
    </row>
    <row r="4" spans="1:26" ht="19.5" thickBot="1" x14ac:dyDescent="0.35">
      <c r="A4" s="11" t="s">
        <v>178</v>
      </c>
      <c r="B4" s="11"/>
      <c r="C4" s="11"/>
      <c r="D4" s="11">
        <v>5</v>
      </c>
      <c r="E4" s="11">
        <v>8</v>
      </c>
      <c r="F4" s="11">
        <v>6</v>
      </c>
      <c r="G4" s="11"/>
      <c r="H4" s="11"/>
      <c r="I4" s="11"/>
      <c r="J4" s="11">
        <f>D4+E4+F4</f>
        <v>19</v>
      </c>
      <c r="L4" t="s">
        <v>119</v>
      </c>
      <c r="M4">
        <v>40</v>
      </c>
    </row>
    <row r="5" spans="1:26" ht="19.5" thickBot="1" x14ac:dyDescent="0.35">
      <c r="A5" s="11" t="s">
        <v>179</v>
      </c>
      <c r="B5" s="11"/>
      <c r="C5" s="11"/>
      <c r="D5" s="11"/>
      <c r="E5" s="11">
        <v>9</v>
      </c>
      <c r="F5" s="11">
        <v>13</v>
      </c>
      <c r="G5" s="11">
        <v>6</v>
      </c>
      <c r="H5" s="11"/>
      <c r="I5" s="11"/>
      <c r="J5" s="11">
        <f>E5+F5+G5</f>
        <v>28</v>
      </c>
    </row>
    <row r="6" spans="1:26" ht="19.5" thickBot="1" x14ac:dyDescent="0.35">
      <c r="A6" s="11" t="s">
        <v>180</v>
      </c>
      <c r="B6" s="11"/>
      <c r="C6" s="11"/>
      <c r="D6" s="11"/>
      <c r="E6" s="11"/>
      <c r="F6" s="11">
        <v>7</v>
      </c>
      <c r="G6" s="11">
        <v>8</v>
      </c>
      <c r="H6" s="11">
        <v>4</v>
      </c>
      <c r="I6" s="11"/>
      <c r="J6" s="11">
        <f>F6+G6+H6</f>
        <v>19</v>
      </c>
    </row>
    <row r="7" spans="1:26" ht="19.5" thickBot="1" x14ac:dyDescent="0.35">
      <c r="A7" s="11" t="s">
        <v>181</v>
      </c>
      <c r="B7" s="11"/>
      <c r="C7" s="11"/>
      <c r="D7" s="11"/>
      <c r="E7" s="11"/>
      <c r="F7" s="11"/>
      <c r="G7" s="11"/>
      <c r="H7" s="11">
        <v>6</v>
      </c>
      <c r="I7" s="11">
        <v>3</v>
      </c>
      <c r="J7" s="11">
        <f>H7+I7</f>
        <v>9</v>
      </c>
    </row>
    <row r="8" spans="1:26" ht="19.5" thickBot="1" x14ac:dyDescent="0.35">
      <c r="A8" s="11" t="s">
        <v>78</v>
      </c>
      <c r="B8" s="11">
        <f>B2</f>
        <v>1</v>
      </c>
      <c r="C8" s="11">
        <f>C2+C3</f>
        <v>10</v>
      </c>
      <c r="D8" s="11">
        <f>D2+D3+D4</f>
        <v>17</v>
      </c>
      <c r="E8" s="11">
        <f>E3+E4+E5</f>
        <v>19</v>
      </c>
      <c r="F8" s="11">
        <f>F4+F5+F6</f>
        <v>26</v>
      </c>
      <c r="G8" s="11">
        <f>G5+G6</f>
        <v>14</v>
      </c>
      <c r="H8" s="11">
        <f>H6+H7</f>
        <v>10</v>
      </c>
      <c r="I8" s="11">
        <f>I7</f>
        <v>3</v>
      </c>
      <c r="J8" s="11">
        <f>SUM(B8:I8)</f>
        <v>100</v>
      </c>
      <c r="L8" s="18" t="s">
        <v>84</v>
      </c>
      <c r="M8" s="19">
        <v>21.6</v>
      </c>
    </row>
    <row r="9" spans="1:26" ht="18" x14ac:dyDescent="0.25">
      <c r="L9" s="18" t="s">
        <v>85</v>
      </c>
      <c r="M9" s="18">
        <v>280</v>
      </c>
    </row>
    <row r="10" spans="1:26" ht="15.75" thickBot="1" x14ac:dyDescent="0.3"/>
    <row r="11" spans="1:26" ht="19.5" thickBot="1" x14ac:dyDescent="0.35">
      <c r="A11" s="11" t="s">
        <v>12</v>
      </c>
      <c r="B11" s="11" t="s">
        <v>80</v>
      </c>
      <c r="C11" s="11" t="s">
        <v>81</v>
      </c>
      <c r="D11" s="11" t="s">
        <v>77</v>
      </c>
      <c r="E11" s="11" t="s">
        <v>82</v>
      </c>
      <c r="F11" s="11" t="s">
        <v>83</v>
      </c>
      <c r="H11" s="11" t="s">
        <v>120</v>
      </c>
      <c r="I11" s="11" t="s">
        <v>87</v>
      </c>
      <c r="J11" s="11" t="s">
        <v>86</v>
      </c>
      <c r="K11" s="11" t="s">
        <v>78</v>
      </c>
      <c r="L11" s="11" t="s">
        <v>89</v>
      </c>
      <c r="M11" s="11" t="s">
        <v>88</v>
      </c>
      <c r="P11" s="11" t="s">
        <v>99</v>
      </c>
      <c r="Q11" s="11">
        <f>J12</f>
        <v>-3</v>
      </c>
      <c r="R11" s="11">
        <f>J13</f>
        <v>-2</v>
      </c>
      <c r="S11" s="11">
        <f>J14</f>
        <v>-1</v>
      </c>
      <c r="T11" s="11">
        <f>J15</f>
        <v>0</v>
      </c>
      <c r="U11" s="11">
        <f>J16</f>
        <v>1</v>
      </c>
      <c r="V11" s="11">
        <f>J17</f>
        <v>2</v>
      </c>
      <c r="W11" s="11">
        <f>J18</f>
        <v>3</v>
      </c>
      <c r="X11" s="11">
        <f>J19</f>
        <v>4</v>
      </c>
      <c r="Y11" s="11" t="s">
        <v>77</v>
      </c>
      <c r="Z11" s="11" t="s">
        <v>100</v>
      </c>
    </row>
    <row r="12" spans="1:26" ht="19.5" thickBot="1" x14ac:dyDescent="0.35">
      <c r="A12" s="11" t="str">
        <f>A2</f>
        <v>9,1-14,1</v>
      </c>
      <c r="B12" s="11">
        <v>11.6</v>
      </c>
      <c r="C12" s="11">
        <f>(B12-M8)/M3</f>
        <v>-2.0000000000000004</v>
      </c>
      <c r="D12" s="11">
        <f>J2</f>
        <v>10</v>
      </c>
      <c r="E12" s="11">
        <f t="shared" ref="E12:E17" si="0">C12*D12</f>
        <v>-20.000000000000004</v>
      </c>
      <c r="F12" s="11">
        <f t="shared" ref="F12:F17" si="1">E12*C12</f>
        <v>40.000000000000014</v>
      </c>
      <c r="H12" s="11" t="str">
        <f>B1</f>
        <v>140-180</v>
      </c>
      <c r="I12" s="11">
        <v>160</v>
      </c>
      <c r="J12" s="11">
        <f>(I12-M9)/M4</f>
        <v>-3</v>
      </c>
      <c r="K12" s="11">
        <f>B8</f>
        <v>1</v>
      </c>
      <c r="L12" s="11">
        <f t="shared" ref="L12:L19" si="2">J12*K12</f>
        <v>-3</v>
      </c>
      <c r="M12" s="11">
        <f>L12*J12</f>
        <v>9</v>
      </c>
      <c r="P12" s="11">
        <f t="shared" ref="P12:P17" si="3">C12</f>
        <v>-2.0000000000000004</v>
      </c>
      <c r="Q12" s="11">
        <f>B2</f>
        <v>1</v>
      </c>
      <c r="R12" s="11">
        <f>C2</f>
        <v>4</v>
      </c>
      <c r="S12" s="11">
        <f>D2</f>
        <v>5</v>
      </c>
      <c r="T12" s="11"/>
      <c r="U12" s="11"/>
      <c r="V12" s="11"/>
      <c r="W12" s="11"/>
      <c r="X12" s="11"/>
      <c r="Y12" s="11">
        <f t="shared" ref="Y12:Y17" si="4">J2</f>
        <v>10</v>
      </c>
      <c r="Z12" s="11">
        <f>P12*(Q11*Q12+R11*R12+S11*S12)</f>
        <v>32.000000000000007</v>
      </c>
    </row>
    <row r="13" spans="1:26" ht="19.5" thickBot="1" x14ac:dyDescent="0.35">
      <c r="A13" s="11" t="str">
        <f>A3</f>
        <v>14,1-19,1</v>
      </c>
      <c r="B13" s="11">
        <f>B12+M3</f>
        <v>16.600000000000001</v>
      </c>
      <c r="C13" s="11">
        <f>(B13-M8)/M3</f>
        <v>-1</v>
      </c>
      <c r="D13" s="11">
        <f t="shared" ref="D13:D17" si="5">J3</f>
        <v>15</v>
      </c>
      <c r="E13" s="11">
        <f t="shared" si="0"/>
        <v>-15</v>
      </c>
      <c r="F13" s="11">
        <f t="shared" si="1"/>
        <v>15</v>
      </c>
      <c r="H13" s="11" t="str">
        <f>C1</f>
        <v>180-220</v>
      </c>
      <c r="I13" s="11">
        <f>I12+M4</f>
        <v>200</v>
      </c>
      <c r="J13" s="11">
        <f>(I13-M9)/M4</f>
        <v>-2</v>
      </c>
      <c r="K13" s="11">
        <f>C8</f>
        <v>10</v>
      </c>
      <c r="L13" s="11">
        <f t="shared" si="2"/>
        <v>-20</v>
      </c>
      <c r="M13" s="11">
        <f>L13*J13</f>
        <v>40</v>
      </c>
      <c r="P13" s="11">
        <f t="shared" si="3"/>
        <v>-1</v>
      </c>
      <c r="Q13" s="11"/>
      <c r="R13" s="11">
        <f>C3</f>
        <v>6</v>
      </c>
      <c r="S13" s="11">
        <f>D3</f>
        <v>7</v>
      </c>
      <c r="T13" s="11">
        <f>E3</f>
        <v>2</v>
      </c>
      <c r="U13" s="11"/>
      <c r="V13" s="11"/>
      <c r="W13" s="11"/>
      <c r="X13" s="11"/>
      <c r="Y13" s="11">
        <f t="shared" si="4"/>
        <v>15</v>
      </c>
      <c r="Z13" s="11">
        <f>P13*(R11*R13+S11*S13+T11*T13)</f>
        <v>19</v>
      </c>
    </row>
    <row r="14" spans="1:26" ht="19.5" thickBot="1" x14ac:dyDescent="0.35">
      <c r="A14" s="11" t="str">
        <f>A4</f>
        <v>19,1-24,1</v>
      </c>
      <c r="B14" s="11">
        <f>B13+M3</f>
        <v>21.6</v>
      </c>
      <c r="C14" s="11">
        <f>(B14-M8)/M3</f>
        <v>0</v>
      </c>
      <c r="D14" s="11">
        <f t="shared" si="5"/>
        <v>19</v>
      </c>
      <c r="E14" s="11">
        <f t="shared" si="0"/>
        <v>0</v>
      </c>
      <c r="F14" s="11">
        <f t="shared" si="1"/>
        <v>0</v>
      </c>
      <c r="H14" s="11" t="str">
        <f>D1</f>
        <v>220-260</v>
      </c>
      <c r="I14" s="11">
        <f>I13+M4</f>
        <v>240</v>
      </c>
      <c r="J14" s="11">
        <f>(I14-M9)/M4</f>
        <v>-1</v>
      </c>
      <c r="K14" s="11">
        <f>D8</f>
        <v>17</v>
      </c>
      <c r="L14" s="11">
        <f t="shared" si="2"/>
        <v>-17</v>
      </c>
      <c r="M14" s="11">
        <f>L14*J14</f>
        <v>17</v>
      </c>
      <c r="P14" s="11">
        <f t="shared" si="3"/>
        <v>0</v>
      </c>
      <c r="Q14" s="11"/>
      <c r="R14" s="11"/>
      <c r="S14" s="11">
        <f>D4</f>
        <v>5</v>
      </c>
      <c r="T14" s="11">
        <f>E4</f>
        <v>8</v>
      </c>
      <c r="U14" s="11">
        <f>F4</f>
        <v>6</v>
      </c>
      <c r="V14" s="11"/>
      <c r="W14" s="11"/>
      <c r="X14" s="11"/>
      <c r="Y14" s="11">
        <f t="shared" si="4"/>
        <v>19</v>
      </c>
      <c r="Z14" s="11">
        <f>P14*(S11*S14+T11*T14+U11*U14)</f>
        <v>0</v>
      </c>
    </row>
    <row r="15" spans="1:26" ht="19.5" thickBot="1" x14ac:dyDescent="0.35">
      <c r="A15" s="11" t="str">
        <f>A5</f>
        <v>24,1-29,1</v>
      </c>
      <c r="B15" s="11">
        <f>B14+M3</f>
        <v>26.6</v>
      </c>
      <c r="C15" s="11">
        <f>(B15-M8)/M3</f>
        <v>1</v>
      </c>
      <c r="D15" s="11">
        <f t="shared" si="5"/>
        <v>28</v>
      </c>
      <c r="E15" s="11">
        <f t="shared" si="0"/>
        <v>28</v>
      </c>
      <c r="F15" s="11">
        <f t="shared" si="1"/>
        <v>28</v>
      </c>
      <c r="H15" s="11" t="str">
        <f>E1</f>
        <v>260-300</v>
      </c>
      <c r="I15" s="11">
        <f>I14+M4</f>
        <v>280</v>
      </c>
      <c r="J15" s="11">
        <f>(I15-M9)/M4</f>
        <v>0</v>
      </c>
      <c r="K15" s="11">
        <f>E8</f>
        <v>19</v>
      </c>
      <c r="L15" s="11">
        <f t="shared" si="2"/>
        <v>0</v>
      </c>
      <c r="M15" s="11">
        <f>L15*J15</f>
        <v>0</v>
      </c>
      <c r="P15" s="11">
        <f t="shared" si="3"/>
        <v>1</v>
      </c>
      <c r="Q15" s="11"/>
      <c r="R15" s="11"/>
      <c r="S15" s="11"/>
      <c r="T15" s="11">
        <f>E5</f>
        <v>9</v>
      </c>
      <c r="U15" s="11">
        <f>F5</f>
        <v>13</v>
      </c>
      <c r="V15" s="11">
        <f>G5</f>
        <v>6</v>
      </c>
      <c r="W15" s="11"/>
      <c r="X15" s="11"/>
      <c r="Y15" s="11">
        <f t="shared" si="4"/>
        <v>28</v>
      </c>
      <c r="Z15" s="11">
        <f>P15*(T11*T15+U11*U15+V11*V15)</f>
        <v>25</v>
      </c>
    </row>
    <row r="16" spans="1:26" ht="19.5" thickBot="1" x14ac:dyDescent="0.35">
      <c r="A16" s="11" t="str">
        <f>A6</f>
        <v>29,1-34,1</v>
      </c>
      <c r="B16" s="11">
        <f>B15+M3</f>
        <v>31.6</v>
      </c>
      <c r="C16" s="11">
        <f>(B16-M8)/M3</f>
        <v>2</v>
      </c>
      <c r="D16" s="11">
        <f t="shared" si="5"/>
        <v>19</v>
      </c>
      <c r="E16" s="11">
        <f t="shared" si="0"/>
        <v>38</v>
      </c>
      <c r="F16" s="11">
        <f t="shared" si="1"/>
        <v>76</v>
      </c>
      <c r="H16" s="11" t="str">
        <f>F1</f>
        <v>300-340</v>
      </c>
      <c r="I16" s="11">
        <f>I15+M4</f>
        <v>320</v>
      </c>
      <c r="J16" s="11">
        <f>(I16-M9)/M4</f>
        <v>1</v>
      </c>
      <c r="K16" s="11">
        <f>F8</f>
        <v>26</v>
      </c>
      <c r="L16" s="11">
        <f t="shared" si="2"/>
        <v>26</v>
      </c>
      <c r="M16" s="11">
        <f>J16*L16</f>
        <v>26</v>
      </c>
      <c r="P16" s="11">
        <f t="shared" si="3"/>
        <v>2</v>
      </c>
      <c r="Q16" s="11"/>
      <c r="R16" s="11"/>
      <c r="S16" s="11"/>
      <c r="T16" s="11"/>
      <c r="U16" s="11">
        <f>F6</f>
        <v>7</v>
      </c>
      <c r="V16" s="11">
        <f>G6</f>
        <v>8</v>
      </c>
      <c r="W16" s="11">
        <f>H6</f>
        <v>4</v>
      </c>
      <c r="X16" s="11"/>
      <c r="Y16" s="11">
        <f t="shared" si="4"/>
        <v>19</v>
      </c>
      <c r="Z16" s="11">
        <f>P16*(U11*U16+V11*V16+W11*W16)</f>
        <v>70</v>
      </c>
    </row>
    <row r="17" spans="1:26" ht="19.5" thickBot="1" x14ac:dyDescent="0.35">
      <c r="A17" s="11" t="str">
        <f>A7</f>
        <v>34,1-39,1</v>
      </c>
      <c r="B17" s="11">
        <f>B16+M3</f>
        <v>36.6</v>
      </c>
      <c r="C17" s="11">
        <f>(B17-M8)/M3</f>
        <v>3</v>
      </c>
      <c r="D17" s="11">
        <f t="shared" si="5"/>
        <v>9</v>
      </c>
      <c r="E17" s="11">
        <f t="shared" si="0"/>
        <v>27</v>
      </c>
      <c r="F17" s="11">
        <f t="shared" si="1"/>
        <v>81</v>
      </c>
      <c r="H17" s="11" t="str">
        <f>G1</f>
        <v>340-380</v>
      </c>
      <c r="I17" s="11">
        <f>I16+M4</f>
        <v>360</v>
      </c>
      <c r="J17" s="11">
        <f>(I17-M9)/M4</f>
        <v>2</v>
      </c>
      <c r="K17" s="11">
        <f>G8</f>
        <v>14</v>
      </c>
      <c r="L17" s="11">
        <f t="shared" si="2"/>
        <v>28</v>
      </c>
      <c r="M17" s="11">
        <f>J17*L17</f>
        <v>56</v>
      </c>
      <c r="P17" s="11">
        <f t="shared" si="3"/>
        <v>3</v>
      </c>
      <c r="Q17" s="11"/>
      <c r="R17" s="11"/>
      <c r="S17" s="11"/>
      <c r="T17" s="11"/>
      <c r="U17" s="11"/>
      <c r="V17" s="11"/>
      <c r="W17" s="11">
        <f>H7</f>
        <v>6</v>
      </c>
      <c r="X17" s="11">
        <f>I7</f>
        <v>3</v>
      </c>
      <c r="Y17" s="11">
        <f t="shared" si="4"/>
        <v>9</v>
      </c>
      <c r="Z17" s="11">
        <f>P17*(W11*W17+X11*X17)</f>
        <v>90</v>
      </c>
    </row>
    <row r="18" spans="1:26" ht="19.5" thickBot="1" x14ac:dyDescent="0.35">
      <c r="A18" s="11" t="s">
        <v>68</v>
      </c>
      <c r="B18" s="11" t="s">
        <v>68</v>
      </c>
      <c r="C18" s="11"/>
      <c r="D18" s="11">
        <f>SUM(D12:D17)</f>
        <v>100</v>
      </c>
      <c r="E18" s="11">
        <f>SUM(E12:E17)</f>
        <v>58</v>
      </c>
      <c r="F18" s="11">
        <f>SUM(F12:F17)</f>
        <v>240</v>
      </c>
      <c r="H18" s="11" t="str">
        <f>H1</f>
        <v>380-420</v>
      </c>
      <c r="I18" s="11">
        <f>I17+M4</f>
        <v>400</v>
      </c>
      <c r="J18" s="11">
        <f>(I18-M9)/M4</f>
        <v>3</v>
      </c>
      <c r="K18" s="11">
        <f>H8</f>
        <v>10</v>
      </c>
      <c r="L18" s="11">
        <f t="shared" si="2"/>
        <v>30</v>
      </c>
      <c r="M18" s="11">
        <f>J18*L18</f>
        <v>90</v>
      </c>
      <c r="P18" s="11" t="s">
        <v>78</v>
      </c>
      <c r="Q18" s="11">
        <f t="shared" ref="Q18:V18" si="6">B8</f>
        <v>1</v>
      </c>
      <c r="R18" s="11">
        <f t="shared" si="6"/>
        <v>10</v>
      </c>
      <c r="S18" s="11">
        <f t="shared" si="6"/>
        <v>17</v>
      </c>
      <c r="T18" s="11">
        <f t="shared" si="6"/>
        <v>19</v>
      </c>
      <c r="U18" s="11">
        <f t="shared" si="6"/>
        <v>26</v>
      </c>
      <c r="V18" s="11">
        <f t="shared" si="6"/>
        <v>14</v>
      </c>
      <c r="W18" s="11">
        <f>H8</f>
        <v>10</v>
      </c>
      <c r="X18" s="11">
        <f>I8</f>
        <v>3</v>
      </c>
      <c r="Y18" s="11">
        <v>100</v>
      </c>
      <c r="Z18" s="11">
        <f>SUM(Z12:Z17)</f>
        <v>236</v>
      </c>
    </row>
    <row r="19" spans="1:26" ht="19.5" thickBot="1" x14ac:dyDescent="0.35">
      <c r="H19" s="11" t="str">
        <f>I1</f>
        <v>420-460</v>
      </c>
      <c r="I19" s="11">
        <f>I18+M4</f>
        <v>440</v>
      </c>
      <c r="J19" s="11">
        <f>(I19-M9)/M4</f>
        <v>4</v>
      </c>
      <c r="K19" s="11">
        <f>I8</f>
        <v>3</v>
      </c>
      <c r="L19" s="11">
        <f t="shared" si="2"/>
        <v>12</v>
      </c>
      <c r="M19" s="11">
        <f>J19*L19</f>
        <v>48</v>
      </c>
      <c r="P19" s="11" t="s">
        <v>121</v>
      </c>
      <c r="Q19" s="11">
        <f>Q11*(P12*Q12)</f>
        <v>6.0000000000000018</v>
      </c>
      <c r="R19" s="11">
        <f>R11*(P12*R12+P13*R13)</f>
        <v>28.000000000000004</v>
      </c>
      <c r="S19" s="11">
        <f>S11*(P12*S12+P13*S13+P14*S14)</f>
        <v>17</v>
      </c>
      <c r="T19" s="11">
        <f>T11*(P13*T13+P14*T14+P15*T15)</f>
        <v>0</v>
      </c>
      <c r="U19" s="11">
        <f>U11*(P14*U14+P15*U15+P16*U16)</f>
        <v>27</v>
      </c>
      <c r="V19" s="11">
        <f>V11*(P15*V15+P16*V16)</f>
        <v>44</v>
      </c>
      <c r="W19" s="11">
        <f>W11*(P16*W16+P17*W17)</f>
        <v>78</v>
      </c>
      <c r="X19" s="11">
        <f>X11*(P17*X17)</f>
        <v>36</v>
      </c>
      <c r="Y19" s="11">
        <f>SUM(Q19:X19)</f>
        <v>236</v>
      </c>
    </row>
    <row r="20" spans="1:26" ht="19.5" thickBot="1" x14ac:dyDescent="0.35">
      <c r="H20" s="11" t="s">
        <v>68</v>
      </c>
      <c r="I20" s="11"/>
      <c r="J20" s="11"/>
      <c r="K20" s="11">
        <f>SUM(K12:K19)</f>
        <v>100</v>
      </c>
      <c r="L20" s="11">
        <f>SUM(L12:L19)</f>
        <v>56</v>
      </c>
      <c r="M20" s="11">
        <f>SUM(M12:M19)</f>
        <v>286</v>
      </c>
    </row>
    <row r="21" spans="1:26" ht="21" x14ac:dyDescent="0.35">
      <c r="N21" s="20" t="s">
        <v>101</v>
      </c>
      <c r="O21" s="21">
        <f>Z18/K20</f>
        <v>2.36</v>
      </c>
    </row>
    <row r="22" spans="1:26" ht="21" x14ac:dyDescent="0.35">
      <c r="A22" s="20" t="s">
        <v>90</v>
      </c>
      <c r="B22" s="20">
        <f>E18/D18</f>
        <v>0.57999999999999996</v>
      </c>
      <c r="C22" s="20"/>
      <c r="D22" s="20"/>
      <c r="E22" s="20"/>
      <c r="F22" s="20"/>
      <c r="G22" s="20" t="s">
        <v>94</v>
      </c>
      <c r="H22" s="20">
        <f>L20/K20</f>
        <v>0.56000000000000005</v>
      </c>
      <c r="N22" s="22" t="s">
        <v>102</v>
      </c>
      <c r="O22" s="21">
        <f>O21-(B22*H22)</f>
        <v>2.0351999999999997</v>
      </c>
    </row>
    <row r="23" spans="1:26" ht="21" x14ac:dyDescent="0.35">
      <c r="A23" s="20" t="s">
        <v>91</v>
      </c>
      <c r="B23" s="20">
        <f>F18/D18</f>
        <v>2.4</v>
      </c>
      <c r="C23" s="20"/>
      <c r="D23" s="20"/>
      <c r="E23" s="20"/>
      <c r="F23" s="20"/>
      <c r="G23" s="20" t="s">
        <v>95</v>
      </c>
      <c r="H23" s="20">
        <f>M20/K20</f>
        <v>2.86</v>
      </c>
      <c r="N23" s="20" t="s">
        <v>103</v>
      </c>
      <c r="O23" s="21">
        <f>SQRT(B24)</f>
        <v>1.4365235814284429</v>
      </c>
    </row>
    <row r="24" spans="1:26" ht="21" x14ac:dyDescent="0.35">
      <c r="A24" s="20" t="s">
        <v>92</v>
      </c>
      <c r="B24" s="20">
        <f>B23-(B22*B22)</f>
        <v>2.0636000000000001</v>
      </c>
      <c r="C24" s="20"/>
      <c r="D24" s="20"/>
      <c r="E24" s="20"/>
      <c r="F24" s="20"/>
      <c r="G24" s="20" t="s">
        <v>96</v>
      </c>
      <c r="H24" s="20">
        <f>H23-(H22*H22)</f>
        <v>2.5463999999999998</v>
      </c>
      <c r="N24" s="20" t="s">
        <v>104</v>
      </c>
      <c r="O24" s="21">
        <f>SQRT(H24)</f>
        <v>1.5957443404254956</v>
      </c>
    </row>
    <row r="25" spans="1:26" ht="21" x14ac:dyDescent="0.35">
      <c r="A25" s="20" t="s">
        <v>25</v>
      </c>
      <c r="B25" s="20">
        <f>M8+(M3*B22)</f>
        <v>24.5</v>
      </c>
      <c r="C25" s="20"/>
      <c r="D25" s="20"/>
      <c r="E25" s="20"/>
      <c r="F25" s="20"/>
      <c r="G25" s="20" t="s">
        <v>97</v>
      </c>
      <c r="H25" s="20">
        <f>M9+(M4*H22)</f>
        <v>302.39999999999998</v>
      </c>
      <c r="N25" s="20" t="s">
        <v>107</v>
      </c>
      <c r="O25" s="21">
        <f>O22/(O23*O24)</f>
        <v>0.88783246482838485</v>
      </c>
    </row>
    <row r="26" spans="1:26" ht="20.25" x14ac:dyDescent="0.3">
      <c r="A26" s="20" t="s">
        <v>93</v>
      </c>
      <c r="B26" s="20">
        <f>(M3*M3)*B24</f>
        <v>51.59</v>
      </c>
      <c r="C26" s="20"/>
      <c r="D26" s="20"/>
      <c r="E26" s="20"/>
      <c r="F26" s="20"/>
      <c r="G26" s="20" t="s">
        <v>98</v>
      </c>
      <c r="H26" s="20">
        <f>(M4*M4)*H24</f>
        <v>4074.24</v>
      </c>
    </row>
    <row r="27" spans="1:26" ht="20.25" x14ac:dyDescent="0.3">
      <c r="A27" s="20" t="s">
        <v>105</v>
      </c>
      <c r="B27" s="20">
        <f>SQRT(B26)</f>
        <v>7.1826179071422143</v>
      </c>
      <c r="C27" s="20"/>
      <c r="D27" s="20"/>
      <c r="E27" s="20"/>
      <c r="F27" s="20"/>
      <c r="G27" s="20" t="s">
        <v>106</v>
      </c>
      <c r="H27" s="20">
        <f>SQRT(H26)</f>
        <v>63.829773617019825</v>
      </c>
    </row>
    <row r="29" spans="1:26" ht="21" thickBot="1" x14ac:dyDescent="0.35">
      <c r="K29" s="20" t="s">
        <v>110</v>
      </c>
      <c r="O29" s="20" t="s">
        <v>111</v>
      </c>
      <c r="P29" s="20"/>
      <c r="Q29" s="20">
        <f>O25*(H27/B27)</f>
        <v>7.8899011436324846</v>
      </c>
    </row>
    <row r="30" spans="1:26" ht="21" thickBot="1" x14ac:dyDescent="0.35">
      <c r="A30" s="11" t="s">
        <v>108</v>
      </c>
      <c r="B30" s="11">
        <v>9.1</v>
      </c>
      <c r="C30" s="11">
        <v>39.1</v>
      </c>
      <c r="F30" s="11" t="s">
        <v>109</v>
      </c>
      <c r="G30" s="11">
        <v>140</v>
      </c>
      <c r="H30" s="11">
        <v>460</v>
      </c>
      <c r="K30" s="20" t="s">
        <v>113</v>
      </c>
      <c r="O30" s="20" t="s">
        <v>112</v>
      </c>
      <c r="P30" s="20"/>
      <c r="Q30" s="20">
        <f>O25*(B27/H27)</f>
        <v>9.9905749293119669E-2</v>
      </c>
    </row>
    <row r="31" spans="1:26" ht="19.5" thickBot="1" x14ac:dyDescent="0.35">
      <c r="A31" s="11" t="s">
        <v>114</v>
      </c>
      <c r="B31" s="11">
        <f>Q29*(B30-B25)+H25</f>
        <v>180.8955223880597</v>
      </c>
      <c r="C31" s="11">
        <f>Q29*(C30-B25)+H25</f>
        <v>417.5925566970343</v>
      </c>
      <c r="F31" s="11" t="s">
        <v>115</v>
      </c>
      <c r="G31" s="11">
        <f>Q30*(G30-H25)+B25</f>
        <v>8.2753063147973691</v>
      </c>
      <c r="H31" s="11">
        <f>Q30*(H30-H25)+B25</f>
        <v>40.245146088595661</v>
      </c>
    </row>
    <row r="32" spans="1:26" ht="20.25" x14ac:dyDescent="0.3">
      <c r="K32" s="20"/>
      <c r="L32" s="20"/>
      <c r="M32" s="20"/>
      <c r="N32" s="20"/>
    </row>
    <row r="33" spans="1:14" ht="20.25" x14ac:dyDescent="0.3">
      <c r="A33" s="20">
        <f>B30</f>
        <v>9.1</v>
      </c>
      <c r="B33" s="20">
        <f>B31</f>
        <v>180.8955223880597</v>
      </c>
      <c r="C33" s="20"/>
      <c r="D33" s="20"/>
      <c r="E33" s="20"/>
      <c r="F33" s="20">
        <f>G30</f>
        <v>140</v>
      </c>
      <c r="G33" s="20">
        <f>G31</f>
        <v>8.2753063147973691</v>
      </c>
      <c r="K33" s="20"/>
      <c r="L33" s="20"/>
      <c r="M33" s="20"/>
      <c r="N33" s="20"/>
    </row>
    <row r="34" spans="1:14" ht="20.25" x14ac:dyDescent="0.3">
      <c r="A34" s="20">
        <f>C30</f>
        <v>39.1</v>
      </c>
      <c r="B34" s="20">
        <f>C31</f>
        <v>417.5925566970343</v>
      </c>
      <c r="C34" s="20"/>
      <c r="D34" s="20"/>
      <c r="E34" s="20"/>
      <c r="F34" s="20">
        <f>H30</f>
        <v>460</v>
      </c>
      <c r="G34" s="20">
        <f>H31</f>
        <v>40.245146088595661</v>
      </c>
    </row>
    <row r="35" spans="1:14" ht="20.25" x14ac:dyDescent="0.3">
      <c r="A35" s="20"/>
      <c r="B35" s="20"/>
      <c r="C35" s="20"/>
      <c r="D35" s="20"/>
      <c r="E35" s="20"/>
      <c r="F35" s="20"/>
      <c r="G35" s="20"/>
    </row>
    <row r="36" spans="1:14" ht="20.25" x14ac:dyDescent="0.3">
      <c r="A36" s="20"/>
      <c r="B36" s="20"/>
      <c r="C36" s="20"/>
      <c r="D36" s="20"/>
      <c r="E36" s="20"/>
      <c r="F36" s="20"/>
      <c r="G36" s="20"/>
    </row>
    <row r="37" spans="1:14" ht="20.25" x14ac:dyDescent="0.3">
      <c r="A37" s="20"/>
      <c r="B37" s="20"/>
      <c r="C37" s="20"/>
      <c r="D37" s="20"/>
      <c r="E37" s="20"/>
      <c r="F37" s="20"/>
      <c r="G37" s="20"/>
    </row>
    <row r="38" spans="1:14" ht="20.25" x14ac:dyDescent="0.3">
      <c r="A38" s="20" t="s">
        <v>116</v>
      </c>
      <c r="B38" s="20">
        <f>(IMABS(O25)*SQRT((100-2)))/SQRT((1-O25*O25))</f>
        <v>19.099796759808388</v>
      </c>
      <c r="C38" s="20"/>
      <c r="D38" s="20" t="s">
        <v>117</v>
      </c>
      <c r="E38" s="20">
        <v>1.984</v>
      </c>
      <c r="F38" s="20"/>
      <c r="G38" s="20"/>
    </row>
    <row r="39" spans="1:14" ht="20.25" x14ac:dyDescent="0.3">
      <c r="A39" s="20" t="s">
        <v>122</v>
      </c>
      <c r="B39" s="20"/>
      <c r="C39" s="20"/>
      <c r="D39" s="20"/>
      <c r="E39" s="20"/>
      <c r="F39" s="20"/>
      <c r="G39" s="20"/>
    </row>
    <row r="40" spans="1:14" x14ac:dyDescent="0.25">
      <c r="A40" t="s">
        <v>123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2021-05-27T17:32:26Z</dcterms:modified>
</cp:coreProperties>
</file>