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905" windowWidth="14805" windowHeight="801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J3" i="1" l="1"/>
  <c r="AJ2" i="1"/>
  <c r="AI3" i="1"/>
  <c r="AI2" i="1"/>
  <c r="AH3" i="1"/>
  <c r="AH2" i="1"/>
  <c r="AG3" i="1"/>
  <c r="AG2" i="1"/>
  <c r="AF3" i="1"/>
  <c r="AF2" i="1"/>
  <c r="AE3" i="1"/>
  <c r="AE2" i="1"/>
  <c r="AD3" i="1"/>
  <c r="AD2" i="1"/>
  <c r="AC3" i="1"/>
  <c r="AC2" i="1"/>
  <c r="AB3" i="1"/>
  <c r="AB2" i="1"/>
  <c r="O22" i="3" l="1"/>
  <c r="O21" i="3"/>
  <c r="X17" i="3"/>
  <c r="X16" i="3"/>
  <c r="X15" i="3"/>
  <c r="X14" i="3"/>
  <c r="X13" i="3"/>
  <c r="X12" i="3"/>
  <c r="V19" i="3"/>
  <c r="U19" i="3"/>
  <c r="T19" i="3"/>
  <c r="S19" i="3"/>
  <c r="R19" i="3"/>
  <c r="Q19" i="3"/>
  <c r="P19" i="3"/>
  <c r="O19" i="3"/>
  <c r="S15" i="3"/>
  <c r="R16" i="3"/>
  <c r="Q17" i="3"/>
  <c r="H24" i="3"/>
  <c r="H23" i="3"/>
  <c r="H22" i="3"/>
  <c r="B27" i="3"/>
  <c r="B25" i="3"/>
  <c r="B22" i="3"/>
  <c r="K20" i="3"/>
  <c r="J20" i="3"/>
  <c r="I20" i="3"/>
  <c r="H19" i="3"/>
  <c r="I12" i="3"/>
  <c r="B12" i="3"/>
  <c r="G18" i="3"/>
  <c r="G17" i="3"/>
  <c r="G16" i="3"/>
  <c r="G15" i="3"/>
  <c r="G14" i="3"/>
  <c r="G13" i="3"/>
  <c r="G12" i="3"/>
  <c r="A17" i="3"/>
  <c r="A16" i="3"/>
  <c r="A15" i="3"/>
  <c r="A14" i="3"/>
  <c r="A13" i="3"/>
  <c r="A12" i="3"/>
  <c r="H8" i="3"/>
  <c r="G8" i="3"/>
  <c r="J3" i="3"/>
  <c r="J7" i="3"/>
  <c r="J6" i="3"/>
  <c r="J5" i="3"/>
  <c r="J4" i="3"/>
  <c r="J2" i="3"/>
  <c r="F8" i="3"/>
  <c r="E8" i="3"/>
  <c r="D8" i="3"/>
  <c r="C8" i="3"/>
  <c r="G45" i="2"/>
  <c r="C50" i="2"/>
  <c r="C45" i="2"/>
  <c r="H40" i="2"/>
  <c r="H39" i="2"/>
  <c r="G39" i="2"/>
  <c r="G40" i="2"/>
  <c r="F39" i="2"/>
  <c r="F40" i="2"/>
  <c r="D40" i="2"/>
  <c r="D39" i="2"/>
  <c r="B37" i="1"/>
  <c r="V19" i="1"/>
  <c r="N32" i="1"/>
  <c r="R26" i="1"/>
  <c r="L26" i="1"/>
  <c r="I26" i="1"/>
  <c r="I25" i="1"/>
  <c r="I27" i="1"/>
  <c r="I32" i="1"/>
  <c r="B26" i="1"/>
  <c r="A33" i="1"/>
  <c r="A32" i="1"/>
  <c r="A31" i="1"/>
  <c r="A30" i="1"/>
  <c r="A29" i="1"/>
  <c r="A28" i="1"/>
  <c r="A27" i="1"/>
  <c r="A26" i="1"/>
  <c r="M19" i="1"/>
  <c r="M17" i="1"/>
  <c r="S3" i="1"/>
  <c r="S2" i="1"/>
  <c r="R2" i="1"/>
  <c r="N3" i="1"/>
  <c r="M5" i="1"/>
  <c r="N1" i="1"/>
  <c r="V12" i="3" l="1"/>
  <c r="U12" i="3"/>
  <c r="T14" i="3"/>
  <c r="T13" i="3"/>
  <c r="T12" i="3"/>
  <c r="S13" i="3"/>
  <c r="Q16" i="3"/>
  <c r="Q15" i="3"/>
  <c r="P17" i="3"/>
  <c r="P16" i="3"/>
  <c r="O17" i="3"/>
  <c r="R14" i="3"/>
  <c r="H12" i="3"/>
  <c r="B17" i="3"/>
  <c r="B16" i="3"/>
  <c r="B15" i="3"/>
  <c r="B14" i="3"/>
  <c r="B13" i="3"/>
  <c r="I8" i="3"/>
  <c r="V18" i="3" s="1"/>
  <c r="U18" i="3"/>
  <c r="T18" i="3"/>
  <c r="S18" i="3"/>
  <c r="R18" i="3"/>
  <c r="Q18" i="3"/>
  <c r="P18" i="3"/>
  <c r="B8" i="3"/>
  <c r="C12" i="3"/>
  <c r="Z34" i="1"/>
  <c r="Z26" i="1"/>
  <c r="O18" i="3" l="1"/>
  <c r="J8" i="3"/>
  <c r="D12" i="3"/>
  <c r="E12" i="3" s="1"/>
  <c r="N12" i="3"/>
  <c r="F34" i="3"/>
  <c r="F33" i="3"/>
  <c r="H18" i="3"/>
  <c r="H17" i="3"/>
  <c r="H16" i="3"/>
  <c r="H15" i="3"/>
  <c r="H14" i="3"/>
  <c r="H13" i="3"/>
  <c r="C11" i="2"/>
  <c r="E41" i="2" s="1"/>
  <c r="C10" i="2"/>
  <c r="E40" i="2" s="1"/>
  <c r="C9" i="2"/>
  <c r="E39" i="2" s="1"/>
  <c r="C8" i="2"/>
  <c r="E38" i="2" s="1"/>
  <c r="F38" i="2" s="1"/>
  <c r="C7" i="2"/>
  <c r="E37" i="2" s="1"/>
  <c r="F37" i="2" s="1"/>
  <c r="C6" i="2"/>
  <c r="E36" i="2" s="1"/>
  <c r="F36" i="2" s="1"/>
  <c r="C5" i="2"/>
  <c r="E35" i="2" s="1"/>
  <c r="F35" i="2" s="1"/>
  <c r="N26" i="1"/>
  <c r="E42" i="2" l="1"/>
  <c r="A34" i="3"/>
  <c r="A33" i="3"/>
  <c r="D5" i="2"/>
  <c r="E5" i="2"/>
  <c r="F5" i="2"/>
  <c r="W17" i="3" l="1"/>
  <c r="W16" i="3"/>
  <c r="W15" i="3"/>
  <c r="W14" i="3"/>
  <c r="W13" i="3"/>
  <c r="W12" i="3"/>
  <c r="S14" i="3"/>
  <c r="R15" i="3"/>
  <c r="I19" i="3"/>
  <c r="I18" i="3"/>
  <c r="I17" i="3"/>
  <c r="I16" i="3"/>
  <c r="I15" i="3"/>
  <c r="I14" i="3"/>
  <c r="I13" i="3"/>
  <c r="C17" i="3"/>
  <c r="C16" i="3"/>
  <c r="C15" i="3"/>
  <c r="C14" i="3"/>
  <c r="C13" i="3"/>
  <c r="V11" i="3"/>
  <c r="T11" i="3"/>
  <c r="S11" i="3"/>
  <c r="Q11" i="3"/>
  <c r="N16" i="3"/>
  <c r="N13" i="3"/>
  <c r="C18" i="3" l="1"/>
  <c r="J14" i="3"/>
  <c r="K14" i="3" s="1"/>
  <c r="J18" i="3"/>
  <c r="K18" i="3" s="1"/>
  <c r="J12" i="3"/>
  <c r="D17" i="3"/>
  <c r="E17" i="3" s="1"/>
  <c r="J15" i="3"/>
  <c r="K15" i="3" s="1"/>
  <c r="D14" i="3"/>
  <c r="E14" i="3" s="1"/>
  <c r="J13" i="3"/>
  <c r="K13" i="3" s="1"/>
  <c r="O11" i="3"/>
  <c r="P11" i="3"/>
  <c r="D15" i="3"/>
  <c r="E15" i="3" s="1"/>
  <c r="U11" i="3"/>
  <c r="D16" i="3"/>
  <c r="E16" i="3" s="1"/>
  <c r="J16" i="3"/>
  <c r="K16" i="3" s="1"/>
  <c r="N14" i="3"/>
  <c r="D13" i="3"/>
  <c r="J19" i="3"/>
  <c r="K19" i="3" s="1"/>
  <c r="R11" i="3"/>
  <c r="N15" i="3"/>
  <c r="J17" i="3"/>
  <c r="K17" i="3" s="1"/>
  <c r="N17" i="3"/>
  <c r="F11" i="2"/>
  <c r="F10" i="2"/>
  <c r="F9" i="2"/>
  <c r="F8" i="2"/>
  <c r="F7" i="2"/>
  <c r="F6" i="2"/>
  <c r="E11" i="2"/>
  <c r="E10" i="2"/>
  <c r="E9" i="2"/>
  <c r="E8" i="2"/>
  <c r="E7" i="2"/>
  <c r="E6" i="2"/>
  <c r="D11" i="2"/>
  <c r="D10" i="2"/>
  <c r="D9" i="2"/>
  <c r="D8" i="2"/>
  <c r="D7" i="2"/>
  <c r="D6" i="2"/>
  <c r="C12" i="2"/>
  <c r="K12" i="3" l="1"/>
  <c r="E13" i="3"/>
  <c r="E18" i="3" s="1"/>
  <c r="B23" i="3" s="1"/>
  <c r="D18" i="3"/>
  <c r="C15" i="2"/>
  <c r="B46" i="2" s="1"/>
  <c r="I15" i="2"/>
  <c r="B52" i="2" s="1"/>
  <c r="D15" i="2"/>
  <c r="B47" i="2" s="1"/>
  <c r="F15" i="2"/>
  <c r="B49" i="2" s="1"/>
  <c r="E15" i="2"/>
  <c r="B48" i="2" s="1"/>
  <c r="G15" i="2"/>
  <c r="B50" i="2" s="1"/>
  <c r="H15" i="2"/>
  <c r="B51" i="2" s="1"/>
  <c r="E12" i="2"/>
  <c r="I4" i="2" s="1"/>
  <c r="B32" i="2" s="1"/>
  <c r="B35" i="2" s="1"/>
  <c r="F12" i="2"/>
  <c r="I5" i="2" s="1"/>
  <c r="B15" i="2"/>
  <c r="B45" i="2" s="1"/>
  <c r="H25" i="3" l="1"/>
  <c r="B24" i="3"/>
  <c r="C49" i="2"/>
  <c r="D49" i="2" s="1"/>
  <c r="C35" i="2"/>
  <c r="D35" i="2" s="1"/>
  <c r="D45" i="2"/>
  <c r="I6" i="2"/>
  <c r="I7" i="2" s="1"/>
  <c r="X18" i="3"/>
  <c r="W19" i="3"/>
  <c r="B38" i="2"/>
  <c r="C38" i="2" s="1"/>
  <c r="D38" i="2" s="1"/>
  <c r="B36" i="2"/>
  <c r="C36" i="2" s="1"/>
  <c r="D36" i="2" s="1"/>
  <c r="B39" i="2"/>
  <c r="C39" i="2" s="1"/>
  <c r="B41" i="2"/>
  <c r="C41" i="2" s="1"/>
  <c r="B37" i="2"/>
  <c r="C37" i="2" s="1"/>
  <c r="D37" i="2" s="1"/>
  <c r="B40" i="2"/>
  <c r="C40" i="2" s="1"/>
  <c r="C52" i="2"/>
  <c r="D52" i="2" s="1"/>
  <c r="C51" i="2"/>
  <c r="D51" i="2" s="1"/>
  <c r="C48" i="2"/>
  <c r="D48" i="2" s="1"/>
  <c r="D50" i="2"/>
  <c r="C47" i="2"/>
  <c r="D47" i="2" s="1"/>
  <c r="C46" i="2"/>
  <c r="D46" i="2" s="1"/>
  <c r="Z33" i="1"/>
  <c r="Z32" i="1"/>
  <c r="Z31" i="1"/>
  <c r="Z30" i="1"/>
  <c r="Z29" i="1"/>
  <c r="Z28" i="1"/>
  <c r="Z27" i="1"/>
  <c r="N33" i="1"/>
  <c r="R33" i="1" s="1"/>
  <c r="R32" i="1"/>
  <c r="N31" i="1"/>
  <c r="R31" i="1" s="1"/>
  <c r="N30" i="1"/>
  <c r="R30" i="1" s="1"/>
  <c r="N29" i="1"/>
  <c r="R29" i="1" s="1"/>
  <c r="N28" i="1"/>
  <c r="R28" i="1" s="1"/>
  <c r="N27" i="1"/>
  <c r="O24" i="3" l="1"/>
  <c r="B26" i="3"/>
  <c r="O23" i="3"/>
  <c r="R27" i="1"/>
  <c r="N34" i="1"/>
  <c r="R34" i="1" s="1"/>
  <c r="G38" i="2"/>
  <c r="H38" i="2" s="1"/>
  <c r="B42" i="2"/>
  <c r="G35" i="2"/>
  <c r="H35" i="2" s="1"/>
  <c r="G36" i="2"/>
  <c r="H36" i="2" s="1"/>
  <c r="C33" i="1"/>
  <c r="Q33" i="1" s="1"/>
  <c r="S33" i="1" s="1"/>
  <c r="T33" i="1" s="1"/>
  <c r="U33" i="1" s="1"/>
  <c r="C32" i="1"/>
  <c r="Q32" i="1" s="1"/>
  <c r="S32" i="1" s="1"/>
  <c r="T32" i="1" s="1"/>
  <c r="U32" i="1" s="1"/>
  <c r="C31" i="1"/>
  <c r="Q31" i="1" s="1"/>
  <c r="S31" i="1" s="1"/>
  <c r="T31" i="1" s="1"/>
  <c r="U31" i="1" s="1"/>
  <c r="C30" i="1"/>
  <c r="Q30" i="1" s="1"/>
  <c r="S30" i="1" s="1"/>
  <c r="T30" i="1" s="1"/>
  <c r="U30" i="1" s="1"/>
  <c r="C29" i="1"/>
  <c r="Q29" i="1" s="1"/>
  <c r="S29" i="1" s="1"/>
  <c r="T29" i="1" s="1"/>
  <c r="U29" i="1" s="1"/>
  <c r="C28" i="1"/>
  <c r="Q28" i="1" s="1"/>
  <c r="S28" i="1" s="1"/>
  <c r="T28" i="1" s="1"/>
  <c r="U28" i="1" s="1"/>
  <c r="C27" i="1"/>
  <c r="Q27" i="1" s="1"/>
  <c r="C26" i="1"/>
  <c r="Q26" i="1" s="1"/>
  <c r="Q10" i="1"/>
  <c r="O25" i="3" l="1"/>
  <c r="B38" i="3" s="1"/>
  <c r="H26" i="3"/>
  <c r="H27" i="3" s="1"/>
  <c r="M18" i="1"/>
  <c r="R5" i="1"/>
  <c r="R4" i="1"/>
  <c r="S4" i="1" s="1"/>
  <c r="M16" i="1"/>
  <c r="X27" i="1" s="1"/>
  <c r="AA27" i="1" s="1"/>
  <c r="R9" i="1"/>
  <c r="S9" i="1" s="1"/>
  <c r="R8" i="1"/>
  <c r="S8" i="1" s="1"/>
  <c r="R7" i="1"/>
  <c r="S7" i="1" s="1"/>
  <c r="R6" i="1"/>
  <c r="S6" i="1" s="1"/>
  <c r="X28" i="1"/>
  <c r="AA28" i="1" s="1"/>
  <c r="R3" i="1"/>
  <c r="S27" i="1"/>
  <c r="T27" i="1" s="1"/>
  <c r="U27" i="1" s="1"/>
  <c r="S26" i="1"/>
  <c r="T26" i="1" s="1"/>
  <c r="U26" i="1" s="1"/>
  <c r="U34" i="1" s="1"/>
  <c r="V15" i="1" s="1"/>
  <c r="Q34" i="1"/>
  <c r="G37" i="2"/>
  <c r="H37" i="2" s="1"/>
  <c r="C34" i="1"/>
  <c r="K26" i="1"/>
  <c r="S5" i="1"/>
  <c r="X29" i="1"/>
  <c r="AA29" i="1" s="1"/>
  <c r="X30" i="1"/>
  <c r="AA30" i="1" s="1"/>
  <c r="M20" i="1"/>
  <c r="X31" i="1" s="1"/>
  <c r="AA31" i="1" s="1"/>
  <c r="M23" i="1"/>
  <c r="X34" i="1" s="1"/>
  <c r="AA34" i="1" s="1"/>
  <c r="M21" i="1"/>
  <c r="X32" i="1" s="1"/>
  <c r="AA32" i="1" s="1"/>
  <c r="M22" i="1"/>
  <c r="X33" i="1" s="1"/>
  <c r="AA33" i="1" s="1"/>
  <c r="M15" i="1"/>
  <c r="X26" i="1" s="1"/>
  <c r="AA26" i="1" s="1"/>
  <c r="M6" i="1"/>
  <c r="Q29" i="3" l="1"/>
  <c r="C31" i="3" s="1"/>
  <c r="Q30" i="3"/>
  <c r="G31" i="3" s="1"/>
  <c r="G33" i="3" s="1"/>
  <c r="R10" i="1"/>
  <c r="D26" i="1"/>
  <c r="V21" i="1"/>
  <c r="G42" i="2"/>
  <c r="K34" i="2" s="1"/>
  <c r="W26" i="1"/>
  <c r="A37" i="1"/>
  <c r="K27" i="1"/>
  <c r="M7" i="1"/>
  <c r="B31" i="3" l="1"/>
  <c r="B33" i="3" s="1"/>
  <c r="H31" i="3"/>
  <c r="G34" i="3" s="1"/>
  <c r="F26" i="1"/>
  <c r="E26" i="1" s="1"/>
  <c r="B34" i="3"/>
  <c r="W27" i="1"/>
  <c r="A38" i="1"/>
  <c r="K28" i="1"/>
  <c r="B27" i="1"/>
  <c r="D27" i="1" s="1"/>
  <c r="M8" i="1"/>
  <c r="F27" i="1" l="1"/>
  <c r="E27" i="1" s="1"/>
  <c r="W28" i="1"/>
  <c r="A39" i="1"/>
  <c r="K29" i="1"/>
  <c r="B28" i="1"/>
  <c r="D28" i="1" s="1"/>
  <c r="M9" i="1"/>
  <c r="B29" i="1" s="1"/>
  <c r="D29" i="1" s="1"/>
  <c r="W29" i="1" l="1"/>
  <c r="A40" i="1"/>
  <c r="F28" i="1"/>
  <c r="K30" i="1"/>
  <c r="F29" i="1"/>
  <c r="E29" i="1" s="1"/>
  <c r="M10" i="1"/>
  <c r="W30" i="1" l="1"/>
  <c r="A41" i="1"/>
  <c r="K31" i="1"/>
  <c r="B30" i="1"/>
  <c r="D30" i="1" s="1"/>
  <c r="E28" i="1"/>
  <c r="M11" i="1"/>
  <c r="B31" i="1" s="1"/>
  <c r="F31" i="1" s="1"/>
  <c r="E31" i="1" s="1"/>
  <c r="F30" i="1" l="1"/>
  <c r="E30" i="1" s="1"/>
  <c r="W31" i="1"/>
  <c r="A42" i="1"/>
  <c r="D31" i="1"/>
  <c r="K32" i="1"/>
  <c r="M12" i="1"/>
  <c r="W32" i="1" l="1"/>
  <c r="A43" i="1"/>
  <c r="K33" i="1"/>
  <c r="B32" i="1"/>
  <c r="D32" i="1" s="1"/>
  <c r="M13" i="1"/>
  <c r="K34" i="1" s="1"/>
  <c r="W34" i="1" l="1"/>
  <c r="A45" i="1"/>
  <c r="W33" i="1"/>
  <c r="A44" i="1"/>
  <c r="F32" i="1"/>
  <c r="B33" i="1"/>
  <c r="D33" i="1" s="1"/>
  <c r="D34" i="1" s="1"/>
  <c r="F33" i="1" l="1"/>
  <c r="E33" i="1" s="1"/>
  <c r="E32" i="1"/>
  <c r="F34" i="1" l="1"/>
  <c r="E34" i="1"/>
  <c r="I28" i="1" l="1"/>
  <c r="I29" i="1"/>
  <c r="I30" i="1" s="1"/>
  <c r="B45" i="1" s="1"/>
  <c r="L31" i="1"/>
  <c r="B42" i="1"/>
  <c r="L34" i="1"/>
  <c r="L30" i="1" l="1"/>
  <c r="L29" i="1"/>
  <c r="L27" i="1"/>
  <c r="L33" i="1"/>
  <c r="B38" i="1"/>
  <c r="L28" i="1"/>
  <c r="L32" i="1"/>
  <c r="B41" i="1"/>
  <c r="B39" i="1"/>
  <c r="L43" i="1"/>
  <c r="I33" i="1"/>
  <c r="B43" i="1"/>
  <c r="B44" i="1"/>
  <c r="B40" i="1"/>
  <c r="L37" i="1"/>
  <c r="L38" i="1" s="1"/>
  <c r="L39" i="1" l="1"/>
  <c r="L44" i="1"/>
  <c r="L45" i="1"/>
</calcChain>
</file>

<file path=xl/sharedStrings.xml><?xml version="1.0" encoding="utf-8"?>
<sst xmlns="http://schemas.openxmlformats.org/spreadsheetml/2006/main" count="220" uniqueCount="170">
  <si>
    <t xml:space="preserve">xmax −xmin </t>
  </si>
  <si>
    <t>число интервалов</t>
  </si>
  <si>
    <t>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</si>
  <si>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</si>
  <si>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</si>
  <si>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</si>
  <si>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</si>
  <si>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</si>
  <si>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</si>
  <si>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</si>
  <si>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</si>
  <si>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</si>
  <si>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Интервалы</t>
  </si>
  <si>
    <r>
      <t>∑</t>
    </r>
    <r>
      <rPr>
        <sz val="12"/>
        <color rgb="FF000000"/>
        <rFont val="Times New Roman"/>
        <family val="1"/>
        <charset val="204"/>
      </rPr>
      <t xml:space="preserve"> </t>
    </r>
  </si>
  <si>
    <t xml:space="preserve"> </t>
  </si>
  <si>
    <t>сумма</t>
  </si>
  <si>
    <t>wi /h</t>
  </si>
  <si>
    <t xml:space="preserve">mi </t>
  </si>
  <si>
    <t xml:space="preserve">wi </t>
  </si>
  <si>
    <r>
      <t>a</t>
    </r>
    <r>
      <rPr>
        <sz val="11.5"/>
        <color rgb="FF000000"/>
        <rFont val="Times New Roman"/>
        <family val="1"/>
        <charset val="204"/>
      </rPr>
      <t>i</t>
    </r>
    <r>
      <rPr>
        <sz val="14"/>
        <color rgb="FF000000"/>
        <rFont val="Segoe UI Symbol"/>
        <family val="2"/>
      </rPr>
      <t>−</t>
    </r>
    <r>
      <rPr>
        <sz val="15"/>
        <color rgb="FF000000"/>
        <rFont val="Times New Roman"/>
        <family val="1"/>
        <charset val="204"/>
      </rPr>
      <t>a</t>
    </r>
    <r>
      <rPr>
        <sz val="11.5"/>
        <color rgb="FF000000"/>
        <rFont val="Times New Roman"/>
        <family val="1"/>
        <charset val="204"/>
      </rPr>
      <t>i</t>
    </r>
    <r>
      <rPr>
        <sz val="11"/>
        <color rgb="FF000000"/>
        <rFont val="Segoe UI Symbol"/>
        <family val="2"/>
      </rPr>
      <t>+</t>
    </r>
    <r>
      <rPr>
        <sz val="11"/>
        <color rgb="FF000000"/>
        <rFont val="Times New Roman"/>
        <family val="1"/>
        <charset val="204"/>
      </rPr>
      <t>1</t>
    </r>
    <r>
      <rPr>
        <sz val="12"/>
        <color rgb="FF000000"/>
        <rFont val="Times New Roman"/>
        <family val="1"/>
        <charset val="204"/>
      </rPr>
      <t xml:space="preserve"> </t>
    </r>
  </si>
  <si>
    <r>
      <t>x</t>
    </r>
    <r>
      <rPr>
        <vertAlign val="subscript"/>
        <sz val="15"/>
        <color rgb="FF000000"/>
        <rFont val="Times New Roman"/>
        <family val="1"/>
        <charset val="204"/>
      </rPr>
      <t>i</t>
    </r>
    <r>
      <rPr>
        <sz val="12"/>
        <color rgb="FF000000"/>
        <rFont val="Times New Roman"/>
        <family val="1"/>
        <charset val="204"/>
      </rPr>
      <t xml:space="preserve"> </t>
    </r>
  </si>
  <si>
    <r>
      <t>m</t>
    </r>
    <r>
      <rPr>
        <vertAlign val="subscript"/>
        <sz val="15"/>
        <color rgb="FF000000"/>
        <rFont val="Times New Roman"/>
        <family val="1"/>
        <charset val="204"/>
      </rPr>
      <t>i</t>
    </r>
    <r>
      <rPr>
        <sz val="12"/>
        <color rgb="FF000000"/>
        <rFont val="Times New Roman"/>
        <family val="1"/>
        <charset val="204"/>
      </rPr>
      <t xml:space="preserve"> </t>
    </r>
  </si>
  <si>
    <r>
      <t>x</t>
    </r>
    <r>
      <rPr>
        <sz val="11.5"/>
        <color rgb="FF000000"/>
        <rFont val="Times New Roman"/>
        <family val="1"/>
        <charset val="204"/>
      </rPr>
      <t>i</t>
    </r>
    <r>
      <rPr>
        <sz val="15"/>
        <color rgb="FF000000"/>
        <rFont val="Times New Roman"/>
        <family val="1"/>
        <charset val="204"/>
      </rPr>
      <t>m</t>
    </r>
    <r>
      <rPr>
        <sz val="11.5"/>
        <color rgb="FF000000"/>
        <rFont val="Times New Roman"/>
        <family val="1"/>
        <charset val="204"/>
      </rPr>
      <t>i</t>
    </r>
    <r>
      <rPr>
        <sz val="12"/>
        <color rgb="FF000000"/>
        <rFont val="Times New Roman"/>
        <family val="1"/>
        <charset val="204"/>
      </rPr>
      <t xml:space="preserve"> </t>
    </r>
  </si>
  <si>
    <r>
      <t>x</t>
    </r>
    <r>
      <rPr>
        <sz val="11.5"/>
        <color rgb="FF000000"/>
        <rFont val="Times New Roman"/>
        <family val="1"/>
        <charset val="204"/>
      </rPr>
      <t>i</t>
    </r>
    <r>
      <rPr>
        <sz val="11"/>
        <color rgb="FF000000"/>
        <rFont val="Times New Roman"/>
        <family val="1"/>
        <charset val="204"/>
      </rPr>
      <t>2</t>
    </r>
    <r>
      <rPr>
        <sz val="14.5"/>
        <color rgb="FF000000"/>
        <rFont val="Times New Roman"/>
        <family val="1"/>
        <charset val="204"/>
      </rPr>
      <t>m</t>
    </r>
    <r>
      <rPr>
        <sz val="11.5"/>
        <color rgb="FF000000"/>
        <rFont val="Times New Roman"/>
        <family val="1"/>
        <charset val="204"/>
      </rPr>
      <t>i</t>
    </r>
    <r>
      <rPr>
        <sz val="12"/>
        <color rgb="FF000000"/>
        <rFont val="Times New Roman"/>
        <family val="1"/>
        <charset val="204"/>
      </rPr>
      <t xml:space="preserve"> </t>
    </r>
  </si>
  <si>
    <t>xi2</t>
  </si>
  <si>
    <t>хв</t>
  </si>
  <si>
    <t>х2</t>
  </si>
  <si>
    <t>D</t>
  </si>
  <si>
    <t>q</t>
  </si>
  <si>
    <t>s2</t>
  </si>
  <si>
    <t>s</t>
  </si>
  <si>
    <t>хв-3s</t>
  </si>
  <si>
    <t>хв+3s</t>
  </si>
  <si>
    <t>ai</t>
  </si>
  <si>
    <t>(ai-хв)/s</t>
  </si>
  <si>
    <t>Ф(ui)</t>
  </si>
  <si>
    <t>Pi</t>
  </si>
  <si>
    <t xml:space="preserve">∑ </t>
  </si>
  <si>
    <t>№</t>
  </si>
  <si>
    <t>mi'</t>
  </si>
  <si>
    <t>mi-mi'</t>
  </si>
  <si>
    <t>(mi-mi')2</t>
  </si>
  <si>
    <t>((mi-mi')2)/mi'</t>
  </si>
  <si>
    <t>x2набл</t>
  </si>
  <si>
    <t>х2крит</t>
  </si>
  <si>
    <t>Гипотеза о нормальном распределении принимается</t>
  </si>
  <si>
    <t>Правило 3 сигм принимается</t>
  </si>
  <si>
    <t>F*(ai)</t>
  </si>
  <si>
    <t>0,5+Ф(ui)</t>
  </si>
  <si>
    <t>F(ai)</t>
  </si>
  <si>
    <t>|F*(ai)-F(ai)|</t>
  </si>
  <si>
    <t>max|F*(ai)-F(ai)|</t>
  </si>
  <si>
    <r>
      <t>λ</t>
    </r>
    <r>
      <rPr>
        <sz val="11"/>
        <color theme="1"/>
        <rFont val="Calibri"/>
        <family val="2"/>
      </rPr>
      <t>крит</t>
    </r>
  </si>
  <si>
    <t>λопыт</t>
  </si>
  <si>
    <t>f(ai)</t>
  </si>
  <si>
    <t>δ</t>
  </si>
  <si>
    <t>ty</t>
  </si>
  <si>
    <t>хв-δ</t>
  </si>
  <si>
    <t>хв+δ</t>
  </si>
  <si>
    <t>Ϭ</t>
  </si>
  <si>
    <t>s-δ</t>
  </si>
  <si>
    <t>s+δ</t>
  </si>
  <si>
    <t>mi</t>
  </si>
  <si>
    <t>ai-ai+1</t>
  </si>
  <si>
    <t>xi</t>
  </si>
  <si>
    <t>mi/h</t>
  </si>
  <si>
    <t>xi*mi</t>
  </si>
  <si>
    <t>xi2*mi</t>
  </si>
  <si>
    <t>Сумма</t>
  </si>
  <si>
    <t>Dв</t>
  </si>
  <si>
    <t>λ</t>
  </si>
  <si>
    <t>|mi-mi'|</t>
  </si>
  <si>
    <t>х2набл</t>
  </si>
  <si>
    <t>Ϭв</t>
  </si>
  <si>
    <t>Гипотеза H0 не отвергается</t>
  </si>
  <si>
    <t>λкрит</t>
  </si>
  <si>
    <t>X\Y</t>
  </si>
  <si>
    <t>mx</t>
  </si>
  <si>
    <t>my</t>
  </si>
  <si>
    <t>n</t>
  </si>
  <si>
    <t>Xi</t>
  </si>
  <si>
    <t>ui</t>
  </si>
  <si>
    <t>ui*mx</t>
  </si>
  <si>
    <t>ui2*mx</t>
  </si>
  <si>
    <t>С1</t>
  </si>
  <si>
    <t>С2</t>
  </si>
  <si>
    <t>vj</t>
  </si>
  <si>
    <t>Yj</t>
  </si>
  <si>
    <t>vj2*my</t>
  </si>
  <si>
    <t>vj*my</t>
  </si>
  <si>
    <t>uв</t>
  </si>
  <si>
    <t>u2</t>
  </si>
  <si>
    <t>Du</t>
  </si>
  <si>
    <t>Dx</t>
  </si>
  <si>
    <t>vв</t>
  </si>
  <si>
    <t>v2</t>
  </si>
  <si>
    <t>Dv</t>
  </si>
  <si>
    <t>yв</t>
  </si>
  <si>
    <t>Dy</t>
  </si>
  <si>
    <t>ui\vi</t>
  </si>
  <si>
    <t>ui*S(vj*mxy)</t>
  </si>
  <si>
    <t>uv</t>
  </si>
  <si>
    <t>uv-u*v</t>
  </si>
  <si>
    <t>Ϭu</t>
  </si>
  <si>
    <t>Ϭv</t>
  </si>
  <si>
    <t>Ϭx</t>
  </si>
  <si>
    <t>Ϭy</t>
  </si>
  <si>
    <t>rв</t>
  </si>
  <si>
    <t>x</t>
  </si>
  <si>
    <t>y</t>
  </si>
  <si>
    <t>yx-yв=rв*(Ϭy/Ϭx)(x-xв)</t>
  </si>
  <si>
    <t>rв*(Ϭy/Ϭx)</t>
  </si>
  <si>
    <t>rв*(Ϭx/Ϭy)</t>
  </si>
  <si>
    <t>xy-xв=rв*(Ϭx/Ϭy)(y-yв)</t>
  </si>
  <si>
    <t>Yx</t>
  </si>
  <si>
    <t>Xy</t>
  </si>
  <si>
    <t>|tнабл|</t>
  </si>
  <si>
    <t>tкрит</t>
  </si>
  <si>
    <t>h1</t>
  </si>
  <si>
    <t>h2</t>
  </si>
  <si>
    <t>vj*S(ui*mxy)</t>
  </si>
  <si>
    <t>|tнабл|&gt;2 Не отвергаем и не принимаем гипотезу H1</t>
  </si>
  <si>
    <t>rв - значимый коэфициент</t>
  </si>
  <si>
    <t>180-210</t>
  </si>
  <si>
    <t>yx=-0,07*(x-260,7)+9,88</t>
  </si>
  <si>
    <t>xy=-10,7*(y-9,88)+260,7</t>
  </si>
  <si>
    <t>11,6-21,725</t>
  </si>
  <si>
    <t>21,725-31,85</t>
  </si>
  <si>
    <t>31,85-41,975</t>
  </si>
  <si>
    <t>41,975-52,1</t>
  </si>
  <si>
    <t>52,1-62,225</t>
  </si>
  <si>
    <t>62,225-72,35</t>
  </si>
  <si>
    <t>72,35-82,475</t>
  </si>
  <si>
    <t>82,475-92,6</t>
  </si>
  <si>
    <t>F*(11,6)</t>
  </si>
  <si>
    <t>F*(21,725)</t>
  </si>
  <si>
    <t>F*(31,85)</t>
  </si>
  <si>
    <t>F*(41,975)</t>
  </si>
  <si>
    <t>F*(52,1)</t>
  </si>
  <si>
    <t>F*(62,225)</t>
  </si>
  <si>
    <t>F*(72,35)</t>
  </si>
  <si>
    <t>F*(82,475)</t>
  </si>
  <si>
    <t>F*(92,6)</t>
  </si>
  <si>
    <t>0,5-0,5</t>
  </si>
  <si>
    <t>0,5-0,4032</t>
  </si>
  <si>
    <t>0,5-0,3133</t>
  </si>
  <si>
    <t>0,5-0,1628</t>
  </si>
  <si>
    <t>0,5+0,0016</t>
  </si>
  <si>
    <t>0,5+0,1950</t>
  </si>
  <si>
    <t>0,5+0,3365</t>
  </si>
  <si>
    <t>0,5+0,4265</t>
  </si>
  <si>
    <t>0,5+0,5</t>
  </si>
  <si>
    <t>a∈(46,9;55,45)</t>
  </si>
  <si>
    <t>P(46,9&lt;a&lt;55,45)=0,95</t>
  </si>
  <si>
    <t>Ϭ∈(18,42;24,56)</t>
  </si>
  <si>
    <t>P(18,42&lt;Ϭ&lt;24,56)=0,95</t>
  </si>
  <si>
    <t>0-30</t>
  </si>
  <si>
    <t>30-60</t>
  </si>
  <si>
    <t>60-90</t>
  </si>
  <si>
    <t>90-120</t>
  </si>
  <si>
    <t>120-150</t>
  </si>
  <si>
    <t>150-180</t>
  </si>
  <si>
    <t>7,5</t>
  </si>
  <si>
    <t>8,0</t>
  </si>
  <si>
    <t>8,5</t>
  </si>
  <si>
    <t>9,0</t>
  </si>
  <si>
    <t>9,5</t>
  </si>
  <si>
    <t>10,0</t>
  </si>
  <si>
    <t>10,5</t>
  </si>
  <si>
    <t>11,0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</si>
</sst>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5"/>
      <color rgb="FF000000"/>
      <name val="Times New Roman"/>
      <family val="1"/>
      <charset val="204"/>
    </font>
    <font>
      <sz val="11.5"/>
      <color rgb="FF000000"/>
      <name val="Times New Roman"/>
      <family val="1"/>
      <charset val="204"/>
    </font>
    <font>
      <sz val="20"/>
      <color rgb="FF000000"/>
      <name val="Segoe UI Symbol"/>
      <family val="2"/>
    </font>
    <font>
      <sz val="14"/>
      <color rgb="FF000000"/>
      <name val="Segoe UI Symbol"/>
      <family val="2"/>
    </font>
    <font>
      <sz val="16"/>
      <color rgb="FF000000"/>
      <name val="Segoe UI Symbol"/>
      <family val="2"/>
    </font>
    <font>
      <sz val="11"/>
      <color rgb="FF000000"/>
      <name val="Segoe UI Symbol"/>
      <family val="2"/>
    </font>
    <font>
      <sz val="11"/>
      <color rgb="FF000000"/>
      <name val="Times New Roman"/>
      <family val="1"/>
      <charset val="204"/>
    </font>
    <font>
      <vertAlign val="subscript"/>
      <sz val="15"/>
      <color rgb="FF000000"/>
      <name val="Times New Roman"/>
      <family val="1"/>
      <charset val="204"/>
    </font>
    <font>
      <sz val="14.5"/>
      <color rgb="FF000000"/>
      <name val="Times New Roman"/>
      <family val="1"/>
      <charset val="204"/>
    </font>
    <font>
      <sz val="14.5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i/>
      <sz val="11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sz val="16"/>
      <color theme="1"/>
      <name val="Arial"/>
      <family val="2"/>
      <charset val="204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</borders>
  <cellStyleXfs count="2">
    <xf numFmtId="0" fontId="0" fillId="0" borderId="0"/>
    <xf numFmtId="0" fontId="12" fillId="0" borderId="5"/>
  </cellStyleXfs>
  <cellXfs count="36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 indent="1"/>
    </xf>
    <xf numFmtId="0" fontId="7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5" xfId="1"/>
    <xf numFmtId="0" fontId="12" fillId="0" borderId="5" xfId="1" applyNumberFormat="1"/>
    <xf numFmtId="0" fontId="12" fillId="0" borderId="5" xfId="1" applyNumberFormat="1" applyAlignment="1">
      <alignment horizontal="center"/>
    </xf>
    <xf numFmtId="0" fontId="12" fillId="0" borderId="5" xfId="1" applyAlignment="1">
      <alignment horizontal="center"/>
    </xf>
    <xf numFmtId="0" fontId="13" fillId="0" borderId="0" xfId="0" applyFont="1"/>
    <xf numFmtId="0" fontId="15" fillId="0" borderId="0" xfId="0" applyFont="1"/>
    <xf numFmtId="164" fontId="12" fillId="0" borderId="5" xfId="1" applyNumberFormat="1"/>
    <xf numFmtId="0" fontId="16" fillId="0" borderId="0" xfId="0" applyFont="1"/>
    <xf numFmtId="0" fontId="16" fillId="0" borderId="0" xfId="1" applyFont="1" applyFill="1" applyBorder="1"/>
    <xf numFmtId="0" fontId="17" fillId="0" borderId="0" xfId="0" applyFont="1"/>
    <xf numFmtId="0" fontId="18" fillId="0" borderId="0" xfId="0" applyFont="1"/>
    <xf numFmtId="0" fontId="17" fillId="0" borderId="0" xfId="1" applyFont="1" applyFill="1" applyBorder="1"/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2" fillId="0" borderId="5" xfId="1" applyFill="1" applyAlignment="1">
      <alignment horizontal="center"/>
    </xf>
    <xf numFmtId="0" fontId="12" fillId="3" borderId="5" xfId="1" applyFill="1" applyAlignment="1">
      <alignment horizontal="center"/>
    </xf>
    <xf numFmtId="164" fontId="12" fillId="0" borderId="5" xfId="1" applyNumberFormat="1" applyFill="1"/>
    <xf numFmtId="164" fontId="12" fillId="3" borderId="5" xfId="1" applyNumberFormat="1" applyFill="1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49" fontId="12" fillId="0" borderId="5" xfId="1" applyNumberFormat="1"/>
    <xf numFmtId="0" fontId="12" fillId="0" borderId="6" xfId="1" applyBorder="1" applyAlignment="1">
      <alignment horizontal="center"/>
    </xf>
    <xf numFmtId="0" fontId="12" fillId="0" borderId="7" xfId="1" applyBorder="1" applyAlignment="1">
      <alignment horizontal="center"/>
    </xf>
  </cellXfs>
  <cellStyles count="2">
    <cellStyle name="Обычный" xfId="0" builtinId="0"/>
    <cellStyle name="Рита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относительных частот</a:t>
            </a:r>
          </a:p>
        </c:rich>
      </c:tx>
      <c:layout>
        <c:manualLayout>
          <c:xMode val="edge"/>
          <c:yMode val="edge"/>
          <c:x val="0.3108911983869706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Лист1!$P$2</c:f>
              <c:strCache>
                <c:ptCount val="1"/>
                <c:pt idx="0">
                  <c:v>11,6-21,725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Лист1!$S$2</c:f>
              <c:numCache>
                <c:formatCode>General</c:formatCode>
                <c:ptCount val="1"/>
                <c:pt idx="0">
                  <c:v>9.876543209876543E-3</c:v>
                </c:pt>
              </c:numCache>
            </c:numRef>
          </c:val>
        </c:ser>
        <c:ser>
          <c:idx val="0"/>
          <c:order val="1"/>
          <c:tx>
            <c:strRef>
              <c:f>Лист1!$P$3</c:f>
              <c:strCache>
                <c:ptCount val="1"/>
                <c:pt idx="0">
                  <c:v>21,725-31,85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Лист1!$S$3</c:f>
              <c:numCache>
                <c:formatCode>General</c:formatCode>
                <c:ptCount val="1"/>
                <c:pt idx="0">
                  <c:v>1.2839506172839507E-2</c:v>
                </c:pt>
              </c:numCache>
            </c:numRef>
          </c:val>
        </c:ser>
        <c:ser>
          <c:idx val="1"/>
          <c:order val="2"/>
          <c:tx>
            <c:strRef>
              <c:f>Лист1!$P$4</c:f>
              <c:strCache>
                <c:ptCount val="1"/>
                <c:pt idx="0">
                  <c:v>31,85-41,975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Лист1!$S$4</c:f>
              <c:numCache>
                <c:formatCode>General</c:formatCode>
                <c:ptCount val="1"/>
                <c:pt idx="0">
                  <c:v>1.2839506172839507E-2</c:v>
                </c:pt>
              </c:numCache>
            </c:numRef>
          </c:val>
        </c:ser>
        <c:ser>
          <c:idx val="3"/>
          <c:order val="3"/>
          <c:tx>
            <c:strRef>
              <c:f>Лист1!$P$5</c:f>
              <c:strCache>
                <c:ptCount val="1"/>
                <c:pt idx="0">
                  <c:v>41,975-52,1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Лист1!$S$5</c:f>
              <c:numCache>
                <c:formatCode>General</c:formatCode>
                <c:ptCount val="1"/>
                <c:pt idx="0">
                  <c:v>1.6790123456790124E-2</c:v>
                </c:pt>
              </c:numCache>
            </c:numRef>
          </c:val>
        </c:ser>
        <c:ser>
          <c:idx val="4"/>
          <c:order val="4"/>
          <c:tx>
            <c:strRef>
              <c:f>Лист1!$P$6</c:f>
              <c:strCache>
                <c:ptCount val="1"/>
                <c:pt idx="0">
                  <c:v>52,1-62,225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Лист1!$S$6</c:f>
              <c:numCache>
                <c:formatCode>General</c:formatCode>
                <c:ptCount val="1"/>
                <c:pt idx="0">
                  <c:v>1.2839506172839507E-2</c:v>
                </c:pt>
              </c:numCache>
            </c:numRef>
          </c:val>
        </c:ser>
        <c:ser>
          <c:idx val="5"/>
          <c:order val="5"/>
          <c:tx>
            <c:strRef>
              <c:f>Лист1!$P$7</c:f>
              <c:strCache>
                <c:ptCount val="1"/>
                <c:pt idx="0">
                  <c:v>62,225-72,35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Лист1!$S$7</c:f>
              <c:numCache>
                <c:formatCode>General</c:formatCode>
                <c:ptCount val="1"/>
                <c:pt idx="0">
                  <c:v>1.1851851851851851E-2</c:v>
                </c:pt>
              </c:numCache>
            </c:numRef>
          </c:val>
        </c:ser>
        <c:ser>
          <c:idx val="6"/>
          <c:order val="6"/>
          <c:tx>
            <c:strRef>
              <c:f>Лист1!$P$8</c:f>
              <c:strCache>
                <c:ptCount val="1"/>
                <c:pt idx="0">
                  <c:v>72,35-82,475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Лист1!$S$8</c:f>
              <c:numCache>
                <c:formatCode>General</c:formatCode>
                <c:ptCount val="1"/>
                <c:pt idx="0">
                  <c:v>1.4814814814814814E-2</c:v>
                </c:pt>
              </c:numCache>
            </c:numRef>
          </c:val>
        </c:ser>
        <c:ser>
          <c:idx val="7"/>
          <c:order val="7"/>
          <c:tx>
            <c:strRef>
              <c:f>Лист1!$P$9</c:f>
              <c:strCache>
                <c:ptCount val="1"/>
                <c:pt idx="0">
                  <c:v>82,475-92,6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Лист1!$S$9</c:f>
              <c:numCache>
                <c:formatCode>General</c:formatCode>
                <c:ptCount val="1"/>
                <c:pt idx="0">
                  <c:v>6.9135802469135806E-3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4956376"/>
        <c:axId val="345031704"/>
        <c:axId val="0"/>
      </c:bar3DChart>
      <c:catAx>
        <c:axId val="34495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Интервалы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031704"/>
        <c:crosses val="autoZero"/>
        <c:auto val="1"/>
        <c:lblAlgn val="ctr"/>
        <c:lblOffset val="100"/>
        <c:noMultiLvlLbl val="0"/>
      </c:catAx>
      <c:valAx>
        <c:axId val="34503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Wi/h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3348584774792943"/>
              <c:y val="0.16442074948964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95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</c:marker>
          <c:cat>
            <c:numRef>
              <c:f>Лист1!$M$5:$M$13</c:f>
              <c:numCache>
                <c:formatCode>General</c:formatCode>
                <c:ptCount val="9"/>
                <c:pt idx="0">
                  <c:v>11.6</c:v>
                </c:pt>
                <c:pt idx="1">
                  <c:v>21.725000000000001</c:v>
                </c:pt>
                <c:pt idx="2">
                  <c:v>31.85</c:v>
                </c:pt>
                <c:pt idx="3">
                  <c:v>41.975000000000001</c:v>
                </c:pt>
                <c:pt idx="4">
                  <c:v>52.1</c:v>
                </c:pt>
                <c:pt idx="5">
                  <c:v>62.225000000000001</c:v>
                </c:pt>
                <c:pt idx="6">
                  <c:v>72.349999999999994</c:v>
                </c:pt>
                <c:pt idx="7">
                  <c:v>82.474999999999994</c:v>
                </c:pt>
                <c:pt idx="8">
                  <c:v>92.6</c:v>
                </c:pt>
              </c:numCache>
            </c:numRef>
          </c:cat>
          <c:val>
            <c:numRef>
              <c:f>Лист1!$M$15:$M$23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0.23</c:v>
                </c:pt>
                <c:pt idx="3">
                  <c:v>0.36</c:v>
                </c:pt>
                <c:pt idx="4">
                  <c:v>0.53</c:v>
                </c:pt>
                <c:pt idx="5">
                  <c:v>0.66</c:v>
                </c:pt>
                <c:pt idx="6">
                  <c:v>0.78</c:v>
                </c:pt>
                <c:pt idx="7">
                  <c:v>0.93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dropLines>
        <c:marker val="1"/>
        <c:smooth val="0"/>
        <c:axId val="345371304"/>
        <c:axId val="345391864"/>
      </c:lineChart>
      <c:catAx>
        <c:axId val="34537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362087935729334"/>
              <c:y val="0.82137439005691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391864"/>
        <c:crosses val="autoZero"/>
        <c:auto val="1"/>
        <c:lblAlgn val="ctr"/>
        <c:lblOffset val="100"/>
        <c:noMultiLvlLbl val="0"/>
      </c:catAx>
      <c:valAx>
        <c:axId val="34539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F*(Xi)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8103044496487119E-2"/>
              <c:y val="0.40103471602132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37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noFill/>
            <a:ln w="19050" cmpd="sng">
              <a:solidFill>
                <a:schemeClr val="tx1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Лист1!$A$37:$A$45</c:f>
              <c:numCache>
                <c:formatCode>General</c:formatCode>
                <c:ptCount val="9"/>
                <c:pt idx="0">
                  <c:v>11.6</c:v>
                </c:pt>
                <c:pt idx="1">
                  <c:v>21.725000000000001</c:v>
                </c:pt>
                <c:pt idx="2">
                  <c:v>31.85</c:v>
                </c:pt>
                <c:pt idx="3">
                  <c:v>41.975000000000001</c:v>
                </c:pt>
                <c:pt idx="4">
                  <c:v>52.1</c:v>
                </c:pt>
                <c:pt idx="5">
                  <c:v>62.225000000000001</c:v>
                </c:pt>
                <c:pt idx="6">
                  <c:v>72.349999999999994</c:v>
                </c:pt>
                <c:pt idx="7">
                  <c:v>82.474999999999994</c:v>
                </c:pt>
                <c:pt idx="8">
                  <c:v>92.6</c:v>
                </c:pt>
              </c:numCache>
            </c:numRef>
          </c:cat>
          <c:val>
            <c:numRef>
              <c:f>Лист1!$S$2:$S$9</c:f>
              <c:numCache>
                <c:formatCode>General</c:formatCode>
                <c:ptCount val="8"/>
                <c:pt idx="0">
                  <c:v>9.876543209876543E-3</c:v>
                </c:pt>
                <c:pt idx="1">
                  <c:v>1.2839506172839507E-2</c:v>
                </c:pt>
                <c:pt idx="2">
                  <c:v>1.2839506172839507E-2</c:v>
                </c:pt>
                <c:pt idx="3">
                  <c:v>1.6790123456790124E-2</c:v>
                </c:pt>
                <c:pt idx="4">
                  <c:v>1.2839506172839507E-2</c:v>
                </c:pt>
                <c:pt idx="5">
                  <c:v>1.1851851851851851E-2</c:v>
                </c:pt>
                <c:pt idx="6">
                  <c:v>1.4814814814814814E-2</c:v>
                </c:pt>
                <c:pt idx="7">
                  <c:v>6.9135802469135806E-3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45405176"/>
        <c:axId val="345405560"/>
      </c:barChart>
      <c:lineChart>
        <c:grouping val="standard"/>
        <c:varyColors val="0"/>
        <c:ser>
          <c:idx val="0"/>
          <c:order val="1"/>
          <c:tx>
            <c:v>4</c:v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Лист1!$B$37:$B$45</c:f>
              <c:numCache>
                <c:formatCode>General</c:formatCode>
                <c:ptCount val="9"/>
                <c:pt idx="0">
                  <c:v>3.4048444920232448E-3</c:v>
                </c:pt>
                <c:pt idx="1">
                  <c:v>7.2558293806275695E-3</c:v>
                </c:pt>
                <c:pt idx="2">
                  <c:v>1.2385575837227254E-2</c:v>
                </c:pt>
                <c:pt idx="3">
                  <c:v>1.6934980638426786E-2</c:v>
                </c:pt>
                <c:pt idx="4">
                  <c:v>1.8547806933667605E-2</c:v>
                </c:pt>
                <c:pt idx="5">
                  <c:v>1.62719570538849E-2</c:v>
                </c:pt>
                <c:pt idx="6">
                  <c:v>1.143474206622409E-2</c:v>
                </c:pt>
                <c:pt idx="7">
                  <c:v>6.4365376880163886E-3</c:v>
                </c:pt>
                <c:pt idx="8">
                  <c:v>2.9021350675756865E-3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405176"/>
        <c:axId val="345405560"/>
      </c:lineChart>
      <c:catAx>
        <c:axId val="34540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405560"/>
        <c:crosses val="autoZero"/>
        <c:auto val="1"/>
        <c:lblAlgn val="ctr"/>
        <c:lblOffset val="100"/>
        <c:noMultiLvlLbl val="0"/>
      </c:catAx>
      <c:valAx>
        <c:axId val="34540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Wi/h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7777777777777776E-2"/>
              <c:y val="0.25780475357247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405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Лист2!$B$5:$B$11</c:f>
              <c:numCache>
                <c:formatCode>General</c:formatCode>
                <c:ptCount val="7"/>
                <c:pt idx="0">
                  <c:v>15</c:v>
                </c:pt>
                <c:pt idx="1">
                  <c:v>45</c:v>
                </c:pt>
                <c:pt idx="2">
                  <c:v>75</c:v>
                </c:pt>
                <c:pt idx="3">
                  <c:v>105</c:v>
                </c:pt>
                <c:pt idx="4">
                  <c:v>135</c:v>
                </c:pt>
                <c:pt idx="5">
                  <c:v>165</c:v>
                </c:pt>
                <c:pt idx="6">
                  <c:v>195</c:v>
                </c:pt>
              </c:numCache>
            </c:numRef>
          </c:cat>
          <c:val>
            <c:numRef>
              <c:f>Лист2!$C$5:$C$11</c:f>
              <c:numCache>
                <c:formatCode>General</c:formatCode>
                <c:ptCount val="7"/>
                <c:pt idx="0">
                  <c:v>54</c:v>
                </c:pt>
                <c:pt idx="1">
                  <c:v>28</c:v>
                </c:pt>
                <c:pt idx="2">
                  <c:v>15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345472080"/>
        <c:axId val="345544528"/>
      </c:lineChart>
      <c:catAx>
        <c:axId val="34547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2395013123359576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544528"/>
        <c:crosses val="autoZero"/>
        <c:auto val="1"/>
        <c:lblAlgn val="ctr"/>
        <c:lblOffset val="100"/>
        <c:noMultiLvlLbl val="0"/>
      </c:catAx>
      <c:valAx>
        <c:axId val="3455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4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19050">
              <a:solidFill>
                <a:schemeClr val="tx1">
                  <a:alpha val="99000"/>
                </a:schemeClr>
              </a:solidFill>
            </a:ln>
            <a:effectLst/>
          </c:spPr>
          <c:invertIfNegative val="0"/>
          <c:cat>
            <c:numRef>
              <c:f>Лист2!$B$5:$B$11</c:f>
              <c:numCache>
                <c:formatCode>General</c:formatCode>
                <c:ptCount val="7"/>
                <c:pt idx="0">
                  <c:v>15</c:v>
                </c:pt>
                <c:pt idx="1">
                  <c:v>45</c:v>
                </c:pt>
                <c:pt idx="2">
                  <c:v>75</c:v>
                </c:pt>
                <c:pt idx="3">
                  <c:v>105</c:v>
                </c:pt>
                <c:pt idx="4">
                  <c:v>135</c:v>
                </c:pt>
                <c:pt idx="5">
                  <c:v>165</c:v>
                </c:pt>
                <c:pt idx="6">
                  <c:v>195</c:v>
                </c:pt>
              </c:numCache>
            </c:numRef>
          </c:cat>
          <c:val>
            <c:numRef>
              <c:f>Лист2!$D$5:$D$11</c:f>
              <c:numCache>
                <c:formatCode>General</c:formatCode>
                <c:ptCount val="7"/>
                <c:pt idx="0">
                  <c:v>1.8</c:v>
                </c:pt>
                <c:pt idx="1">
                  <c:v>0.93333333333333335</c:v>
                </c:pt>
                <c:pt idx="2">
                  <c:v>0.5</c:v>
                </c:pt>
                <c:pt idx="3">
                  <c:v>0.3</c:v>
                </c:pt>
                <c:pt idx="4">
                  <c:v>0.2</c:v>
                </c:pt>
                <c:pt idx="5">
                  <c:v>0.23333333333333334</c:v>
                </c:pt>
                <c:pt idx="6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45544136"/>
        <c:axId val="345543352"/>
      </c:barChart>
      <c:catAx>
        <c:axId val="34554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543352"/>
        <c:crosses val="autoZero"/>
        <c:auto val="1"/>
        <c:lblAlgn val="ctr"/>
        <c:lblOffset val="100"/>
        <c:noMultiLvlLbl val="0"/>
      </c:catAx>
      <c:valAx>
        <c:axId val="34554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mi/h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544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Лист2!$B$5:$B$11</c:f>
              <c:numCache>
                <c:formatCode>General</c:formatCode>
                <c:ptCount val="7"/>
                <c:pt idx="0">
                  <c:v>15</c:v>
                </c:pt>
                <c:pt idx="1">
                  <c:v>45</c:v>
                </c:pt>
                <c:pt idx="2">
                  <c:v>75</c:v>
                </c:pt>
                <c:pt idx="3">
                  <c:v>105</c:v>
                </c:pt>
                <c:pt idx="4">
                  <c:v>135</c:v>
                </c:pt>
                <c:pt idx="5">
                  <c:v>165</c:v>
                </c:pt>
                <c:pt idx="6">
                  <c:v>195</c:v>
                </c:pt>
              </c:numCache>
            </c:numRef>
          </c:cat>
          <c:val>
            <c:numRef>
              <c:f>Лист2!$B$15:$I$15</c:f>
              <c:numCache>
                <c:formatCode>General</c:formatCode>
                <c:ptCount val="8"/>
                <c:pt idx="0">
                  <c:v>0</c:v>
                </c:pt>
                <c:pt idx="1">
                  <c:v>0.44262295081967212</c:v>
                </c:pt>
                <c:pt idx="2">
                  <c:v>0.67213114754098358</c:v>
                </c:pt>
                <c:pt idx="3">
                  <c:v>0.79508196721311475</c:v>
                </c:pt>
                <c:pt idx="4">
                  <c:v>0.86885245901639341</c:v>
                </c:pt>
                <c:pt idx="5">
                  <c:v>0.91803278688524592</c:v>
                </c:pt>
                <c:pt idx="6">
                  <c:v>0.97540983606557374</c:v>
                </c:pt>
                <c:pt idx="7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345541392"/>
        <c:axId val="345541784"/>
      </c:lineChart>
      <c:catAx>
        <c:axId val="34554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541784"/>
        <c:crosses val="autoZero"/>
        <c:auto val="1"/>
        <c:lblAlgn val="ctr"/>
        <c:lblOffset val="100"/>
        <c:noMultiLvlLbl val="0"/>
      </c:catAx>
      <c:valAx>
        <c:axId val="34554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54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Лист3!$A$33:$A$34</c:f>
              <c:numCache>
                <c:formatCode>General</c:formatCode>
                <c:ptCount val="2"/>
                <c:pt idx="0">
                  <c:v>115</c:v>
                </c:pt>
                <c:pt idx="1">
                  <c:v>140</c:v>
                </c:pt>
              </c:numCache>
            </c:numRef>
          </c:xVal>
          <c:yVal>
            <c:numRef>
              <c:f>Лист3!$B$33:$B$34</c:f>
              <c:numCache>
                <c:formatCode>General</c:formatCode>
                <c:ptCount val="2"/>
                <c:pt idx="0">
                  <c:v>10.204955056687293</c:v>
                </c:pt>
                <c:pt idx="1">
                  <c:v>8.2068973305027324</c:v>
                </c:pt>
              </c:numCache>
            </c:numRef>
          </c:yVal>
          <c:smooth val="1"/>
        </c:ser>
        <c:ser>
          <c:idx val="1"/>
          <c:order val="1"/>
          <c:tx>
            <c:v>ряд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Лист3!$G$33:$G$34</c:f>
              <c:numCache>
                <c:formatCode>General</c:formatCode>
                <c:ptCount val="2"/>
                <c:pt idx="0">
                  <c:v>143.85334330271309</c:v>
                </c:pt>
                <c:pt idx="1">
                  <c:v>110.77867976928006</c:v>
                </c:pt>
              </c:numCache>
            </c:numRef>
          </c:xVal>
          <c:yVal>
            <c:numRef>
              <c:f>Лист3!$F$33:$F$34</c:f>
              <c:numCache>
                <c:formatCode>General</c:formatCode>
                <c:ptCount val="2"/>
                <c:pt idx="0">
                  <c:v>7.5</c:v>
                </c:pt>
                <c:pt idx="1">
                  <c:v>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43744"/>
        <c:axId val="345542960"/>
      </c:scatterChart>
      <c:valAx>
        <c:axId val="345543744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542960"/>
        <c:crosses val="autoZero"/>
        <c:crossBetween val="midCat"/>
      </c:valAx>
      <c:valAx>
        <c:axId val="34554296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54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123825</xdr:colOff>
      <xdr:row>0</xdr:row>
      <xdr:rowOff>0</xdr:rowOff>
    </xdr:from>
    <xdr:to>
      <xdr:col>26</xdr:col>
      <xdr:colOff>428624</xdr:colOff>
      <xdr:row>12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10</xdr:row>
      <xdr:rowOff>152400</xdr:rowOff>
    </xdr:from>
    <xdr:to>
      <xdr:col>19</xdr:col>
      <xdr:colOff>19050</xdr:colOff>
      <xdr:row>23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104775</xdr:colOff>
      <xdr:row>34</xdr:row>
      <xdr:rowOff>266700</xdr:rowOff>
    </xdr:from>
    <xdr:to>
      <xdr:col>9</xdr:col>
      <xdr:colOff>76200</xdr:colOff>
      <xdr:row>45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6</xdr:col>
      <xdr:colOff>552450</xdr:colOff>
      <xdr:row>30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16</xdr:row>
      <xdr:rowOff>38100</xdr:rowOff>
    </xdr:from>
    <xdr:to>
      <xdr:col>14</xdr:col>
      <xdr:colOff>333375</xdr:colOff>
      <xdr:row>30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466725</xdr:colOff>
      <xdr:row>16</xdr:row>
      <xdr:rowOff>28575</xdr:rowOff>
    </xdr:from>
    <xdr:to>
      <xdr:col>22</xdr:col>
      <xdr:colOff>161925</xdr:colOff>
      <xdr:row>30</xdr:row>
      <xdr:rowOff>104775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368265</xdr:colOff>
      <xdr:row>33</xdr:row>
      <xdr:rowOff>179294</xdr:rowOff>
    </xdr:from>
    <xdr:to>
      <xdr:col>13</xdr:col>
      <xdr:colOff>1187824</xdr:colOff>
      <xdr:row>50</xdr:row>
      <xdr:rowOff>88628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7"/>
  <sheetViews>
    <sheetView topLeftCell="A26" workbookViewId="0">
      <selection activeCell="X31" sqref="X31"/>
    </sheetView>
  </sheetViews>
  <sheetFormatPr defaultRowHeight="15" x14ac:dyDescent="0.25"/>
  <cols>
    <col min="2" max="2" width="16.140625" bestFit="1" customWidth="1"/>
    <col min="4" max="4" width="9.5703125" bestFit="1" customWidth="1"/>
    <col min="5" max="5" width="13.140625" bestFit="1" customWidth="1"/>
    <col min="6" max="6" width="9.7109375" bestFit="1" customWidth="1"/>
    <col min="12" max="12" width="11.28515625" customWidth="1"/>
    <col min="13" max="13" width="10.28515625" bestFit="1" customWidth="1"/>
    <col min="16" max="16" width="16" customWidth="1"/>
    <col min="19" max="19" width="9.42578125" customWidth="1"/>
    <col min="21" max="21" width="17.42578125" customWidth="1"/>
    <col min="22" max="22" width="8.85546875" customWidth="1"/>
    <col min="25" max="25" width="13.7109375" customWidth="1"/>
    <col min="27" max="27" width="15.140625" customWidth="1"/>
    <col min="28" max="28" width="14" customWidth="1"/>
    <col min="29" max="29" width="12" customWidth="1"/>
    <col min="30" max="30" width="15" customWidth="1"/>
    <col min="31" max="31" width="14.5703125" customWidth="1"/>
    <col min="32" max="32" width="13.42578125" customWidth="1"/>
    <col min="33" max="33" width="13.28515625" customWidth="1"/>
    <col min="34" max="34" width="14.7109375" customWidth="1"/>
    <col min="35" max="35" width="15.140625" customWidth="1"/>
    <col min="36" max="36" width="13.42578125" customWidth="1"/>
  </cols>
  <sheetData>
    <row r="1" spans="1:36" ht="20.25" thickBot="1" x14ac:dyDescent="0.3">
      <c r="A1" s="22">
        <v>83.8</v>
      </c>
      <c r="B1" s="23">
        <v>36.700000000000003</v>
      </c>
      <c r="C1" s="23">
        <v>81.2</v>
      </c>
      <c r="D1" s="23">
        <v>65.3</v>
      </c>
      <c r="E1" s="23">
        <v>42</v>
      </c>
      <c r="F1" s="23">
        <v>50.1</v>
      </c>
      <c r="G1" s="23">
        <v>92.4</v>
      </c>
      <c r="H1" s="23">
        <v>85.6</v>
      </c>
      <c r="I1" s="23">
        <v>83.5</v>
      </c>
      <c r="J1" s="23">
        <v>72.099999999999994</v>
      </c>
      <c r="L1" t="s">
        <v>0</v>
      </c>
      <c r="N1">
        <f>J21-A12</f>
        <v>81</v>
      </c>
      <c r="P1" s="5" t="s">
        <v>12</v>
      </c>
      <c r="Q1" s="1" t="s">
        <v>17</v>
      </c>
      <c r="R1" s="1" t="s">
        <v>18</v>
      </c>
      <c r="S1" s="3" t="s">
        <v>16</v>
      </c>
    </row>
    <row r="2" spans="1:36" ht="19.5" thickBot="1" x14ac:dyDescent="0.35">
      <c r="A2" s="24">
        <v>76.3</v>
      </c>
      <c r="B2" s="25">
        <v>69.400000000000006</v>
      </c>
      <c r="C2" s="25">
        <v>56.5</v>
      </c>
      <c r="D2" s="25">
        <v>47.3</v>
      </c>
      <c r="E2" s="25">
        <v>23.1</v>
      </c>
      <c r="F2" s="25">
        <v>65.099999999999994</v>
      </c>
      <c r="G2" s="25">
        <v>56.4</v>
      </c>
      <c r="H2" s="25">
        <v>25.1</v>
      </c>
      <c r="I2" s="25">
        <v>83.4</v>
      </c>
      <c r="J2" s="25">
        <v>59.5</v>
      </c>
      <c r="L2" t="s">
        <v>1</v>
      </c>
      <c r="N2">
        <v>8</v>
      </c>
      <c r="P2" s="1" t="s">
        <v>126</v>
      </c>
      <c r="Q2" s="2">
        <v>10</v>
      </c>
      <c r="R2" s="2">
        <f>Q2/Q10</f>
        <v>0.1</v>
      </c>
      <c r="S2" s="2">
        <f>R2/N3</f>
        <v>9.876543209876543E-3</v>
      </c>
      <c r="AB2" s="10" t="str">
        <f>P1</f>
        <v>Интервалы</v>
      </c>
      <c r="AC2" s="10" t="str">
        <f>P2</f>
        <v>11,6-21,725</v>
      </c>
      <c r="AD2" s="10" t="str">
        <f>P3</f>
        <v>21,725-31,85</v>
      </c>
      <c r="AE2" s="10" t="str">
        <f>P4</f>
        <v>31,85-41,975</v>
      </c>
      <c r="AF2" s="10" t="str">
        <f>P5</f>
        <v>41,975-52,1</v>
      </c>
      <c r="AG2" s="10" t="str">
        <f>P6</f>
        <v>52,1-62,225</v>
      </c>
      <c r="AH2" s="10" t="str">
        <f>P7</f>
        <v>62,225-72,35</v>
      </c>
      <c r="AI2" s="10" t="str">
        <f>P8</f>
        <v>72,35-82,475</v>
      </c>
      <c r="AJ2" s="10" t="str">
        <f>P9</f>
        <v>82,475-92,6</v>
      </c>
    </row>
    <row r="3" spans="1:36" ht="19.5" thickBot="1" x14ac:dyDescent="0.35">
      <c r="A3" s="24">
        <v>41.6</v>
      </c>
      <c r="B3" s="25">
        <v>24.4</v>
      </c>
      <c r="C3" s="25">
        <v>11.8</v>
      </c>
      <c r="D3" s="25">
        <v>70.099999999999994</v>
      </c>
      <c r="E3" s="25">
        <v>57.1</v>
      </c>
      <c r="F3" s="25">
        <v>87.4</v>
      </c>
      <c r="G3" s="25">
        <v>69.099999999999994</v>
      </c>
      <c r="H3" s="25">
        <v>30.1</v>
      </c>
      <c r="I3" s="25">
        <v>65.400000000000006</v>
      </c>
      <c r="J3" s="25">
        <v>49.9</v>
      </c>
      <c r="L3" t="s">
        <v>2</v>
      </c>
      <c r="N3">
        <f>N1/N2</f>
        <v>10.125</v>
      </c>
      <c r="P3" s="1" t="s">
        <v>127</v>
      </c>
      <c r="Q3" s="2">
        <v>13</v>
      </c>
      <c r="R3" s="2">
        <f>Q3/Q10</f>
        <v>0.13</v>
      </c>
      <c r="S3" s="25">
        <f>R3/N3</f>
        <v>1.2839506172839507E-2</v>
      </c>
      <c r="AB3" s="10" t="str">
        <f>Q1</f>
        <v xml:space="preserve">mi </v>
      </c>
      <c r="AC3" s="10">
        <f>Q2</f>
        <v>10</v>
      </c>
      <c r="AD3" s="10">
        <f>Q3</f>
        <v>13</v>
      </c>
      <c r="AE3" s="10">
        <f>Q4</f>
        <v>13</v>
      </c>
      <c r="AF3" s="10">
        <f>Q5</f>
        <v>17</v>
      </c>
      <c r="AG3" s="10">
        <f>Q6</f>
        <v>13</v>
      </c>
      <c r="AH3" s="10">
        <f>Q7</f>
        <v>12</v>
      </c>
      <c r="AI3" s="10">
        <f>Q8</f>
        <v>15</v>
      </c>
      <c r="AJ3" s="10">
        <f>Q9</f>
        <v>7</v>
      </c>
    </row>
    <row r="4" spans="1:36" ht="16.5" thickBot="1" x14ac:dyDescent="0.3">
      <c r="A4" s="24">
        <v>55.9</v>
      </c>
      <c r="B4" s="25">
        <v>74.2</v>
      </c>
      <c r="C4" s="25">
        <v>32.299999999999997</v>
      </c>
      <c r="D4" s="25">
        <v>92.1</v>
      </c>
      <c r="E4" s="25">
        <v>20.7</v>
      </c>
      <c r="F4" s="25">
        <v>35.299999999999997</v>
      </c>
      <c r="G4" s="25">
        <v>60.2</v>
      </c>
      <c r="H4" s="25">
        <v>60.1</v>
      </c>
      <c r="I4" s="25">
        <v>74.5</v>
      </c>
      <c r="J4" s="25">
        <v>31.4</v>
      </c>
      <c r="P4" s="1" t="s">
        <v>128</v>
      </c>
      <c r="Q4" s="2">
        <v>13</v>
      </c>
      <c r="R4" s="2">
        <f>Q4/Q10</f>
        <v>0.13</v>
      </c>
      <c r="S4" s="25">
        <f>R4/N3</f>
        <v>1.2839506172839507E-2</v>
      </c>
    </row>
    <row r="5" spans="1:36" ht="16.5" thickBot="1" x14ac:dyDescent="0.3">
      <c r="A5" s="24">
        <v>38.6</v>
      </c>
      <c r="B5" s="25">
        <v>92.5</v>
      </c>
      <c r="C5" s="25">
        <v>45.8</v>
      </c>
      <c r="D5" s="25">
        <v>58.4</v>
      </c>
      <c r="E5" s="25">
        <v>53.4</v>
      </c>
      <c r="F5" s="25">
        <v>35.9</v>
      </c>
      <c r="G5" s="25">
        <v>48.3</v>
      </c>
      <c r="H5" s="25">
        <v>41.4</v>
      </c>
      <c r="I5" s="25">
        <v>46.2</v>
      </c>
      <c r="J5" s="25">
        <v>37.4</v>
      </c>
      <c r="L5" t="s">
        <v>3</v>
      </c>
      <c r="M5">
        <f>A12</f>
        <v>11.6</v>
      </c>
      <c r="P5" s="1" t="s">
        <v>129</v>
      </c>
      <c r="Q5" s="2">
        <v>17</v>
      </c>
      <c r="R5" s="2">
        <f>Q5/Q10</f>
        <v>0.17</v>
      </c>
      <c r="S5" s="25">
        <f>R5/N3</f>
        <v>1.6790123456790124E-2</v>
      </c>
    </row>
    <row r="6" spans="1:36" ht="16.5" thickBot="1" x14ac:dyDescent="0.3">
      <c r="A6" s="24">
        <v>50.9</v>
      </c>
      <c r="B6" s="25">
        <v>39.9</v>
      </c>
      <c r="C6" s="25">
        <v>45.3</v>
      </c>
      <c r="D6" s="25">
        <v>74.400000000000006</v>
      </c>
      <c r="E6" s="25">
        <v>21.2</v>
      </c>
      <c r="F6" s="25">
        <v>29.7</v>
      </c>
      <c r="G6" s="25">
        <v>45.8</v>
      </c>
      <c r="H6" s="25">
        <v>65.7</v>
      </c>
      <c r="I6" s="25">
        <v>56.9</v>
      </c>
      <c r="J6" s="25">
        <v>65.8</v>
      </c>
      <c r="L6" t="s">
        <v>4</v>
      </c>
      <c r="M6">
        <f>M5+N3</f>
        <v>21.725000000000001</v>
      </c>
      <c r="P6" s="1" t="s">
        <v>130</v>
      </c>
      <c r="Q6" s="2">
        <v>13</v>
      </c>
      <c r="R6" s="2">
        <f>Q6/Q10</f>
        <v>0.13</v>
      </c>
      <c r="S6" s="25">
        <f>R6/N3</f>
        <v>1.2839506172839507E-2</v>
      </c>
    </row>
    <row r="7" spans="1:36" ht="18.75" customHeight="1" thickBot="1" x14ac:dyDescent="0.3">
      <c r="A7" s="24">
        <v>54.7</v>
      </c>
      <c r="B7" s="25">
        <v>70.900000000000006</v>
      </c>
      <c r="C7" s="25">
        <v>15.1</v>
      </c>
      <c r="D7" s="25">
        <v>47.7</v>
      </c>
      <c r="E7" s="25">
        <v>12.7</v>
      </c>
      <c r="F7" s="25">
        <v>80.900000000000006</v>
      </c>
      <c r="G7" s="25">
        <v>74.900000000000006</v>
      </c>
      <c r="H7" s="25">
        <v>28.1</v>
      </c>
      <c r="I7" s="25">
        <v>47.5</v>
      </c>
      <c r="J7" s="25">
        <v>39.1</v>
      </c>
      <c r="L7" t="s">
        <v>5</v>
      </c>
      <c r="M7">
        <f>M6+N3</f>
        <v>31.85</v>
      </c>
      <c r="P7" s="1" t="s">
        <v>131</v>
      </c>
      <c r="Q7" s="2">
        <v>12</v>
      </c>
      <c r="R7" s="2">
        <f>Q7/Q10</f>
        <v>0.12</v>
      </c>
      <c r="S7" s="25">
        <f>R7/N3</f>
        <v>1.1851851851851851E-2</v>
      </c>
    </row>
    <row r="8" spans="1:36" ht="17.25" customHeight="1" thickBot="1" x14ac:dyDescent="0.3">
      <c r="A8" s="24">
        <v>48.6</v>
      </c>
      <c r="B8" s="25">
        <v>87.1</v>
      </c>
      <c r="C8" s="25">
        <v>36.1</v>
      </c>
      <c r="D8" s="25">
        <v>47.2</v>
      </c>
      <c r="E8" s="25">
        <v>26.1</v>
      </c>
      <c r="F8" s="25">
        <v>27.3</v>
      </c>
      <c r="G8" s="25">
        <v>47.4</v>
      </c>
      <c r="H8" s="25">
        <v>19.3</v>
      </c>
      <c r="I8" s="25">
        <v>83.9</v>
      </c>
      <c r="J8" s="25">
        <v>76.2</v>
      </c>
      <c r="L8" t="s">
        <v>6</v>
      </c>
      <c r="M8">
        <f>M7+N3</f>
        <v>41.975000000000001</v>
      </c>
      <c r="P8" s="1" t="s">
        <v>132</v>
      </c>
      <c r="Q8" s="2">
        <v>15</v>
      </c>
      <c r="R8" s="2">
        <f>Q8/Q10</f>
        <v>0.15</v>
      </c>
      <c r="S8" s="25">
        <f>R8/N3</f>
        <v>1.4814814814814814E-2</v>
      </c>
    </row>
    <row r="9" spans="1:36" ht="17.25" customHeight="1" thickBot="1" x14ac:dyDescent="0.3">
      <c r="A9" s="24">
        <v>66.3</v>
      </c>
      <c r="B9" s="25">
        <v>51.4</v>
      </c>
      <c r="C9" s="25">
        <v>11.6</v>
      </c>
      <c r="D9" s="25">
        <v>30.9</v>
      </c>
      <c r="E9" s="25">
        <v>25.7</v>
      </c>
      <c r="F9" s="25">
        <v>76.7</v>
      </c>
      <c r="G9" s="25">
        <v>22.6</v>
      </c>
      <c r="H9" s="25">
        <v>20.5</v>
      </c>
      <c r="I9" s="25">
        <v>64.099999999999994</v>
      </c>
      <c r="J9" s="25">
        <v>54.2</v>
      </c>
      <c r="L9" t="s">
        <v>7</v>
      </c>
      <c r="M9">
        <f>M8+N3</f>
        <v>52.1</v>
      </c>
      <c r="P9" s="1" t="s">
        <v>133</v>
      </c>
      <c r="Q9" s="2">
        <v>7</v>
      </c>
      <c r="R9" s="2">
        <f>Q9/Q10</f>
        <v>7.0000000000000007E-2</v>
      </c>
      <c r="S9" s="25">
        <f>R9/N3</f>
        <v>6.9135802469135806E-3</v>
      </c>
    </row>
    <row r="10" spans="1:36" ht="18.75" customHeight="1" thickBot="1" x14ac:dyDescent="0.3">
      <c r="A10" s="24">
        <v>56.7</v>
      </c>
      <c r="B10" s="25">
        <v>20.3</v>
      </c>
      <c r="C10" s="25">
        <v>92.6</v>
      </c>
      <c r="D10" s="25">
        <v>29.5</v>
      </c>
      <c r="E10" s="25">
        <v>52</v>
      </c>
      <c r="F10" s="25">
        <v>29.9</v>
      </c>
      <c r="G10" s="25">
        <v>75.099999999999994</v>
      </c>
      <c r="H10" s="25">
        <v>22.7</v>
      </c>
      <c r="I10" s="25">
        <v>76.5</v>
      </c>
      <c r="J10" s="25">
        <v>18.399999999999999</v>
      </c>
      <c r="L10" t="s">
        <v>8</v>
      </c>
      <c r="M10">
        <f>M9+N3</f>
        <v>62.225000000000001</v>
      </c>
      <c r="P10" s="6" t="s">
        <v>15</v>
      </c>
      <c r="Q10" s="2">
        <f>SUM(Q2:Q9)</f>
        <v>100</v>
      </c>
      <c r="R10" s="2">
        <f>SUM(R2:R9)</f>
        <v>1</v>
      </c>
      <c r="S10" s="2" t="s">
        <v>14</v>
      </c>
    </row>
    <row r="11" spans="1:36" ht="19.5" customHeight="1" thickBot="1" x14ac:dyDescent="0.3">
      <c r="L11" t="s">
        <v>9</v>
      </c>
      <c r="M11">
        <f>M10+N3</f>
        <v>72.349999999999994</v>
      </c>
    </row>
    <row r="12" spans="1:36" ht="20.25" customHeight="1" thickBot="1" x14ac:dyDescent="0.3">
      <c r="A12" s="30">
        <v>11.6</v>
      </c>
      <c r="B12" s="23">
        <v>11.8</v>
      </c>
      <c r="C12" s="23">
        <v>12.7</v>
      </c>
      <c r="D12" s="23">
        <v>15.1</v>
      </c>
      <c r="E12" s="23">
        <v>18.399999999999999</v>
      </c>
      <c r="F12" s="23">
        <v>19.3</v>
      </c>
      <c r="G12" s="23">
        <v>20.3</v>
      </c>
      <c r="H12" s="23">
        <v>20.5</v>
      </c>
      <c r="I12" s="23">
        <v>20.7</v>
      </c>
      <c r="J12" s="23">
        <v>21.2</v>
      </c>
      <c r="L12" t="s">
        <v>10</v>
      </c>
      <c r="M12">
        <f>M11+N3</f>
        <v>82.474999999999994</v>
      </c>
    </row>
    <row r="13" spans="1:36" ht="15" customHeight="1" thickBot="1" x14ac:dyDescent="0.3">
      <c r="A13" s="31">
        <v>22.6</v>
      </c>
      <c r="B13" s="25">
        <v>22.7</v>
      </c>
      <c r="C13" s="25">
        <v>23.1</v>
      </c>
      <c r="D13" s="25">
        <v>24.4</v>
      </c>
      <c r="E13" s="25">
        <v>25.1</v>
      </c>
      <c r="F13" s="25">
        <v>25.7</v>
      </c>
      <c r="G13" s="25">
        <v>26.1</v>
      </c>
      <c r="H13" s="25">
        <v>27.3</v>
      </c>
      <c r="I13" s="25">
        <v>28.1</v>
      </c>
      <c r="J13" s="25">
        <v>29.5</v>
      </c>
      <c r="L13" t="s">
        <v>11</v>
      </c>
      <c r="M13">
        <f>M12+N3</f>
        <v>92.6</v>
      </c>
    </row>
    <row r="14" spans="1:36" ht="17.25" customHeight="1" thickBot="1" x14ac:dyDescent="0.3">
      <c r="A14" s="24">
        <v>29.7</v>
      </c>
      <c r="B14" s="25">
        <v>29.9</v>
      </c>
      <c r="C14" s="25">
        <v>30.1</v>
      </c>
      <c r="D14" s="32">
        <v>30.9</v>
      </c>
      <c r="E14" s="25">
        <v>31.4</v>
      </c>
      <c r="F14" s="25">
        <v>32.299999999999997</v>
      </c>
      <c r="G14" s="25">
        <v>35.299999999999997</v>
      </c>
      <c r="H14" s="25">
        <v>35.9</v>
      </c>
      <c r="I14" s="25">
        <v>36.1</v>
      </c>
      <c r="J14" s="25">
        <v>36.700000000000003</v>
      </c>
    </row>
    <row r="15" spans="1:36" ht="18.75" customHeight="1" thickBot="1" x14ac:dyDescent="0.3">
      <c r="A15" s="24">
        <v>37.4</v>
      </c>
      <c r="B15" s="25">
        <v>38.6</v>
      </c>
      <c r="C15" s="25">
        <v>39.1</v>
      </c>
      <c r="D15" s="25">
        <v>39.9</v>
      </c>
      <c r="E15" s="25">
        <v>41.4</v>
      </c>
      <c r="F15" s="25">
        <v>41.6</v>
      </c>
      <c r="G15" s="32">
        <v>42</v>
      </c>
      <c r="H15" s="25">
        <v>45.3</v>
      </c>
      <c r="I15" s="25">
        <v>45.8</v>
      </c>
      <c r="J15" s="25">
        <v>45.8</v>
      </c>
      <c r="L15" t="s">
        <v>134</v>
      </c>
      <c r="M15">
        <f>0/Q10</f>
        <v>0</v>
      </c>
      <c r="U15" t="s">
        <v>43</v>
      </c>
      <c r="V15">
        <f>U34</f>
        <v>7.8064764323205713</v>
      </c>
    </row>
    <row r="16" spans="1:36" ht="16.5" thickBot="1" x14ac:dyDescent="0.3">
      <c r="A16" s="24">
        <v>46.2</v>
      </c>
      <c r="B16" s="25">
        <v>47.2</v>
      </c>
      <c r="C16" s="25">
        <v>47.3</v>
      </c>
      <c r="D16" s="25">
        <v>47.4</v>
      </c>
      <c r="E16" s="25">
        <v>47.5</v>
      </c>
      <c r="F16" s="25">
        <v>47.7</v>
      </c>
      <c r="G16" s="25">
        <v>48.3</v>
      </c>
      <c r="H16" s="25">
        <v>48.6</v>
      </c>
      <c r="I16" s="25">
        <v>49.9</v>
      </c>
      <c r="J16" s="25">
        <v>50.1</v>
      </c>
      <c r="L16" t="s">
        <v>135</v>
      </c>
      <c r="M16">
        <f>Q2/Q10</f>
        <v>0.1</v>
      </c>
      <c r="U16" t="s">
        <v>44</v>
      </c>
      <c r="V16">
        <v>11.07</v>
      </c>
    </row>
    <row r="17" spans="1:27" ht="16.5" thickBot="1" x14ac:dyDescent="0.3">
      <c r="A17" s="24">
        <v>50.9</v>
      </c>
      <c r="B17" s="25">
        <v>51.4</v>
      </c>
      <c r="C17" s="25">
        <v>52</v>
      </c>
      <c r="D17" s="32">
        <v>53.4</v>
      </c>
      <c r="E17" s="25">
        <v>54.2</v>
      </c>
      <c r="F17" s="25">
        <v>54.7</v>
      </c>
      <c r="G17" s="25">
        <v>55.9</v>
      </c>
      <c r="H17" s="25">
        <v>56.4</v>
      </c>
      <c r="I17" s="25">
        <v>56.5</v>
      </c>
      <c r="J17" s="25">
        <v>56.7</v>
      </c>
      <c r="L17" t="s">
        <v>136</v>
      </c>
      <c r="M17">
        <f>(Q2+Q3)/Q10</f>
        <v>0.23</v>
      </c>
      <c r="U17" t="s">
        <v>45</v>
      </c>
    </row>
    <row r="18" spans="1:27" ht="16.5" thickBot="1" x14ac:dyDescent="0.3">
      <c r="A18" s="24">
        <v>56.9</v>
      </c>
      <c r="B18" s="25">
        <v>57.1</v>
      </c>
      <c r="C18" s="25">
        <v>58.4</v>
      </c>
      <c r="D18" s="25">
        <v>59.5</v>
      </c>
      <c r="E18" s="25">
        <v>60.1</v>
      </c>
      <c r="F18" s="25">
        <v>60.2</v>
      </c>
      <c r="G18" s="32">
        <v>64.099999999999994</v>
      </c>
      <c r="H18" s="25">
        <v>65.099999999999994</v>
      </c>
      <c r="I18" s="25">
        <v>65.3</v>
      </c>
      <c r="J18" s="25">
        <v>65.400000000000006</v>
      </c>
      <c r="L18" t="s">
        <v>137</v>
      </c>
      <c r="M18">
        <f>(Q2+Q3+Q4)/Q10</f>
        <v>0.36</v>
      </c>
    </row>
    <row r="19" spans="1:27" ht="16.5" thickBot="1" x14ac:dyDescent="0.3">
      <c r="A19" s="24">
        <v>65.7</v>
      </c>
      <c r="B19" s="25">
        <v>65.8</v>
      </c>
      <c r="C19" s="25">
        <v>66.3</v>
      </c>
      <c r="D19" s="25">
        <v>69.099999999999994</v>
      </c>
      <c r="E19" s="25">
        <v>69.400000000000006</v>
      </c>
      <c r="F19" s="25">
        <v>70.099999999999994</v>
      </c>
      <c r="G19" s="25">
        <v>70.900000000000006</v>
      </c>
      <c r="H19" s="25">
        <v>72.099999999999994</v>
      </c>
      <c r="I19" s="32">
        <v>74.2</v>
      </c>
      <c r="J19" s="25">
        <v>74.400000000000006</v>
      </c>
      <c r="L19" t="s">
        <v>138</v>
      </c>
      <c r="M19">
        <f>(Q2+Q3+Q4+Q5)/Q10</f>
        <v>0.53</v>
      </c>
      <c r="U19" t="s">
        <v>51</v>
      </c>
      <c r="V19">
        <f>AA28</f>
        <v>4.3300000000000033E-2</v>
      </c>
    </row>
    <row r="20" spans="1:27" ht="16.5" thickBot="1" x14ac:dyDescent="0.3">
      <c r="A20" s="25">
        <v>74.5</v>
      </c>
      <c r="B20" s="25">
        <v>74.900000000000006</v>
      </c>
      <c r="C20" s="25">
        <v>75.099999999999994</v>
      </c>
      <c r="D20" s="25">
        <v>76.2</v>
      </c>
      <c r="E20" s="25">
        <v>76.3</v>
      </c>
      <c r="F20" s="25">
        <v>76.5</v>
      </c>
      <c r="G20" s="25">
        <v>76.7</v>
      </c>
      <c r="H20" s="25">
        <v>80.900000000000006</v>
      </c>
      <c r="I20" s="25">
        <v>81.2</v>
      </c>
      <c r="J20" s="24">
        <v>83.4</v>
      </c>
      <c r="L20" t="s">
        <v>139</v>
      </c>
      <c r="M20">
        <f>(Q2+Q3+Q4+Q5+Q6)/Q10</f>
        <v>0.66</v>
      </c>
      <c r="U20" s="14" t="s">
        <v>52</v>
      </c>
      <c r="V20">
        <v>1.3580000000000001</v>
      </c>
    </row>
    <row r="21" spans="1:27" ht="16.5" thickBot="1" x14ac:dyDescent="0.3">
      <c r="A21" s="25">
        <v>83.5</v>
      </c>
      <c r="B21" s="25">
        <v>83.8</v>
      </c>
      <c r="C21" s="25">
        <v>83.9</v>
      </c>
      <c r="D21" s="32">
        <v>85.6</v>
      </c>
      <c r="E21" s="25">
        <v>87.1</v>
      </c>
      <c r="F21" s="25">
        <v>87.4</v>
      </c>
      <c r="G21" s="25">
        <v>92.1</v>
      </c>
      <c r="H21" s="25">
        <v>92.4</v>
      </c>
      <c r="I21" s="25">
        <v>92.5</v>
      </c>
      <c r="J21" s="24">
        <v>92.6</v>
      </c>
      <c r="L21" t="s">
        <v>140</v>
      </c>
      <c r="M21">
        <f>(Q2+Q3+Q4+Q5+Q6+Q7)/Q10</f>
        <v>0.78</v>
      </c>
      <c r="U21" t="s">
        <v>53</v>
      </c>
      <c r="V21">
        <f>SQRT(Q34)*V19</f>
        <v>0.43300000000000033</v>
      </c>
    </row>
    <row r="22" spans="1:27" x14ac:dyDescent="0.25">
      <c r="L22" t="s">
        <v>141</v>
      </c>
      <c r="M22">
        <f>(Q2+Q3+Q4+Q5+Q6+Q7+Q8)/Q10</f>
        <v>0.93</v>
      </c>
      <c r="U22" t="s">
        <v>45</v>
      </c>
    </row>
    <row r="23" spans="1:27" x14ac:dyDescent="0.25">
      <c r="L23" t="s">
        <v>142</v>
      </c>
      <c r="M23">
        <f>(Q2+Q3+Q4+Q5+Q6+Q7+Q8+Q9)/Q10</f>
        <v>1</v>
      </c>
    </row>
    <row r="24" spans="1:27" ht="15.75" thickBot="1" x14ac:dyDescent="0.3"/>
    <row r="25" spans="1:27" ht="21.75" customHeight="1" thickBot="1" x14ac:dyDescent="0.35">
      <c r="A25" s="7" t="s">
        <v>19</v>
      </c>
      <c r="B25" s="8" t="s">
        <v>20</v>
      </c>
      <c r="C25" s="8" t="s">
        <v>21</v>
      </c>
      <c r="D25" s="8" t="s">
        <v>22</v>
      </c>
      <c r="E25" s="9" t="s">
        <v>23</v>
      </c>
      <c r="F25" s="10" t="s">
        <v>24</v>
      </c>
      <c r="H25" t="s">
        <v>25</v>
      </c>
      <c r="I25">
        <f>D34/C34</f>
        <v>51.188749999999992</v>
      </c>
      <c r="K25" s="10" t="s">
        <v>33</v>
      </c>
      <c r="L25" s="10" t="s">
        <v>34</v>
      </c>
      <c r="M25" s="10" t="s">
        <v>35</v>
      </c>
      <c r="N25" s="10" t="s">
        <v>36</v>
      </c>
      <c r="P25" s="12" t="s">
        <v>38</v>
      </c>
      <c r="Q25" s="12" t="s">
        <v>17</v>
      </c>
      <c r="R25" s="11" t="s">
        <v>39</v>
      </c>
      <c r="S25" s="11" t="s">
        <v>40</v>
      </c>
      <c r="T25" s="11" t="s">
        <v>41</v>
      </c>
      <c r="U25" s="11" t="s">
        <v>42</v>
      </c>
      <c r="W25" s="13" t="s">
        <v>33</v>
      </c>
      <c r="X25" s="13" t="s">
        <v>47</v>
      </c>
      <c r="Y25" s="13" t="s">
        <v>48</v>
      </c>
      <c r="Z25" s="13" t="s">
        <v>49</v>
      </c>
      <c r="AA25" s="13" t="s">
        <v>50</v>
      </c>
    </row>
    <row r="26" spans="1:27" ht="32.25" thickBot="1" x14ac:dyDescent="0.35">
      <c r="A26" s="1" t="str">
        <f t="shared" ref="A26:A33" si="0">P2</f>
        <v>11,6-21,725</v>
      </c>
      <c r="B26" s="2">
        <f>(M5+M6)/2</f>
        <v>16.662500000000001</v>
      </c>
      <c r="C26" s="2">
        <f t="shared" ref="C26:C33" si="1">Q2</f>
        <v>10</v>
      </c>
      <c r="D26" s="2">
        <f>B26*C26</f>
        <v>166.625</v>
      </c>
      <c r="E26" s="2">
        <f>F26*C26</f>
        <v>2776.3890625000004</v>
      </c>
      <c r="F26" s="10">
        <f>((M5+M6)/2)*B26</f>
        <v>277.63890625000005</v>
      </c>
      <c r="H26" t="s">
        <v>26</v>
      </c>
      <c r="I26">
        <f>E34/C34</f>
        <v>3077.7025937499998</v>
      </c>
      <c r="K26" s="11">
        <f t="shared" ref="K26:K34" si="2">M5</f>
        <v>11.6</v>
      </c>
      <c r="L26" s="10">
        <f>(K26-I25)/I30</f>
        <v>-1.8417659447387305</v>
      </c>
      <c r="M26" s="11">
        <v>-0.5</v>
      </c>
      <c r="N26" s="11">
        <f>M27-M26</f>
        <v>9.6799999999999997E-2</v>
      </c>
      <c r="P26" s="12">
        <v>1</v>
      </c>
      <c r="Q26" s="11">
        <f t="shared" ref="Q26:Q33" si="3">C26</f>
        <v>10</v>
      </c>
      <c r="R26" s="11">
        <f>100*N26</f>
        <v>9.68</v>
      </c>
      <c r="S26" s="11">
        <f t="shared" ref="S26:S33" si="4">Q26-R26</f>
        <v>0.32000000000000028</v>
      </c>
      <c r="T26" s="11">
        <f t="shared" ref="T26:T33" si="5">(Q26-R26)*S26</f>
        <v>0.10240000000000019</v>
      </c>
      <c r="U26" s="11">
        <f t="shared" ref="U26:U33" si="6">T26/R26</f>
        <v>1.0578512396694235E-2</v>
      </c>
      <c r="W26" s="12">
        <f t="shared" ref="W26:W34" si="7">K26</f>
        <v>11.6</v>
      </c>
      <c r="X26" s="13">
        <f t="shared" ref="X26:X34" si="8">M15</f>
        <v>0</v>
      </c>
      <c r="Y26" s="13" t="s">
        <v>143</v>
      </c>
      <c r="Z26" s="13">
        <f>0.5+M26</f>
        <v>0</v>
      </c>
      <c r="AA26" s="13">
        <f t="shared" ref="AA26:AA34" si="9">IMABS(X26-Z26)</f>
        <v>0</v>
      </c>
    </row>
    <row r="27" spans="1:27" ht="32.25" thickBot="1" x14ac:dyDescent="0.35">
      <c r="A27" s="1" t="str">
        <f t="shared" si="0"/>
        <v>21,725-31,85</v>
      </c>
      <c r="B27" s="2">
        <f t="shared" ref="B27:B33" si="10">(M6+M7)/2</f>
        <v>26.787500000000001</v>
      </c>
      <c r="C27" s="2">
        <f t="shared" si="1"/>
        <v>13</v>
      </c>
      <c r="D27" s="2">
        <f t="shared" ref="D27:D33" si="11">B27*C27</f>
        <v>348.23750000000001</v>
      </c>
      <c r="E27" s="2">
        <f>F27*C27</f>
        <v>9328.4120312500017</v>
      </c>
      <c r="F27" s="10">
        <f t="shared" ref="F27:F33" si="12">((M6+M7)/2)*B27</f>
        <v>717.57015625000008</v>
      </c>
      <c r="H27" t="s">
        <v>27</v>
      </c>
      <c r="I27">
        <f>I26-((D34/C34)*I25)</f>
        <v>457.41446718750058</v>
      </c>
      <c r="K27" s="11">
        <f t="shared" si="2"/>
        <v>21.725000000000001</v>
      </c>
      <c r="L27" s="10">
        <f>(K27-I25)/I30</f>
        <v>-1.3707260611738377</v>
      </c>
      <c r="M27" s="11">
        <v>-0.4032</v>
      </c>
      <c r="N27" s="11">
        <f t="shared" ref="N27:N33" si="13">M28-M27</f>
        <v>8.989999999999998E-2</v>
      </c>
      <c r="P27" s="12">
        <v>2</v>
      </c>
      <c r="Q27" s="11">
        <f t="shared" si="3"/>
        <v>13</v>
      </c>
      <c r="R27" s="11">
        <f t="shared" ref="R27:R34" si="14">100*N27</f>
        <v>8.9899999999999984</v>
      </c>
      <c r="S27" s="11">
        <f t="shared" si="4"/>
        <v>4.0100000000000016</v>
      </c>
      <c r="T27" s="11">
        <f t="shared" si="5"/>
        <v>16.080100000000012</v>
      </c>
      <c r="U27" s="11">
        <f t="shared" si="6"/>
        <v>1.7886651835372653</v>
      </c>
      <c r="W27" s="12">
        <f t="shared" si="7"/>
        <v>21.725000000000001</v>
      </c>
      <c r="X27" s="13">
        <f t="shared" si="8"/>
        <v>0.1</v>
      </c>
      <c r="Y27" s="13" t="s">
        <v>144</v>
      </c>
      <c r="Z27" s="13">
        <f t="shared" ref="Z27:Z33" si="15">0.5+M27</f>
        <v>9.6799999999999997E-2</v>
      </c>
      <c r="AA27" s="13">
        <f t="shared" si="9"/>
        <v>3.2000000000000084E-3</v>
      </c>
    </row>
    <row r="28" spans="1:27" ht="32.25" thickBot="1" x14ac:dyDescent="0.35">
      <c r="A28" s="1" t="str">
        <f t="shared" si="0"/>
        <v>31,85-41,975</v>
      </c>
      <c r="B28" s="2">
        <f t="shared" si="10"/>
        <v>36.912500000000001</v>
      </c>
      <c r="C28" s="2">
        <f t="shared" si="1"/>
        <v>13</v>
      </c>
      <c r="D28" s="2">
        <f t="shared" si="11"/>
        <v>479.86250000000001</v>
      </c>
      <c r="E28" s="2">
        <f t="shared" ref="E28:E33" si="16">F28*C28</f>
        <v>17712.924531250002</v>
      </c>
      <c r="F28" s="10">
        <f t="shared" si="12"/>
        <v>1362.5326562500002</v>
      </c>
      <c r="H28" s="14" t="s">
        <v>59</v>
      </c>
      <c r="I28">
        <f>SQRT(I27)</f>
        <v>21.38725010812518</v>
      </c>
      <c r="K28" s="11">
        <f t="shared" si="2"/>
        <v>31.85</v>
      </c>
      <c r="L28" s="10">
        <f>(K28-I25)/I30</f>
        <v>-0.89968617760894476</v>
      </c>
      <c r="M28" s="11">
        <v>-0.31330000000000002</v>
      </c>
      <c r="N28" s="11">
        <f t="shared" si="13"/>
        <v>0.15050000000000002</v>
      </c>
      <c r="P28" s="12">
        <v>3</v>
      </c>
      <c r="Q28" s="11">
        <f t="shared" si="3"/>
        <v>13</v>
      </c>
      <c r="R28" s="11">
        <f t="shared" si="14"/>
        <v>15.050000000000002</v>
      </c>
      <c r="S28" s="11">
        <f t="shared" si="4"/>
        <v>-2.0500000000000025</v>
      </c>
      <c r="T28" s="11">
        <f t="shared" si="5"/>
        <v>4.2025000000000103</v>
      </c>
      <c r="U28" s="11">
        <f t="shared" si="6"/>
        <v>0.27923588039867175</v>
      </c>
      <c r="W28" s="12">
        <f t="shared" si="7"/>
        <v>31.85</v>
      </c>
      <c r="X28" s="13">
        <f t="shared" si="8"/>
        <v>0.23</v>
      </c>
      <c r="Y28" s="13" t="s">
        <v>145</v>
      </c>
      <c r="Z28" s="13">
        <f t="shared" si="15"/>
        <v>0.18669999999999998</v>
      </c>
      <c r="AA28" s="27">
        <f t="shared" si="9"/>
        <v>4.3300000000000033E-2</v>
      </c>
    </row>
    <row r="29" spans="1:27" ht="32.25" thickBot="1" x14ac:dyDescent="0.35">
      <c r="A29" s="1" t="str">
        <f t="shared" si="0"/>
        <v>41,975-52,1</v>
      </c>
      <c r="B29" s="2">
        <f t="shared" si="10"/>
        <v>47.037500000000001</v>
      </c>
      <c r="C29" s="2">
        <f t="shared" si="1"/>
        <v>17</v>
      </c>
      <c r="D29" s="2">
        <f t="shared" si="11"/>
        <v>799.63750000000005</v>
      </c>
      <c r="E29" s="2">
        <f t="shared" si="16"/>
        <v>37612.94890625</v>
      </c>
      <c r="F29" s="10">
        <f t="shared" si="12"/>
        <v>2212.52640625</v>
      </c>
      <c r="H29" t="s">
        <v>29</v>
      </c>
      <c r="I29">
        <f>(C34/99)*I27</f>
        <v>462.03481534090969</v>
      </c>
      <c r="K29" s="11">
        <f t="shared" si="2"/>
        <v>41.975000000000001</v>
      </c>
      <c r="L29" s="10">
        <f>(K29-I25)/I30</f>
        <v>-0.42864629404405197</v>
      </c>
      <c r="M29" s="11">
        <v>-0.1628</v>
      </c>
      <c r="N29" s="11">
        <f t="shared" si="13"/>
        <v>0.17880000000000001</v>
      </c>
      <c r="P29" s="12">
        <v>4</v>
      </c>
      <c r="Q29" s="11">
        <f t="shared" si="3"/>
        <v>17</v>
      </c>
      <c r="R29" s="11">
        <f t="shared" si="14"/>
        <v>17.880000000000003</v>
      </c>
      <c r="S29" s="11">
        <f t="shared" si="4"/>
        <v>-0.88000000000000256</v>
      </c>
      <c r="T29" s="11">
        <f t="shared" si="5"/>
        <v>0.77440000000000453</v>
      </c>
      <c r="U29" s="11">
        <f t="shared" si="6"/>
        <v>4.3310961968680339E-2</v>
      </c>
      <c r="W29" s="12">
        <f t="shared" si="7"/>
        <v>41.975000000000001</v>
      </c>
      <c r="X29" s="13">
        <f t="shared" si="8"/>
        <v>0.36</v>
      </c>
      <c r="Y29" s="13" t="s">
        <v>146</v>
      </c>
      <c r="Z29" s="13">
        <f t="shared" si="15"/>
        <v>0.3372</v>
      </c>
      <c r="AA29" s="13">
        <f t="shared" si="9"/>
        <v>2.2799999999999987E-2</v>
      </c>
    </row>
    <row r="30" spans="1:27" ht="32.25" thickBot="1" x14ac:dyDescent="0.35">
      <c r="A30" s="1" t="str">
        <f t="shared" si="0"/>
        <v>52,1-62,225</v>
      </c>
      <c r="B30" s="2">
        <f t="shared" si="10"/>
        <v>57.162500000000001</v>
      </c>
      <c r="C30" s="2">
        <f t="shared" si="1"/>
        <v>13</v>
      </c>
      <c r="D30" s="2">
        <f t="shared" si="11"/>
        <v>743.11250000000007</v>
      </c>
      <c r="E30" s="2">
        <f t="shared" si="16"/>
        <v>42478.16828125</v>
      </c>
      <c r="F30" s="10">
        <f t="shared" si="12"/>
        <v>3267.5514062500001</v>
      </c>
      <c r="H30" t="s">
        <v>30</v>
      </c>
      <c r="I30">
        <f>SQRT(I29)</f>
        <v>21.494995123072481</v>
      </c>
      <c r="K30" s="11">
        <f t="shared" si="2"/>
        <v>52.1</v>
      </c>
      <c r="L30" s="10">
        <f>(K30-I25)/I30</f>
        <v>4.2393589520840803E-2</v>
      </c>
      <c r="M30" s="11">
        <v>1.6E-2</v>
      </c>
      <c r="N30" s="11">
        <f t="shared" si="13"/>
        <v>0.17899999999999999</v>
      </c>
      <c r="P30" s="12">
        <v>5</v>
      </c>
      <c r="Q30" s="11">
        <f t="shared" si="3"/>
        <v>13</v>
      </c>
      <c r="R30" s="11">
        <f t="shared" si="14"/>
        <v>17.899999999999999</v>
      </c>
      <c r="S30" s="11">
        <f t="shared" si="4"/>
        <v>-4.8999999999999986</v>
      </c>
      <c r="T30" s="11">
        <f t="shared" si="5"/>
        <v>24.009999999999987</v>
      </c>
      <c r="U30" s="11">
        <f t="shared" si="6"/>
        <v>1.3413407821229044</v>
      </c>
      <c r="W30" s="12">
        <f t="shared" si="7"/>
        <v>52.1</v>
      </c>
      <c r="X30" s="13">
        <f t="shared" si="8"/>
        <v>0.53</v>
      </c>
      <c r="Y30" s="13" t="s">
        <v>147</v>
      </c>
      <c r="Z30" s="13">
        <f t="shared" si="15"/>
        <v>0.51600000000000001</v>
      </c>
      <c r="AA30" s="13">
        <f t="shared" si="9"/>
        <v>1.4000000000000012E-2</v>
      </c>
    </row>
    <row r="31" spans="1:27" ht="32.25" thickBot="1" x14ac:dyDescent="0.35">
      <c r="A31" s="1" t="str">
        <f t="shared" si="0"/>
        <v>62,225-72,35</v>
      </c>
      <c r="B31" s="2">
        <f t="shared" si="10"/>
        <v>67.287499999999994</v>
      </c>
      <c r="C31" s="2">
        <f t="shared" si="1"/>
        <v>12</v>
      </c>
      <c r="D31" s="2">
        <f t="shared" si="11"/>
        <v>807.44999999999993</v>
      </c>
      <c r="E31" s="2">
        <f t="shared" si="16"/>
        <v>54331.291874999995</v>
      </c>
      <c r="F31" s="10">
        <f t="shared" si="12"/>
        <v>4527.6076562499993</v>
      </c>
      <c r="H31" t="s">
        <v>46</v>
      </c>
      <c r="K31" s="11">
        <f t="shared" si="2"/>
        <v>62.225000000000001</v>
      </c>
      <c r="L31" s="10">
        <f>(K31-I25)/I30</f>
        <v>0.51343347308573362</v>
      </c>
      <c r="M31" s="11">
        <v>0.19500000000000001</v>
      </c>
      <c r="N31" s="11">
        <f t="shared" si="13"/>
        <v>0.14150000000000001</v>
      </c>
      <c r="P31" s="12">
        <v>6</v>
      </c>
      <c r="Q31" s="11">
        <f t="shared" si="3"/>
        <v>12</v>
      </c>
      <c r="R31" s="11">
        <f t="shared" si="14"/>
        <v>14.150000000000002</v>
      </c>
      <c r="S31" s="11">
        <f t="shared" si="4"/>
        <v>-2.1500000000000021</v>
      </c>
      <c r="T31" s="11">
        <f t="shared" si="5"/>
        <v>4.6225000000000094</v>
      </c>
      <c r="U31" s="11">
        <f t="shared" si="6"/>
        <v>0.32667844522968259</v>
      </c>
      <c r="W31" s="12">
        <f t="shared" si="7"/>
        <v>62.225000000000001</v>
      </c>
      <c r="X31" s="13">
        <f t="shared" si="8"/>
        <v>0.66</v>
      </c>
      <c r="Y31" s="13" t="s">
        <v>148</v>
      </c>
      <c r="Z31" s="13">
        <f t="shared" si="15"/>
        <v>0.69500000000000006</v>
      </c>
      <c r="AA31" s="13">
        <f t="shared" si="9"/>
        <v>3.5000000000000031E-2</v>
      </c>
    </row>
    <row r="32" spans="1:27" ht="32.25" thickBot="1" x14ac:dyDescent="0.35">
      <c r="A32" s="1" t="str">
        <f t="shared" si="0"/>
        <v>72,35-82,475</v>
      </c>
      <c r="B32" s="2">
        <f t="shared" si="10"/>
        <v>77.412499999999994</v>
      </c>
      <c r="C32" s="2">
        <f t="shared" si="1"/>
        <v>15</v>
      </c>
      <c r="D32" s="2">
        <f t="shared" si="11"/>
        <v>1161.1875</v>
      </c>
      <c r="E32" s="2">
        <f t="shared" si="16"/>
        <v>89890.42734374998</v>
      </c>
      <c r="F32" s="10">
        <f t="shared" si="12"/>
        <v>5992.6951562499989</v>
      </c>
      <c r="H32" t="s">
        <v>31</v>
      </c>
      <c r="I32">
        <f>I25-(3*I30)</f>
        <v>-13.296235369217449</v>
      </c>
      <c r="K32" s="11">
        <f t="shared" si="2"/>
        <v>72.349999999999994</v>
      </c>
      <c r="L32" s="10">
        <f>(K32-I25)/I30</f>
        <v>0.98447335665062607</v>
      </c>
      <c r="M32" s="11">
        <v>0.33650000000000002</v>
      </c>
      <c r="N32" s="11">
        <f>M33-M32</f>
        <v>8.9999999999999969E-2</v>
      </c>
      <c r="P32" s="12">
        <v>7</v>
      </c>
      <c r="Q32" s="11">
        <f t="shared" si="3"/>
        <v>15</v>
      </c>
      <c r="R32" s="11">
        <f t="shared" si="14"/>
        <v>8.9999999999999964</v>
      </c>
      <c r="S32" s="11">
        <f t="shared" si="4"/>
        <v>6.0000000000000036</v>
      </c>
      <c r="T32" s="11">
        <f t="shared" si="5"/>
        <v>36.000000000000043</v>
      </c>
      <c r="U32" s="11">
        <f t="shared" si="6"/>
        <v>4.0000000000000062</v>
      </c>
      <c r="W32" s="12">
        <f t="shared" si="7"/>
        <v>72.349999999999994</v>
      </c>
      <c r="X32" s="13">
        <f t="shared" si="8"/>
        <v>0.78</v>
      </c>
      <c r="Y32" s="13" t="s">
        <v>149</v>
      </c>
      <c r="Z32" s="13">
        <f t="shared" si="15"/>
        <v>0.83650000000000002</v>
      </c>
      <c r="AA32" s="26">
        <f t="shared" si="9"/>
        <v>5.6499999999999995E-2</v>
      </c>
    </row>
    <row r="33" spans="1:27" ht="30" customHeight="1" thickBot="1" x14ac:dyDescent="0.35">
      <c r="A33" s="1" t="str">
        <f t="shared" si="0"/>
        <v>82,475-92,6</v>
      </c>
      <c r="B33" s="2">
        <f t="shared" si="10"/>
        <v>87.537499999999994</v>
      </c>
      <c r="C33" s="2">
        <f t="shared" si="1"/>
        <v>7</v>
      </c>
      <c r="D33" s="2">
        <f t="shared" si="11"/>
        <v>612.76249999999993</v>
      </c>
      <c r="E33" s="2">
        <f t="shared" si="16"/>
        <v>53639.697343749991</v>
      </c>
      <c r="F33" s="10">
        <f t="shared" si="12"/>
        <v>7662.8139062499986</v>
      </c>
      <c r="H33" t="s">
        <v>32</v>
      </c>
      <c r="I33">
        <f>I25+(3*I30)</f>
        <v>115.67373536921744</v>
      </c>
      <c r="K33" s="11">
        <f t="shared" si="2"/>
        <v>82.474999999999994</v>
      </c>
      <c r="L33" s="10">
        <f>(K33-I25)/I30</f>
        <v>1.4555132402155189</v>
      </c>
      <c r="M33" s="11">
        <v>0.42649999999999999</v>
      </c>
      <c r="N33" s="11">
        <f t="shared" si="13"/>
        <v>7.350000000000001E-2</v>
      </c>
      <c r="P33" s="12">
        <v>8</v>
      </c>
      <c r="Q33" s="11">
        <f t="shared" si="3"/>
        <v>7</v>
      </c>
      <c r="R33" s="11">
        <f t="shared" si="14"/>
        <v>7.3500000000000014</v>
      </c>
      <c r="S33" s="11">
        <f t="shared" si="4"/>
        <v>-0.35000000000000142</v>
      </c>
      <c r="T33" s="11">
        <f t="shared" si="5"/>
        <v>0.122500000000001</v>
      </c>
      <c r="U33" s="11">
        <f t="shared" si="6"/>
        <v>1.6666666666666798E-2</v>
      </c>
      <c r="W33" s="12">
        <f t="shared" si="7"/>
        <v>82.474999999999994</v>
      </c>
      <c r="X33" s="13">
        <f t="shared" si="8"/>
        <v>0.93</v>
      </c>
      <c r="Y33" s="13" t="s">
        <v>150</v>
      </c>
      <c r="Z33" s="13">
        <f t="shared" si="15"/>
        <v>0.92649999999999999</v>
      </c>
      <c r="AA33" s="13">
        <f t="shared" si="9"/>
        <v>3.5000000000000586E-3</v>
      </c>
    </row>
    <row r="34" spans="1:27" ht="31.5" thickBot="1" x14ac:dyDescent="0.35">
      <c r="A34" s="4" t="s">
        <v>13</v>
      </c>
      <c r="B34" s="2" t="s">
        <v>14</v>
      </c>
      <c r="C34" s="2">
        <f>SUM(C26:C33)</f>
        <v>100</v>
      </c>
      <c r="D34" s="2">
        <f>SUM(D26:D33)</f>
        <v>5118.8749999999991</v>
      </c>
      <c r="E34" s="2">
        <f>SUM(E26:E33)</f>
        <v>307770.25937499997</v>
      </c>
      <c r="F34" s="10">
        <f>SUM(F26:F33)</f>
        <v>26020.936249999999</v>
      </c>
      <c r="K34" s="11">
        <f t="shared" si="2"/>
        <v>92.6</v>
      </c>
      <c r="L34" s="10">
        <f>(K34-I25)/I30</f>
        <v>1.9265531237804117</v>
      </c>
      <c r="M34" s="11">
        <v>0.5</v>
      </c>
      <c r="N34" s="11">
        <f>SUM(N26:N33)</f>
        <v>1</v>
      </c>
      <c r="P34" s="12" t="s">
        <v>37</v>
      </c>
      <c r="Q34" s="11">
        <f>SUM(Q26:Q33)</f>
        <v>100</v>
      </c>
      <c r="R34" s="11">
        <f t="shared" si="14"/>
        <v>100</v>
      </c>
      <c r="S34" s="11"/>
      <c r="T34" s="11"/>
      <c r="U34" s="11">
        <f>SUM(U26:U33)</f>
        <v>7.8064764323205713</v>
      </c>
      <c r="W34" s="12">
        <f t="shared" si="7"/>
        <v>92.6</v>
      </c>
      <c r="X34" s="13">
        <f t="shared" si="8"/>
        <v>1</v>
      </c>
      <c r="Y34" s="13" t="s">
        <v>151</v>
      </c>
      <c r="Z34" s="13">
        <f>0.5+M34</f>
        <v>1</v>
      </c>
      <c r="AA34" s="13">
        <f t="shared" si="9"/>
        <v>0</v>
      </c>
    </row>
    <row r="35" spans="1:27" ht="27.75" customHeight="1" thickBot="1" x14ac:dyDescent="0.3"/>
    <row r="36" spans="1:27" ht="19.5" thickBot="1" x14ac:dyDescent="0.35">
      <c r="A36" s="10" t="s">
        <v>33</v>
      </c>
      <c r="B36" s="10" t="s">
        <v>54</v>
      </c>
      <c r="K36" t="s">
        <v>56</v>
      </c>
      <c r="L36">
        <v>1.984</v>
      </c>
    </row>
    <row r="37" spans="1:27" ht="19.5" thickBot="1" x14ac:dyDescent="0.35">
      <c r="A37" s="10">
        <f t="shared" ref="A37:A45" si="17">K26</f>
        <v>11.6</v>
      </c>
      <c r="B37" s="10">
        <f>(1/(I30*SQRT(2*3.14)))*EXP(-((A37-I25)*(A37-I25)/(2*I30*I30)))</f>
        <v>3.4048444920232448E-3</v>
      </c>
      <c r="K37" t="s">
        <v>55</v>
      </c>
      <c r="L37">
        <f>(I30/SQRT(Q34))*L36</f>
        <v>4.2646070324175804</v>
      </c>
    </row>
    <row r="38" spans="1:27" ht="19.5" thickBot="1" x14ac:dyDescent="0.35">
      <c r="A38" s="10">
        <f t="shared" si="17"/>
        <v>21.725000000000001</v>
      </c>
      <c r="B38" s="10">
        <f>(1/(I30*SQRT(2*3.14)))*EXP(-((A38-I25)*(A38-I25)/(2*I30*I30)))</f>
        <v>7.2558293806275695E-3</v>
      </c>
      <c r="K38" t="s">
        <v>57</v>
      </c>
      <c r="L38">
        <f>I25-L37</f>
        <v>46.924142967582412</v>
      </c>
    </row>
    <row r="39" spans="1:27" ht="19.5" thickBot="1" x14ac:dyDescent="0.35">
      <c r="A39" s="10">
        <f t="shared" si="17"/>
        <v>31.85</v>
      </c>
      <c r="B39" s="10">
        <f>(1/(I30*SQRT(2*3.14)))*EXP(-((A39-I25)*(A39-I25)/(2*I30*I30)))</f>
        <v>1.2385575837227254E-2</v>
      </c>
      <c r="K39" t="s">
        <v>58</v>
      </c>
      <c r="L39">
        <f>I25+L37</f>
        <v>55.453357032417571</v>
      </c>
    </row>
    <row r="40" spans="1:27" ht="19.5" thickBot="1" x14ac:dyDescent="0.35">
      <c r="A40" s="10">
        <f t="shared" si="17"/>
        <v>41.975000000000001</v>
      </c>
      <c r="B40" s="10">
        <f>(1/(I30*SQRT(2*3.14)))*EXP(-((A40-I25)*(A40-I25)/(2*I30*I30)))</f>
        <v>1.6934980638426786E-2</v>
      </c>
      <c r="K40" t="s">
        <v>152</v>
      </c>
    </row>
    <row r="41" spans="1:27" ht="19.5" thickBot="1" x14ac:dyDescent="0.35">
      <c r="A41" s="10">
        <f t="shared" si="17"/>
        <v>52.1</v>
      </c>
      <c r="B41" s="10">
        <f>(1/(I30*SQRT(2*3.14)))*EXP(-((A41-I25)*(A41-I25)/(2*I30*I30)))</f>
        <v>1.8547806933667605E-2</v>
      </c>
      <c r="K41" t="s">
        <v>153</v>
      </c>
    </row>
    <row r="42" spans="1:27" ht="19.5" thickBot="1" x14ac:dyDescent="0.35">
      <c r="A42" s="10">
        <f t="shared" si="17"/>
        <v>62.225000000000001</v>
      </c>
      <c r="B42" s="10">
        <f>(1/(I30*SQRT(2*3.14)))*EXP(-((A42-I25)*(A42-I25)/(2*I30*I30)))</f>
        <v>1.62719570538849E-2</v>
      </c>
      <c r="K42" t="s">
        <v>28</v>
      </c>
      <c r="L42">
        <v>0.14299999999999999</v>
      </c>
    </row>
    <row r="43" spans="1:27" ht="19.5" thickBot="1" x14ac:dyDescent="0.35">
      <c r="A43" s="10">
        <f t="shared" si="17"/>
        <v>72.349999999999994</v>
      </c>
      <c r="B43" s="10">
        <f>(1/(I30*SQRT(2*3.14)))*EXP(-((A43-I25)*(A43-I25)/(2*I30*I30)))</f>
        <v>1.143474206622409E-2</v>
      </c>
      <c r="K43" s="15" t="s">
        <v>55</v>
      </c>
      <c r="L43">
        <f>I30*L42</f>
        <v>3.0737843025993645</v>
      </c>
    </row>
    <row r="44" spans="1:27" ht="19.5" thickBot="1" x14ac:dyDescent="0.35">
      <c r="A44" s="10">
        <f t="shared" si="17"/>
        <v>82.474999999999994</v>
      </c>
      <c r="B44" s="10">
        <f>(1/(I30*SQRT(2*3.14)))*EXP(-((A44-I25)*(A44-I25)/(2*I30*I30)))</f>
        <v>6.4365376880163886E-3</v>
      </c>
      <c r="K44" t="s">
        <v>60</v>
      </c>
      <c r="L44">
        <f>I30-L43</f>
        <v>18.421210820473117</v>
      </c>
    </row>
    <row r="45" spans="1:27" ht="19.5" thickBot="1" x14ac:dyDescent="0.35">
      <c r="A45" s="10">
        <f t="shared" si="17"/>
        <v>92.6</v>
      </c>
      <c r="B45" s="10">
        <f>(1/(I30*SQRT(2*3.14)))*EXP(-((A45-I25)*(A45-I25)/(2*I30*I30)))</f>
        <v>2.9021350675756865E-3</v>
      </c>
      <c r="K45" t="s">
        <v>61</v>
      </c>
      <c r="L45">
        <f>I30+L43</f>
        <v>24.568779425671845</v>
      </c>
    </row>
    <row r="46" spans="1:27" x14ac:dyDescent="0.25">
      <c r="K46" t="s">
        <v>154</v>
      </c>
    </row>
    <row r="47" spans="1:27" x14ac:dyDescent="0.25">
      <c r="K47" t="s">
        <v>155</v>
      </c>
    </row>
  </sheetData>
  <sortState columnSort="1" ref="A51:CV51">
    <sortCondition ref="A51:CV51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21" workbookViewId="0">
      <selection activeCell="J52" sqref="J52"/>
    </sheetView>
  </sheetViews>
  <sheetFormatPr defaultRowHeight="15" x14ac:dyDescent="0.25"/>
  <cols>
    <col min="1" max="1" width="13.42578125" customWidth="1"/>
    <col min="4" max="4" width="14.140625" customWidth="1"/>
    <col min="6" max="6" width="10.28515625" customWidth="1"/>
    <col min="7" max="7" width="9.85546875" bestFit="1" customWidth="1"/>
    <col min="8" max="8" width="16.42578125" customWidth="1"/>
    <col min="20" max="20" width="9.85546875" bestFit="1" customWidth="1"/>
    <col min="21" max="21" width="18.28515625" customWidth="1"/>
  </cols>
  <sheetData>
    <row r="1" spans="1:11" ht="19.5" thickBot="1" x14ac:dyDescent="0.35">
      <c r="A1" s="10" t="s">
        <v>12</v>
      </c>
      <c r="B1" s="10" t="s">
        <v>156</v>
      </c>
      <c r="C1" s="10" t="s">
        <v>157</v>
      </c>
      <c r="D1" s="10" t="s">
        <v>158</v>
      </c>
      <c r="E1" s="10" t="s">
        <v>159</v>
      </c>
      <c r="F1" s="10" t="s">
        <v>160</v>
      </c>
      <c r="G1" s="10" t="s">
        <v>161</v>
      </c>
      <c r="H1" s="10" t="s">
        <v>123</v>
      </c>
      <c r="J1" s="10" t="s">
        <v>2</v>
      </c>
      <c r="K1" s="10">
        <v>30</v>
      </c>
    </row>
    <row r="2" spans="1:11" ht="19.5" thickBot="1" x14ac:dyDescent="0.35">
      <c r="A2" s="10" t="s">
        <v>62</v>
      </c>
      <c r="B2" s="10">
        <v>54</v>
      </c>
      <c r="C2" s="10">
        <v>28</v>
      </c>
      <c r="D2" s="10">
        <v>15</v>
      </c>
      <c r="E2" s="10">
        <v>9</v>
      </c>
      <c r="F2" s="10">
        <v>6</v>
      </c>
      <c r="G2" s="10">
        <v>7</v>
      </c>
      <c r="H2" s="10">
        <v>3</v>
      </c>
    </row>
    <row r="3" spans="1:11" ht="15.75" thickBot="1" x14ac:dyDescent="0.3"/>
    <row r="4" spans="1:11" ht="19.5" thickBot="1" x14ac:dyDescent="0.35">
      <c r="A4" s="10" t="s">
        <v>63</v>
      </c>
      <c r="B4" s="10" t="s">
        <v>64</v>
      </c>
      <c r="C4" s="10" t="s">
        <v>62</v>
      </c>
      <c r="D4" s="10" t="s">
        <v>65</v>
      </c>
      <c r="E4" s="10" t="s">
        <v>66</v>
      </c>
      <c r="F4" s="10" t="s">
        <v>67</v>
      </c>
      <c r="H4" s="10" t="s">
        <v>25</v>
      </c>
      <c r="I4" s="10">
        <f>E12/C12</f>
        <v>54.83606557377049</v>
      </c>
    </row>
    <row r="5" spans="1:11" ht="19.5" thickBot="1" x14ac:dyDescent="0.35">
      <c r="A5" s="10" t="s">
        <v>156</v>
      </c>
      <c r="B5" s="10">
        <v>15</v>
      </c>
      <c r="C5" s="10">
        <f>B2</f>
        <v>54</v>
      </c>
      <c r="D5" s="10">
        <f>C5/K1</f>
        <v>1.8</v>
      </c>
      <c r="E5" s="10">
        <f>B5*C5</f>
        <v>810</v>
      </c>
      <c r="F5" s="10">
        <f>B5*B5*C5</f>
        <v>12150</v>
      </c>
      <c r="H5" s="10" t="s">
        <v>26</v>
      </c>
      <c r="I5" s="10">
        <f>F12/C12</f>
        <v>5462.7049180327867</v>
      </c>
    </row>
    <row r="6" spans="1:11" ht="19.5" thickBot="1" x14ac:dyDescent="0.35">
      <c r="A6" s="10" t="s">
        <v>157</v>
      </c>
      <c r="B6" s="10">
        <v>45</v>
      </c>
      <c r="C6" s="10">
        <f>C2</f>
        <v>28</v>
      </c>
      <c r="D6" s="10">
        <f>C6/K1</f>
        <v>0.93333333333333335</v>
      </c>
      <c r="E6" s="10">
        <f t="shared" ref="E6:E11" si="0">B6*C6</f>
        <v>1260</v>
      </c>
      <c r="F6" s="10">
        <f t="shared" ref="F6:F11" si="1">B6*B6*C6</f>
        <v>56700</v>
      </c>
      <c r="H6" s="10" t="s">
        <v>69</v>
      </c>
      <c r="I6" s="10">
        <f>I5-(I4*I4)</f>
        <v>2455.7108304219296</v>
      </c>
    </row>
    <row r="7" spans="1:11" ht="19.5" thickBot="1" x14ac:dyDescent="0.35">
      <c r="A7" s="10" t="s">
        <v>158</v>
      </c>
      <c r="B7" s="10">
        <v>75</v>
      </c>
      <c r="C7" s="10">
        <f>D2</f>
        <v>15</v>
      </c>
      <c r="D7" s="10">
        <f>C7/K1</f>
        <v>0.5</v>
      </c>
      <c r="E7" s="10">
        <f t="shared" si="0"/>
        <v>1125</v>
      </c>
      <c r="F7" s="10">
        <f t="shared" si="1"/>
        <v>84375</v>
      </c>
      <c r="H7" s="10" t="s">
        <v>73</v>
      </c>
      <c r="I7" s="10">
        <f>SQRT(I6)</f>
        <v>49.555129203967674</v>
      </c>
    </row>
    <row r="8" spans="1:11" ht="19.5" thickBot="1" x14ac:dyDescent="0.35">
      <c r="A8" s="10" t="s">
        <v>159</v>
      </c>
      <c r="B8" s="10">
        <v>105</v>
      </c>
      <c r="C8" s="10">
        <f>E2</f>
        <v>9</v>
      </c>
      <c r="D8" s="10">
        <f>C8/K1</f>
        <v>0.3</v>
      </c>
      <c r="E8" s="10">
        <f t="shared" si="0"/>
        <v>945</v>
      </c>
      <c r="F8" s="10">
        <f t="shared" si="1"/>
        <v>99225</v>
      </c>
    </row>
    <row r="9" spans="1:11" ht="19.5" thickBot="1" x14ac:dyDescent="0.35">
      <c r="A9" s="10" t="s">
        <v>160</v>
      </c>
      <c r="B9" s="10">
        <v>135</v>
      </c>
      <c r="C9" s="10">
        <f>F2</f>
        <v>6</v>
      </c>
      <c r="D9" s="10">
        <f>C9/K1</f>
        <v>0.2</v>
      </c>
      <c r="E9" s="10">
        <f t="shared" si="0"/>
        <v>810</v>
      </c>
      <c r="F9" s="10">
        <f t="shared" si="1"/>
        <v>109350</v>
      </c>
    </row>
    <row r="10" spans="1:11" ht="19.5" thickBot="1" x14ac:dyDescent="0.35">
      <c r="A10" s="10" t="s">
        <v>161</v>
      </c>
      <c r="B10" s="10">
        <v>165</v>
      </c>
      <c r="C10" s="10">
        <f>G2</f>
        <v>7</v>
      </c>
      <c r="D10" s="10">
        <f>C10/K1</f>
        <v>0.23333333333333334</v>
      </c>
      <c r="E10" s="10">
        <f t="shared" si="0"/>
        <v>1155</v>
      </c>
      <c r="F10" s="10">
        <f t="shared" si="1"/>
        <v>190575</v>
      </c>
    </row>
    <row r="11" spans="1:11" ht="19.5" thickBot="1" x14ac:dyDescent="0.35">
      <c r="A11" s="10" t="s">
        <v>123</v>
      </c>
      <c r="B11" s="10">
        <v>195</v>
      </c>
      <c r="C11" s="10">
        <f>H2</f>
        <v>3</v>
      </c>
      <c r="D11" s="10">
        <f>C11/K1</f>
        <v>0.1</v>
      </c>
      <c r="E11" s="10">
        <f t="shared" si="0"/>
        <v>585</v>
      </c>
      <c r="F11" s="10">
        <f t="shared" si="1"/>
        <v>114075</v>
      </c>
    </row>
    <row r="12" spans="1:11" ht="19.5" thickBot="1" x14ac:dyDescent="0.35">
      <c r="A12" s="10" t="s">
        <v>68</v>
      </c>
      <c r="B12" s="10"/>
      <c r="C12" s="10">
        <f>SUM(C5:C11)</f>
        <v>122</v>
      </c>
      <c r="D12" s="10"/>
      <c r="E12" s="10">
        <f>SUM(E5:E11)</f>
        <v>6690</v>
      </c>
      <c r="F12" s="10">
        <f>SUM(F5:F11)</f>
        <v>666450</v>
      </c>
    </row>
    <row r="13" spans="1:11" ht="15.75" thickBot="1" x14ac:dyDescent="0.3"/>
    <row r="14" spans="1:11" ht="19.5" thickBot="1" x14ac:dyDescent="0.35">
      <c r="A14" s="10" t="s">
        <v>33</v>
      </c>
      <c r="B14" s="10">
        <v>0</v>
      </c>
      <c r="C14" s="10">
        <v>30</v>
      </c>
      <c r="D14" s="10">
        <v>60</v>
      </c>
      <c r="E14" s="10">
        <v>90</v>
      </c>
      <c r="F14" s="10">
        <v>120</v>
      </c>
      <c r="G14" s="10">
        <v>150</v>
      </c>
      <c r="H14" s="10">
        <v>180</v>
      </c>
      <c r="I14" s="10">
        <v>210</v>
      </c>
    </row>
    <row r="15" spans="1:11" ht="19.5" thickBot="1" x14ac:dyDescent="0.35">
      <c r="A15" s="10" t="s">
        <v>47</v>
      </c>
      <c r="B15" s="10">
        <f>0/C12</f>
        <v>0</v>
      </c>
      <c r="C15" s="10">
        <f>C5/C12</f>
        <v>0.44262295081967212</v>
      </c>
      <c r="D15" s="10">
        <f>(C5+C6)/C12</f>
        <v>0.67213114754098358</v>
      </c>
      <c r="E15" s="10">
        <f>(C5+C6+C7)/C12</f>
        <v>0.79508196721311475</v>
      </c>
      <c r="F15" s="10">
        <f>(C5+C6+C7+C8)/C12</f>
        <v>0.86885245901639341</v>
      </c>
      <c r="G15" s="10">
        <f>(C5+C6+C7+C8+C9)/C12</f>
        <v>0.91803278688524592</v>
      </c>
      <c r="H15" s="10">
        <f>(C5+C6+C7+C8+C9+C10)/C12</f>
        <v>0.97540983606557374</v>
      </c>
      <c r="I15" s="10">
        <f>(C5+C6+C7+C8+C9+C10+C11)/C12</f>
        <v>1</v>
      </c>
    </row>
    <row r="31" spans="1:2" ht="15.75" thickBot="1" x14ac:dyDescent="0.3"/>
    <row r="32" spans="1:2" ht="19.5" thickBot="1" x14ac:dyDescent="0.35">
      <c r="A32" s="10" t="s">
        <v>70</v>
      </c>
      <c r="B32" s="10">
        <f>1/I4</f>
        <v>1.8236173393124066E-2</v>
      </c>
    </row>
    <row r="33" spans="1:11" ht="15.75" thickBot="1" x14ac:dyDescent="0.3"/>
    <row r="34" spans="1:11" ht="19.5" thickBot="1" x14ac:dyDescent="0.35">
      <c r="A34" s="10" t="s">
        <v>12</v>
      </c>
      <c r="B34" s="10" t="s">
        <v>36</v>
      </c>
      <c r="C34" s="10" t="s">
        <v>39</v>
      </c>
      <c r="D34" s="10" t="s">
        <v>39</v>
      </c>
      <c r="E34" s="10" t="s">
        <v>62</v>
      </c>
      <c r="F34" s="10" t="s">
        <v>62</v>
      </c>
      <c r="G34" s="10" t="s">
        <v>71</v>
      </c>
      <c r="H34" s="10" t="s">
        <v>42</v>
      </c>
      <c r="J34" s="10" t="s">
        <v>72</v>
      </c>
      <c r="K34" s="10">
        <f>G42</f>
        <v>0.60991860319040891</v>
      </c>
    </row>
    <row r="35" spans="1:11" ht="19.5" thickBot="1" x14ac:dyDescent="0.35">
      <c r="A35" s="10" t="s">
        <v>156</v>
      </c>
      <c r="B35" s="10">
        <f>EXP(-B32*B14)-EXP(-B32*C14)</f>
        <v>0.42136604406726819</v>
      </c>
      <c r="C35" s="10">
        <f>C12*B35</f>
        <v>51.406657376206716</v>
      </c>
      <c r="D35" s="10">
        <f>C35</f>
        <v>51.406657376206716</v>
      </c>
      <c r="E35" s="10">
        <f t="shared" ref="E35:E41" si="2">C5</f>
        <v>54</v>
      </c>
      <c r="F35" s="10">
        <f>E35</f>
        <v>54</v>
      </c>
      <c r="G35" s="10">
        <f t="shared" ref="G35:G40" si="3">IMABS(F35-D35)</f>
        <v>2.5933426237932835</v>
      </c>
      <c r="H35" s="10">
        <f t="shared" ref="H35:H40" si="4">(G35*G35)/D35</f>
        <v>0.13082791816563155</v>
      </c>
      <c r="J35" s="10" t="s">
        <v>44</v>
      </c>
      <c r="K35" s="10">
        <v>7.8150000000000004</v>
      </c>
    </row>
    <row r="36" spans="1:11" ht="19.5" thickBot="1" x14ac:dyDescent="0.35">
      <c r="A36" s="10" t="s">
        <v>157</v>
      </c>
      <c r="B36" s="10">
        <f>EXP(-B32*C14)-EXP(-B32*D14)</f>
        <v>0.24381670097436914</v>
      </c>
      <c r="C36" s="10">
        <f>C12*B36</f>
        <v>29.745637518873036</v>
      </c>
      <c r="D36" s="10">
        <f>C36</f>
        <v>29.745637518873036</v>
      </c>
      <c r="E36" s="10">
        <f t="shared" si="2"/>
        <v>28</v>
      </c>
      <c r="F36" s="10">
        <f>E36</f>
        <v>28</v>
      </c>
      <c r="G36" s="10">
        <f t="shared" si="3"/>
        <v>1.7456375188730355</v>
      </c>
      <c r="H36" s="10">
        <f t="shared" si="4"/>
        <v>0.1024436052299698</v>
      </c>
      <c r="J36" t="s">
        <v>74</v>
      </c>
    </row>
    <row r="37" spans="1:11" ht="19.5" thickBot="1" x14ac:dyDescent="0.35">
      <c r="A37" s="10" t="s">
        <v>158</v>
      </c>
      <c r="B37" s="10">
        <f>EXP(-B32*D14)-EXP(-B32*E14)</f>
        <v>0.14108062220726719</v>
      </c>
      <c r="C37" s="10">
        <f>C12*B37</f>
        <v>17.211835909286599</v>
      </c>
      <c r="D37" s="10">
        <f>C37</f>
        <v>17.211835909286599</v>
      </c>
      <c r="E37" s="10">
        <f t="shared" si="2"/>
        <v>15</v>
      </c>
      <c r="F37" s="10">
        <f>E37</f>
        <v>15</v>
      </c>
      <c r="G37" s="10">
        <f t="shared" si="3"/>
        <v>2.2118359092865987</v>
      </c>
      <c r="H37" s="10">
        <f t="shared" si="4"/>
        <v>0.28423569196183729</v>
      </c>
    </row>
    <row r="38" spans="1:11" ht="19.5" thickBot="1" x14ac:dyDescent="0.35">
      <c r="A38" s="10" t="s">
        <v>159</v>
      </c>
      <c r="B38" s="10">
        <f>EXP(-B32*E14)-EXP(-B32*F14)</f>
        <v>8.1634038533242234E-2</v>
      </c>
      <c r="C38" s="10">
        <f>C12*B38</f>
        <v>9.9593527010555523</v>
      </c>
      <c r="D38" s="10">
        <f>C38</f>
        <v>9.9593527010555523</v>
      </c>
      <c r="E38" s="10">
        <f t="shared" si="2"/>
        <v>9</v>
      </c>
      <c r="F38" s="10">
        <f>E38</f>
        <v>9</v>
      </c>
      <c r="G38" s="10">
        <f t="shared" si="3"/>
        <v>0.95935270105555226</v>
      </c>
      <c r="H38" s="10">
        <f t="shared" si="4"/>
        <v>9.2411387832970177E-2</v>
      </c>
    </row>
    <row r="39" spans="1:11" ht="19.5" thickBot="1" x14ac:dyDescent="0.35">
      <c r="A39" s="10" t="s">
        <v>160</v>
      </c>
      <c r="B39" s="10">
        <f>EXP(-B32*F14)-EXP(-B32*G14)</f>
        <v>4.7236226655255023E-2</v>
      </c>
      <c r="C39" s="10">
        <f>C12*B39</f>
        <v>5.762819651941113</v>
      </c>
      <c r="D39" s="10">
        <f>C39</f>
        <v>5.762819651941113</v>
      </c>
      <c r="E39" s="10">
        <f t="shared" si="2"/>
        <v>6</v>
      </c>
      <c r="F39" s="10">
        <f>E39</f>
        <v>6</v>
      </c>
      <c r="G39" s="10">
        <f t="shared" si="3"/>
        <v>0.23718034805888699</v>
      </c>
      <c r="H39" s="10">
        <f t="shared" si="4"/>
        <v>9.7616307472655935E-3</v>
      </c>
    </row>
    <row r="40" spans="1:11" ht="19.5" thickBot="1" x14ac:dyDescent="0.35">
      <c r="A40" s="10" t="s">
        <v>161</v>
      </c>
      <c r="B40" s="10">
        <f>EXP(-B32*G14)-EXP(-B32*H14)</f>
        <v>2.733248469286538E-2</v>
      </c>
      <c r="C40" s="10">
        <f>C12*B40</f>
        <v>3.3345631325295764</v>
      </c>
      <c r="D40" s="34">
        <f>C40+C41</f>
        <v>5.2640545892126065</v>
      </c>
      <c r="E40" s="10">
        <f t="shared" si="2"/>
        <v>7</v>
      </c>
      <c r="F40" s="34">
        <f>E40+E41</f>
        <v>10</v>
      </c>
      <c r="G40" s="34">
        <f t="shared" si="3"/>
        <v>4.7359454107873935</v>
      </c>
      <c r="H40" s="34">
        <f t="shared" si="4"/>
        <v>4.2608180735665799</v>
      </c>
    </row>
    <row r="41" spans="1:11" ht="19.5" thickBot="1" x14ac:dyDescent="0.35">
      <c r="A41" s="10" t="s">
        <v>123</v>
      </c>
      <c r="B41" s="10">
        <f>EXP(-B32*H14)-EXP(-B32*I14)</f>
        <v>1.5815503743303528E-2</v>
      </c>
      <c r="C41" s="10">
        <f>C12*B41</f>
        <v>1.9294914566830303</v>
      </c>
      <c r="D41" s="35"/>
      <c r="E41" s="10">
        <f t="shared" si="2"/>
        <v>3</v>
      </c>
      <c r="F41" s="35"/>
      <c r="G41" s="35"/>
      <c r="H41" s="35"/>
    </row>
    <row r="42" spans="1:11" ht="19.5" thickBot="1" x14ac:dyDescent="0.35">
      <c r="A42" s="10" t="s">
        <v>68</v>
      </c>
      <c r="B42" s="10">
        <f>SUM(B35:B41)</f>
        <v>0.97828162087357085</v>
      </c>
      <c r="C42" s="10"/>
      <c r="D42" s="10"/>
      <c r="E42" s="10">
        <f>SUM(F35:F41)</f>
        <v>122</v>
      </c>
      <c r="F42" s="10"/>
      <c r="G42" s="10">
        <f>SUM(H35:H38)</f>
        <v>0.60991860319040891</v>
      </c>
    </row>
    <row r="43" spans="1:11" ht="15.75" customHeight="1" thickBot="1" x14ac:dyDescent="0.3"/>
    <row r="44" spans="1:11" ht="19.5" thickBot="1" x14ac:dyDescent="0.35">
      <c r="A44" s="10" t="s">
        <v>33</v>
      </c>
      <c r="B44" s="10" t="s">
        <v>47</v>
      </c>
      <c r="C44" s="10" t="s">
        <v>49</v>
      </c>
      <c r="D44" s="10" t="s">
        <v>50</v>
      </c>
      <c r="F44" s="14" t="s">
        <v>75</v>
      </c>
      <c r="G44">
        <v>1.3580000000000001</v>
      </c>
    </row>
    <row r="45" spans="1:11" ht="19.5" thickBot="1" x14ac:dyDescent="0.35">
      <c r="A45" s="10">
        <v>0</v>
      </c>
      <c r="B45" s="16">
        <f>B15</f>
        <v>0</v>
      </c>
      <c r="C45" s="16">
        <f>1-EXP(-B32*A45)</f>
        <v>0</v>
      </c>
      <c r="D45" s="16">
        <f>IMABS(B45-C45)</f>
        <v>0</v>
      </c>
      <c r="F45" t="s">
        <v>53</v>
      </c>
      <c r="G45">
        <f>SQRT(C12)*D52</f>
        <v>0.23988733815955535</v>
      </c>
    </row>
    <row r="46" spans="1:11" ht="19.5" thickBot="1" x14ac:dyDescent="0.35">
      <c r="A46" s="10">
        <v>30</v>
      </c>
      <c r="B46" s="16">
        <f>C15</f>
        <v>0.44262295081967212</v>
      </c>
      <c r="C46" s="16">
        <f>1-EXP(-B32*A46)</f>
        <v>0.42136604406726819</v>
      </c>
      <c r="D46" s="28">
        <f>IMABS(B46-C46)</f>
        <v>2.1256906752403937E-2</v>
      </c>
      <c r="F46" t="s">
        <v>74</v>
      </c>
    </row>
    <row r="47" spans="1:11" ht="19.5" thickBot="1" x14ac:dyDescent="0.35">
      <c r="A47" s="10">
        <v>60</v>
      </c>
      <c r="B47" s="16">
        <f>D15</f>
        <v>0.67213114754098358</v>
      </c>
      <c r="C47" s="16">
        <f>1-EXP(-B32*A47)</f>
        <v>0.66518274504163732</v>
      </c>
      <c r="D47" s="28">
        <f>IMABS(B47-C47)</f>
        <v>6.9484024993462512E-3</v>
      </c>
    </row>
    <row r="48" spans="1:11" ht="19.5" thickBot="1" x14ac:dyDescent="0.35">
      <c r="A48" s="10">
        <v>90</v>
      </c>
      <c r="B48" s="16">
        <f>E15</f>
        <v>0.79508196721311475</v>
      </c>
      <c r="C48" s="16">
        <f>1-EXP(-B32*A48)</f>
        <v>0.80626336724890457</v>
      </c>
      <c r="D48" s="16">
        <f>IMABS(B48-C48)</f>
        <v>1.1181400035789824E-2</v>
      </c>
    </row>
    <row r="49" spans="1:4" ht="19.5" thickBot="1" x14ac:dyDescent="0.35">
      <c r="A49" s="10">
        <v>120</v>
      </c>
      <c r="B49" s="16">
        <f>F15</f>
        <v>0.86885245901639341</v>
      </c>
      <c r="C49" s="16">
        <f>1-EXP(-B32*A49)</f>
        <v>0.88789740578214671</v>
      </c>
      <c r="D49" s="16">
        <f>IMABS(B49-C49)</f>
        <v>1.9044946765753301E-2</v>
      </c>
    </row>
    <row r="50" spans="1:4" ht="19.5" thickBot="1" x14ac:dyDescent="0.35">
      <c r="A50" s="10">
        <v>150</v>
      </c>
      <c r="B50" s="16">
        <f>G15</f>
        <v>0.91803278688524592</v>
      </c>
      <c r="C50" s="16">
        <f>1-EXP(-B32*A50)</f>
        <v>0.93513363243740177</v>
      </c>
      <c r="D50" s="28">
        <f t="shared" ref="D50:D52" si="5">IMABS(B50-C50)</f>
        <v>1.7100845552155852E-2</v>
      </c>
    </row>
    <row r="51" spans="1:4" ht="19.5" thickBot="1" x14ac:dyDescent="0.35">
      <c r="A51" s="10">
        <v>180</v>
      </c>
      <c r="B51" s="16">
        <f>H15</f>
        <v>0.97540983606557374</v>
      </c>
      <c r="C51" s="16">
        <f>1-EXP(-B32*A51)</f>
        <v>0.9624661171302672</v>
      </c>
      <c r="D51" s="16">
        <f t="shared" si="5"/>
        <v>1.2943718935306547E-2</v>
      </c>
    </row>
    <row r="52" spans="1:4" ht="19.5" thickBot="1" x14ac:dyDescent="0.35">
      <c r="A52" s="10">
        <v>210</v>
      </c>
      <c r="B52" s="16">
        <f>I15</f>
        <v>1</v>
      </c>
      <c r="C52" s="16">
        <f>1-EXP(-B32*A52)</f>
        <v>0.97828162087357073</v>
      </c>
      <c r="D52" s="29">
        <f t="shared" si="5"/>
        <v>2.1718379126429266E-2</v>
      </c>
    </row>
  </sheetData>
  <mergeCells count="4">
    <mergeCell ref="F40:F41"/>
    <mergeCell ref="D40:D41"/>
    <mergeCell ref="G40:G41"/>
    <mergeCell ref="H40:H4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abSelected="1" topLeftCell="A26" zoomScale="85" zoomScaleNormal="85" workbookViewId="0">
      <selection activeCell="P41" sqref="P41"/>
    </sheetView>
  </sheetViews>
  <sheetFormatPr defaultRowHeight="15" x14ac:dyDescent="0.25"/>
  <cols>
    <col min="1" max="1" width="13.140625" customWidth="1"/>
    <col min="2" max="2" width="14.7109375" bestFit="1" customWidth="1"/>
    <col min="3" max="3" width="10.42578125" bestFit="1" customWidth="1"/>
    <col min="7" max="7" width="9.5703125" customWidth="1"/>
    <col min="8" max="8" width="13.7109375" customWidth="1"/>
    <col min="9" max="9" width="10.28515625" customWidth="1"/>
    <col min="14" max="14" width="18.5703125" customWidth="1"/>
    <col min="15" max="15" width="14.42578125" customWidth="1"/>
    <col min="16" max="16" width="15.140625" customWidth="1"/>
    <col min="20" max="20" width="9.28515625" customWidth="1"/>
    <col min="21" max="21" width="10" customWidth="1"/>
    <col min="24" max="24" width="14.7109375" customWidth="1"/>
    <col min="25" max="25" width="14.5703125" customWidth="1"/>
    <col min="26" max="26" width="16" customWidth="1"/>
  </cols>
  <sheetData>
    <row r="1" spans="1:24" ht="19.5" thickBot="1" x14ac:dyDescent="0.35">
      <c r="A1" s="10" t="s">
        <v>76</v>
      </c>
      <c r="B1" s="33" t="s">
        <v>162</v>
      </c>
      <c r="C1" s="33" t="s">
        <v>163</v>
      </c>
      <c r="D1" s="33" t="s">
        <v>164</v>
      </c>
      <c r="E1" s="33" t="s">
        <v>165</v>
      </c>
      <c r="F1" s="33" t="s">
        <v>166</v>
      </c>
      <c r="G1" s="33" t="s">
        <v>167</v>
      </c>
      <c r="H1" s="33" t="s">
        <v>168</v>
      </c>
      <c r="I1" s="33" t="s">
        <v>169</v>
      </c>
      <c r="J1" s="10" t="s">
        <v>77</v>
      </c>
    </row>
    <row r="2" spans="1:24" ht="19.5" thickBot="1" x14ac:dyDescent="0.35">
      <c r="A2" s="10">
        <v>115</v>
      </c>
      <c r="B2" s="10"/>
      <c r="C2" s="10"/>
      <c r="D2" s="10"/>
      <c r="E2" s="10"/>
      <c r="F2" s="10"/>
      <c r="G2" s="10">
        <v>4</v>
      </c>
      <c r="H2" s="10">
        <v>3</v>
      </c>
      <c r="I2" s="10">
        <v>2</v>
      </c>
      <c r="J2" s="10">
        <f>G2+H2+I2</f>
        <v>9</v>
      </c>
      <c r="L2" t="s">
        <v>79</v>
      </c>
      <c r="M2">
        <v>100</v>
      </c>
    </row>
    <row r="3" spans="1:24" ht="19.5" thickBot="1" x14ac:dyDescent="0.35">
      <c r="A3" s="10">
        <v>120</v>
      </c>
      <c r="B3" s="10"/>
      <c r="C3" s="10"/>
      <c r="D3" s="10"/>
      <c r="E3" s="10"/>
      <c r="F3" s="10">
        <v>8</v>
      </c>
      <c r="G3" s="10">
        <v>7</v>
      </c>
      <c r="H3" s="10"/>
      <c r="I3" s="10"/>
      <c r="J3" s="10">
        <f>F3+G3</f>
        <v>15</v>
      </c>
      <c r="L3" t="s">
        <v>118</v>
      </c>
      <c r="M3">
        <v>5</v>
      </c>
    </row>
    <row r="4" spans="1:24" ht="19.5" thickBot="1" x14ac:dyDescent="0.35">
      <c r="A4" s="10">
        <v>125</v>
      </c>
      <c r="B4" s="10"/>
      <c r="C4" s="10"/>
      <c r="D4" s="10"/>
      <c r="E4" s="10">
        <v>8</v>
      </c>
      <c r="F4" s="10">
        <v>7</v>
      </c>
      <c r="G4" s="10">
        <v>4</v>
      </c>
      <c r="H4" s="10"/>
      <c r="I4" s="10"/>
      <c r="J4" s="10">
        <f>E4+F4+G4</f>
        <v>19</v>
      </c>
      <c r="L4" t="s">
        <v>119</v>
      </c>
      <c r="M4">
        <v>0.5</v>
      </c>
    </row>
    <row r="5" spans="1:24" ht="19.5" thickBot="1" x14ac:dyDescent="0.35">
      <c r="A5" s="10">
        <v>130</v>
      </c>
      <c r="B5" s="10"/>
      <c r="C5" s="10"/>
      <c r="D5" s="10">
        <v>7</v>
      </c>
      <c r="E5" s="10">
        <v>15</v>
      </c>
      <c r="F5" s="10">
        <v>3</v>
      </c>
      <c r="G5" s="10"/>
      <c r="H5" s="10"/>
      <c r="I5" s="10"/>
      <c r="J5" s="10">
        <f>F5+D5+E5</f>
        <v>25</v>
      </c>
    </row>
    <row r="6" spans="1:24" ht="19.5" thickBot="1" x14ac:dyDescent="0.35">
      <c r="A6" s="10">
        <v>135</v>
      </c>
      <c r="B6" s="10"/>
      <c r="C6" s="10">
        <v>2</v>
      </c>
      <c r="D6" s="10">
        <v>9</v>
      </c>
      <c r="E6" s="10">
        <v>8</v>
      </c>
      <c r="F6" s="10"/>
      <c r="G6" s="10"/>
      <c r="H6" s="10"/>
      <c r="I6" s="10"/>
      <c r="J6" s="10">
        <f>C6+D6+E6</f>
        <v>19</v>
      </c>
    </row>
    <row r="7" spans="1:24" ht="19.5" thickBot="1" x14ac:dyDescent="0.35">
      <c r="A7" s="10">
        <v>140</v>
      </c>
      <c r="B7" s="10">
        <v>1</v>
      </c>
      <c r="C7" s="10">
        <v>4</v>
      </c>
      <c r="D7" s="10">
        <v>8</v>
      </c>
      <c r="E7" s="10"/>
      <c r="F7" s="10"/>
      <c r="G7" s="10"/>
      <c r="H7" s="10"/>
      <c r="I7" s="10"/>
      <c r="J7" s="10">
        <f>B7+C7+D7</f>
        <v>13</v>
      </c>
    </row>
    <row r="8" spans="1:24" ht="19.5" thickBot="1" x14ac:dyDescent="0.35">
      <c r="A8" s="10" t="s">
        <v>78</v>
      </c>
      <c r="B8" s="10">
        <f>B7</f>
        <v>1</v>
      </c>
      <c r="C8" s="10">
        <f>C6+C7</f>
        <v>6</v>
      </c>
      <c r="D8" s="10">
        <f>D5+D6+D7</f>
        <v>24</v>
      </c>
      <c r="E8" s="10">
        <f>E4+E5+E6</f>
        <v>31</v>
      </c>
      <c r="F8" s="10">
        <f>F5+F3+F4</f>
        <v>18</v>
      </c>
      <c r="G8" s="10">
        <f>G2+G3+G4</f>
        <v>15</v>
      </c>
      <c r="H8" s="10">
        <f>H2</f>
        <v>3</v>
      </c>
      <c r="I8" s="10">
        <f>I2</f>
        <v>2</v>
      </c>
      <c r="J8" s="10">
        <f>SUM(B8:I8)</f>
        <v>100</v>
      </c>
      <c r="L8" s="17" t="s">
        <v>84</v>
      </c>
      <c r="M8" s="18">
        <v>125</v>
      </c>
    </row>
    <row r="9" spans="1:24" ht="18" x14ac:dyDescent="0.25">
      <c r="L9" s="17" t="s">
        <v>85</v>
      </c>
      <c r="M9" s="17">
        <v>9</v>
      </c>
    </row>
    <row r="10" spans="1:24" ht="15.75" thickBot="1" x14ac:dyDescent="0.3"/>
    <row r="11" spans="1:24" ht="19.5" thickBot="1" x14ac:dyDescent="0.35">
      <c r="A11" s="10" t="s">
        <v>80</v>
      </c>
      <c r="B11" s="10" t="s">
        <v>81</v>
      </c>
      <c r="C11" s="10" t="s">
        <v>77</v>
      </c>
      <c r="D11" s="10" t="s">
        <v>82</v>
      </c>
      <c r="E11" s="10" t="s">
        <v>83</v>
      </c>
      <c r="G11" s="10" t="s">
        <v>87</v>
      </c>
      <c r="H11" s="10" t="s">
        <v>86</v>
      </c>
      <c r="I11" s="10" t="s">
        <v>78</v>
      </c>
      <c r="J11" s="10" t="s">
        <v>89</v>
      </c>
      <c r="K11" s="10" t="s">
        <v>88</v>
      </c>
      <c r="N11" s="10" t="s">
        <v>99</v>
      </c>
      <c r="O11" s="10">
        <f>H12</f>
        <v>-3</v>
      </c>
      <c r="P11" s="10">
        <f>H13</f>
        <v>-2</v>
      </c>
      <c r="Q11" s="10">
        <f>H14</f>
        <v>-1</v>
      </c>
      <c r="R11" s="10">
        <f>H15</f>
        <v>0</v>
      </c>
      <c r="S11" s="10">
        <f>H16</f>
        <v>1</v>
      </c>
      <c r="T11" s="10">
        <f>H17</f>
        <v>2</v>
      </c>
      <c r="U11" s="10">
        <f>H18</f>
        <v>3</v>
      </c>
      <c r="V11" s="10">
        <f>H19</f>
        <v>4</v>
      </c>
      <c r="W11" s="10" t="s">
        <v>77</v>
      </c>
      <c r="X11" s="10" t="s">
        <v>100</v>
      </c>
    </row>
    <row r="12" spans="1:24" ht="19.5" thickBot="1" x14ac:dyDescent="0.35">
      <c r="A12" s="10">
        <f t="shared" ref="A12:A17" si="0">A2</f>
        <v>115</v>
      </c>
      <c r="B12" s="10">
        <f>(A12-M8)/M3</f>
        <v>-2</v>
      </c>
      <c r="C12" s="10">
        <f t="shared" ref="C12:C17" si="1">J2</f>
        <v>9</v>
      </c>
      <c r="D12" s="10">
        <f>B12*C12</f>
        <v>-18</v>
      </c>
      <c r="E12" s="10">
        <f>D12*B12</f>
        <v>36</v>
      </c>
      <c r="G12" s="33" t="str">
        <f>B1</f>
        <v>7,5</v>
      </c>
      <c r="H12" s="10">
        <f>(G12-M9)/M4</f>
        <v>-3</v>
      </c>
      <c r="I12" s="10">
        <f>B8</f>
        <v>1</v>
      </c>
      <c r="J12" s="10">
        <f t="shared" ref="J12:J19" si="2">H12*I12</f>
        <v>-3</v>
      </c>
      <c r="K12" s="10">
        <f>J12*H12</f>
        <v>9</v>
      </c>
      <c r="N12" s="10">
        <f t="shared" ref="N12:N17" si="3">B12</f>
        <v>-2</v>
      </c>
      <c r="O12" s="10"/>
      <c r="P12" s="10"/>
      <c r="Q12" s="10"/>
      <c r="R12" s="10"/>
      <c r="S12" s="10"/>
      <c r="T12" s="10">
        <f>G2</f>
        <v>4</v>
      </c>
      <c r="U12" s="10">
        <f>H2</f>
        <v>3</v>
      </c>
      <c r="V12" s="10">
        <f>I2</f>
        <v>2</v>
      </c>
      <c r="W12" s="10">
        <f>J2</f>
        <v>9</v>
      </c>
      <c r="X12" s="10">
        <f>N12*(T11*T12+U11*U12+V11*V12)</f>
        <v>-50</v>
      </c>
    </row>
    <row r="13" spans="1:24" ht="19.5" thickBot="1" x14ac:dyDescent="0.35">
      <c r="A13" s="10">
        <f t="shared" si="0"/>
        <v>120</v>
      </c>
      <c r="B13" s="10">
        <f>(A13-M8)/M3</f>
        <v>-1</v>
      </c>
      <c r="C13" s="10">
        <f t="shared" si="1"/>
        <v>15</v>
      </c>
      <c r="D13" s="10">
        <f t="shared" ref="D13:D17" si="4">B13*C13</f>
        <v>-15</v>
      </c>
      <c r="E13" s="10">
        <f t="shared" ref="E13:E17" si="5">D13*B13</f>
        <v>15</v>
      </c>
      <c r="G13" s="33" t="str">
        <f>C1</f>
        <v>8,0</v>
      </c>
      <c r="H13" s="10">
        <f>(G13-M9)/M4</f>
        <v>-2</v>
      </c>
      <c r="I13" s="10">
        <f>C8</f>
        <v>6</v>
      </c>
      <c r="J13" s="10">
        <f t="shared" si="2"/>
        <v>-12</v>
      </c>
      <c r="K13" s="10">
        <f>J13*H13</f>
        <v>24</v>
      </c>
      <c r="N13" s="10">
        <f t="shared" si="3"/>
        <v>-1</v>
      </c>
      <c r="O13" s="10"/>
      <c r="P13" s="10"/>
      <c r="Q13" s="10"/>
      <c r="R13" s="10"/>
      <c r="S13" s="10">
        <f>F3</f>
        <v>8</v>
      </c>
      <c r="T13" s="10">
        <f>G3</f>
        <v>7</v>
      </c>
      <c r="U13" s="10"/>
      <c r="V13" s="10"/>
      <c r="W13" s="10">
        <f>J3</f>
        <v>15</v>
      </c>
      <c r="X13" s="10">
        <f>N13*(S11*S13+T11*T13)</f>
        <v>-22</v>
      </c>
    </row>
    <row r="14" spans="1:24" ht="19.5" thickBot="1" x14ac:dyDescent="0.35">
      <c r="A14" s="10">
        <f t="shared" si="0"/>
        <v>125</v>
      </c>
      <c r="B14" s="10">
        <f>(A14-M8)/M3</f>
        <v>0</v>
      </c>
      <c r="C14" s="10">
        <f t="shared" si="1"/>
        <v>19</v>
      </c>
      <c r="D14" s="10">
        <f t="shared" si="4"/>
        <v>0</v>
      </c>
      <c r="E14" s="10">
        <f t="shared" si="5"/>
        <v>0</v>
      </c>
      <c r="G14" s="33" t="str">
        <f>D1</f>
        <v>8,5</v>
      </c>
      <c r="H14" s="10">
        <f>(G14-M9)/M4</f>
        <v>-1</v>
      </c>
      <c r="I14" s="10">
        <f>D8</f>
        <v>24</v>
      </c>
      <c r="J14" s="10">
        <f t="shared" si="2"/>
        <v>-24</v>
      </c>
      <c r="K14" s="10">
        <f>J14*H14</f>
        <v>24</v>
      </c>
      <c r="N14" s="10">
        <f t="shared" si="3"/>
        <v>0</v>
      </c>
      <c r="O14" s="10"/>
      <c r="P14" s="10"/>
      <c r="Q14" s="10"/>
      <c r="R14" s="10">
        <f>E4</f>
        <v>8</v>
      </c>
      <c r="S14" s="10">
        <f>F4</f>
        <v>7</v>
      </c>
      <c r="T14" s="10">
        <f>G4</f>
        <v>4</v>
      </c>
      <c r="U14" s="10"/>
      <c r="V14" s="10"/>
      <c r="W14" s="10">
        <f>J4</f>
        <v>19</v>
      </c>
      <c r="X14" s="10">
        <f>N14*(R11*R14+S11*S14+T11*T14)</f>
        <v>0</v>
      </c>
    </row>
    <row r="15" spans="1:24" ht="19.5" thickBot="1" x14ac:dyDescent="0.35">
      <c r="A15" s="10">
        <f t="shared" si="0"/>
        <v>130</v>
      </c>
      <c r="B15" s="10">
        <f>(A15-M8)/M3</f>
        <v>1</v>
      </c>
      <c r="C15" s="10">
        <f t="shared" si="1"/>
        <v>25</v>
      </c>
      <c r="D15" s="10">
        <f t="shared" si="4"/>
        <v>25</v>
      </c>
      <c r="E15" s="10">
        <f t="shared" si="5"/>
        <v>25</v>
      </c>
      <c r="G15" s="33" t="str">
        <f>E1</f>
        <v>9,0</v>
      </c>
      <c r="H15" s="10">
        <f>(G15-M9)/M4</f>
        <v>0</v>
      </c>
      <c r="I15" s="10">
        <f>E8</f>
        <v>31</v>
      </c>
      <c r="J15" s="10">
        <f t="shared" si="2"/>
        <v>0</v>
      </c>
      <c r="K15" s="10">
        <f>J15*H15</f>
        <v>0</v>
      </c>
      <c r="N15" s="10">
        <f t="shared" si="3"/>
        <v>1</v>
      </c>
      <c r="O15" s="10"/>
      <c r="P15" s="10"/>
      <c r="Q15" s="10">
        <f>D5</f>
        <v>7</v>
      </c>
      <c r="R15" s="10">
        <f>E5</f>
        <v>15</v>
      </c>
      <c r="S15" s="10">
        <f>F5</f>
        <v>3</v>
      </c>
      <c r="T15" s="10"/>
      <c r="U15" s="10"/>
      <c r="V15" s="10"/>
      <c r="W15" s="10">
        <f>J5</f>
        <v>25</v>
      </c>
      <c r="X15" s="10">
        <f>N15*(Q11*Q15+R11*R15+S11*S15)</f>
        <v>-4</v>
      </c>
    </row>
    <row r="16" spans="1:24" ht="19.5" thickBot="1" x14ac:dyDescent="0.35">
      <c r="A16" s="10">
        <f t="shared" si="0"/>
        <v>135</v>
      </c>
      <c r="B16" s="10">
        <f>(A16-M8)/M3</f>
        <v>2</v>
      </c>
      <c r="C16" s="10">
        <f t="shared" si="1"/>
        <v>19</v>
      </c>
      <c r="D16" s="10">
        <f t="shared" si="4"/>
        <v>38</v>
      </c>
      <c r="E16" s="10">
        <f t="shared" si="5"/>
        <v>76</v>
      </c>
      <c r="G16" s="33" t="str">
        <f>F1</f>
        <v>9,5</v>
      </c>
      <c r="H16" s="10">
        <f>(G16-M9)/M4</f>
        <v>1</v>
      </c>
      <c r="I16" s="10">
        <f>F8</f>
        <v>18</v>
      </c>
      <c r="J16" s="10">
        <f t="shared" si="2"/>
        <v>18</v>
      </c>
      <c r="K16" s="10">
        <f>H16*J16</f>
        <v>18</v>
      </c>
      <c r="N16" s="10">
        <f t="shared" si="3"/>
        <v>2</v>
      </c>
      <c r="O16" s="10"/>
      <c r="P16" s="10">
        <f>C6</f>
        <v>2</v>
      </c>
      <c r="Q16" s="10">
        <f>D6</f>
        <v>9</v>
      </c>
      <c r="R16" s="10">
        <f>E6</f>
        <v>8</v>
      </c>
      <c r="S16" s="10"/>
      <c r="T16" s="10"/>
      <c r="U16" s="10"/>
      <c r="V16" s="10"/>
      <c r="W16" s="10">
        <f>J6</f>
        <v>19</v>
      </c>
      <c r="X16" s="10">
        <f>N16*(P11*P16+Q11*Q16+R11*R16)</f>
        <v>-26</v>
      </c>
    </row>
    <row r="17" spans="1:24" ht="19.5" thickBot="1" x14ac:dyDescent="0.35">
      <c r="A17" s="10">
        <f t="shared" si="0"/>
        <v>140</v>
      </c>
      <c r="B17" s="10">
        <f>(A17-M8)/M3</f>
        <v>3</v>
      </c>
      <c r="C17" s="10">
        <f t="shared" si="1"/>
        <v>13</v>
      </c>
      <c r="D17" s="10">
        <f t="shared" si="4"/>
        <v>39</v>
      </c>
      <c r="E17" s="10">
        <f t="shared" si="5"/>
        <v>117</v>
      </c>
      <c r="G17" s="33" t="str">
        <f>G1</f>
        <v>10,0</v>
      </c>
      <c r="H17" s="10">
        <f>(G17-M9)/M4</f>
        <v>2</v>
      </c>
      <c r="I17" s="10">
        <f>G8</f>
        <v>15</v>
      </c>
      <c r="J17" s="10">
        <f t="shared" si="2"/>
        <v>30</v>
      </c>
      <c r="K17" s="10">
        <f>H17*J17</f>
        <v>60</v>
      </c>
      <c r="N17" s="10">
        <f t="shared" si="3"/>
        <v>3</v>
      </c>
      <c r="O17" s="10">
        <f>B7</f>
        <v>1</v>
      </c>
      <c r="P17" s="10">
        <f>C7</f>
        <v>4</v>
      </c>
      <c r="Q17" s="10">
        <f>D7</f>
        <v>8</v>
      </c>
      <c r="R17" s="10"/>
      <c r="S17" s="10"/>
      <c r="T17" s="10"/>
      <c r="U17" s="10"/>
      <c r="V17" s="10"/>
      <c r="W17" s="10">
        <f>J7</f>
        <v>13</v>
      </c>
      <c r="X17" s="10">
        <f>N17*(O11*O17+P11*P17+Q11*Q17)</f>
        <v>-57</v>
      </c>
    </row>
    <row r="18" spans="1:24" ht="19.5" thickBot="1" x14ac:dyDescent="0.35">
      <c r="A18" s="10" t="s">
        <v>68</v>
      </c>
      <c r="B18" s="10"/>
      <c r="C18" s="10">
        <f>SUM(C12:C17)</f>
        <v>100</v>
      </c>
      <c r="D18" s="10">
        <f>SUM(D12:D17)</f>
        <v>69</v>
      </c>
      <c r="E18" s="10">
        <f>SUM(E12:E17)</f>
        <v>269</v>
      </c>
      <c r="G18" s="33" t="str">
        <f>H1</f>
        <v>10,5</v>
      </c>
      <c r="H18" s="10">
        <f>(G18-M9)/M4</f>
        <v>3</v>
      </c>
      <c r="I18" s="10">
        <f>H8</f>
        <v>3</v>
      </c>
      <c r="J18" s="10">
        <f t="shared" si="2"/>
        <v>9</v>
      </c>
      <c r="K18" s="10">
        <f>H18*J18</f>
        <v>27</v>
      </c>
      <c r="N18" s="10" t="s">
        <v>78</v>
      </c>
      <c r="O18" s="10">
        <f>B8</f>
        <v>1</v>
      </c>
      <c r="P18" s="10">
        <f>C8</f>
        <v>6</v>
      </c>
      <c r="Q18" s="10">
        <f t="shared" ref="Q18:V18" si="6">D8</f>
        <v>24</v>
      </c>
      <c r="R18" s="10">
        <f t="shared" si="6"/>
        <v>31</v>
      </c>
      <c r="S18" s="10">
        <f t="shared" si="6"/>
        <v>18</v>
      </c>
      <c r="T18" s="10">
        <f t="shared" si="6"/>
        <v>15</v>
      </c>
      <c r="U18" s="10">
        <f t="shared" si="6"/>
        <v>3</v>
      </c>
      <c r="V18" s="10">
        <f t="shared" si="6"/>
        <v>2</v>
      </c>
      <c r="W18" s="10">
        <v>100</v>
      </c>
      <c r="X18" s="10">
        <f>SUM(X12:X17)</f>
        <v>-159</v>
      </c>
    </row>
    <row r="19" spans="1:24" ht="19.5" thickBot="1" x14ac:dyDescent="0.35">
      <c r="G19" s="33" t="s">
        <v>169</v>
      </c>
      <c r="H19" s="10">
        <f>(G19-M9)/M4</f>
        <v>4</v>
      </c>
      <c r="I19" s="10">
        <f>I8</f>
        <v>2</v>
      </c>
      <c r="J19" s="10">
        <f t="shared" si="2"/>
        <v>8</v>
      </c>
      <c r="K19" s="10">
        <f>H19*J19</f>
        <v>32</v>
      </c>
      <c r="N19" s="10" t="s">
        <v>120</v>
      </c>
      <c r="O19" s="10">
        <f>O11*(N17*O17)</f>
        <v>-9</v>
      </c>
      <c r="P19" s="10">
        <f>P11*(N16*P16+N17*P17)</f>
        <v>-32</v>
      </c>
      <c r="Q19" s="10">
        <f>Q11*(N15*Q15+N16*Q16+N17*Q17)</f>
        <v>-49</v>
      </c>
      <c r="R19" s="10">
        <f>R11*(N14*R14+N15*R15+N16*R16)</f>
        <v>0</v>
      </c>
      <c r="S19" s="10">
        <f>S11*(N13*S13+N14*S14+N15*S15)</f>
        <v>-5</v>
      </c>
      <c r="T19" s="10">
        <f>T11*(N12*T12+N13*T13+N14*T14)</f>
        <v>-30</v>
      </c>
      <c r="U19" s="10">
        <f>U11*(N12*U12)</f>
        <v>-18</v>
      </c>
      <c r="V19" s="10">
        <f>V11*(N12*V12)</f>
        <v>-16</v>
      </c>
      <c r="W19" s="10">
        <f>SUM(O19:V19)</f>
        <v>-159</v>
      </c>
    </row>
    <row r="20" spans="1:24" ht="19.5" thickBot="1" x14ac:dyDescent="0.35">
      <c r="G20" s="10" t="s">
        <v>68</v>
      </c>
      <c r="H20" s="10"/>
      <c r="I20" s="10">
        <f>SUM(I12:I19)</f>
        <v>100</v>
      </c>
      <c r="J20" s="10">
        <f>SUM(J12:J19)</f>
        <v>26</v>
      </c>
      <c r="K20" s="10">
        <f>SUM(K12:K19)</f>
        <v>194</v>
      </c>
    </row>
    <row r="21" spans="1:24" ht="21" x14ac:dyDescent="0.35">
      <c r="N21" s="19" t="s">
        <v>101</v>
      </c>
      <c r="O21" s="20">
        <f>X18/I20</f>
        <v>-1.59</v>
      </c>
    </row>
    <row r="22" spans="1:24" ht="21" x14ac:dyDescent="0.35">
      <c r="A22" s="19" t="s">
        <v>90</v>
      </c>
      <c r="B22" s="19">
        <f>D18/C18</f>
        <v>0.69</v>
      </c>
      <c r="C22" s="19"/>
      <c r="D22" s="19"/>
      <c r="E22" s="19"/>
      <c r="F22" s="19"/>
      <c r="G22" s="19" t="s">
        <v>94</v>
      </c>
      <c r="H22" s="19">
        <f>J20/I20</f>
        <v>0.26</v>
      </c>
      <c r="N22" s="21" t="s">
        <v>102</v>
      </c>
      <c r="O22" s="20">
        <f>O21-(B22*H22)</f>
        <v>-1.7694000000000001</v>
      </c>
    </row>
    <row r="23" spans="1:24" ht="21" x14ac:dyDescent="0.35">
      <c r="A23" s="19" t="s">
        <v>91</v>
      </c>
      <c r="B23" s="19">
        <f>E18/C18</f>
        <v>2.69</v>
      </c>
      <c r="C23" s="19"/>
      <c r="D23" s="19"/>
      <c r="E23" s="19"/>
      <c r="F23" s="19"/>
      <c r="G23" s="19" t="s">
        <v>95</v>
      </c>
      <c r="H23" s="19">
        <f>K20/I20</f>
        <v>1.94</v>
      </c>
      <c r="N23" s="19" t="s">
        <v>103</v>
      </c>
      <c r="O23" s="20">
        <f>SQRT(B24)</f>
        <v>1.4879180084937478</v>
      </c>
    </row>
    <row r="24" spans="1:24" ht="21" x14ac:dyDescent="0.35">
      <c r="A24" s="19" t="s">
        <v>92</v>
      </c>
      <c r="B24" s="19">
        <f>B23-(B22*B22)</f>
        <v>2.2139000000000002</v>
      </c>
      <c r="C24" s="19"/>
      <c r="D24" s="19"/>
      <c r="E24" s="19"/>
      <c r="F24" s="19"/>
      <c r="G24" s="19" t="s">
        <v>96</v>
      </c>
      <c r="H24" s="19">
        <f>H23-(H22*H22)</f>
        <v>1.8723999999999998</v>
      </c>
      <c r="N24" s="19" t="s">
        <v>104</v>
      </c>
      <c r="O24" s="20">
        <f>SQRT(H24)</f>
        <v>1.3683566786477859</v>
      </c>
    </row>
    <row r="25" spans="1:24" ht="21" x14ac:dyDescent="0.35">
      <c r="A25" s="19" t="s">
        <v>25</v>
      </c>
      <c r="B25" s="19">
        <f>M8+(M3*B22)</f>
        <v>128.44999999999999</v>
      </c>
      <c r="C25" s="19"/>
      <c r="D25" s="19"/>
      <c r="E25" s="19"/>
      <c r="F25" s="19"/>
      <c r="G25" s="19" t="s">
        <v>97</v>
      </c>
      <c r="H25" s="19">
        <f>M9+(M4*H22)</f>
        <v>9.1300000000000008</v>
      </c>
      <c r="N25" s="19" t="s">
        <v>107</v>
      </c>
      <c r="O25" s="20">
        <f>O22/(O23*O24)</f>
        <v>-0.86905588848017368</v>
      </c>
    </row>
    <row r="26" spans="1:24" ht="20.25" x14ac:dyDescent="0.3">
      <c r="A26" s="19" t="s">
        <v>93</v>
      </c>
      <c r="B26" s="19">
        <f>(M3*M3)*B24</f>
        <v>55.347500000000004</v>
      </c>
      <c r="C26" s="19"/>
      <c r="D26" s="19"/>
      <c r="E26" s="19"/>
      <c r="F26" s="19"/>
      <c r="G26" s="19" t="s">
        <v>98</v>
      </c>
      <c r="H26" s="19">
        <f>(M4*M4)*H24</f>
        <v>0.46809999999999996</v>
      </c>
    </row>
    <row r="27" spans="1:24" ht="20.25" x14ac:dyDescent="0.3">
      <c r="A27" s="19" t="s">
        <v>105</v>
      </c>
      <c r="B27" s="19">
        <f>SQRT(B26)</f>
        <v>7.4395900424687387</v>
      </c>
      <c r="C27" s="19"/>
      <c r="D27" s="19"/>
      <c r="E27" s="19"/>
      <c r="F27" s="19"/>
      <c r="G27" s="19" t="s">
        <v>106</v>
      </c>
      <c r="H27" s="19">
        <f>SQRT(H26)</f>
        <v>0.68417833932389294</v>
      </c>
    </row>
    <row r="29" spans="1:24" ht="21" thickBot="1" x14ac:dyDescent="0.35">
      <c r="K29" s="19" t="s">
        <v>110</v>
      </c>
      <c r="O29" s="19" t="s">
        <v>111</v>
      </c>
      <c r="P29" s="19"/>
      <c r="Q29" s="19">
        <f>O25*(H27/B27)</f>
        <v>-7.9922309047382428E-2</v>
      </c>
    </row>
    <row r="30" spans="1:24" ht="21" thickBot="1" x14ac:dyDescent="0.35">
      <c r="A30" s="10" t="s">
        <v>108</v>
      </c>
      <c r="B30" s="10">
        <v>115</v>
      </c>
      <c r="C30" s="10">
        <v>140</v>
      </c>
      <c r="F30" s="10" t="s">
        <v>109</v>
      </c>
      <c r="G30" s="10">
        <v>7.5</v>
      </c>
      <c r="H30" s="10">
        <v>11</v>
      </c>
      <c r="K30" s="19" t="s">
        <v>113</v>
      </c>
      <c r="O30" s="19" t="s">
        <v>112</v>
      </c>
      <c r="P30" s="19"/>
      <c r="Q30" s="19">
        <f>O25*(B27/H27)</f>
        <v>-9.4499038666951503</v>
      </c>
    </row>
    <row r="31" spans="1:24" ht="19.5" thickBot="1" x14ac:dyDescent="0.35">
      <c r="A31" s="10" t="s">
        <v>114</v>
      </c>
      <c r="B31" s="10">
        <f>Q29*(B30-B25)+H25</f>
        <v>10.204955056687293</v>
      </c>
      <c r="C31" s="10">
        <f>Q29*(C30-B25)+H25</f>
        <v>8.2068973305027324</v>
      </c>
      <c r="F31" s="10" t="s">
        <v>115</v>
      </c>
      <c r="G31" s="10">
        <f>Q30*(G30-H25)+B25</f>
        <v>143.85334330271309</v>
      </c>
      <c r="H31" s="10">
        <f>Q30*(H30-H25)+B25</f>
        <v>110.77867976928006</v>
      </c>
    </row>
    <row r="32" spans="1:24" ht="20.25" x14ac:dyDescent="0.3">
      <c r="K32" s="19" t="s">
        <v>124</v>
      </c>
      <c r="L32" s="19"/>
      <c r="M32" s="19"/>
      <c r="N32" s="19"/>
    </row>
    <row r="33" spans="1:14" ht="20.25" x14ac:dyDescent="0.3">
      <c r="A33" s="19">
        <f>B30</f>
        <v>115</v>
      </c>
      <c r="B33" s="19">
        <f>B31</f>
        <v>10.204955056687293</v>
      </c>
      <c r="C33" s="19"/>
      <c r="D33" s="19"/>
      <c r="E33" s="19"/>
      <c r="F33" s="19">
        <f>G30</f>
        <v>7.5</v>
      </c>
      <c r="G33" s="19">
        <f>G31</f>
        <v>143.85334330271309</v>
      </c>
      <c r="K33" s="19" t="s">
        <v>125</v>
      </c>
      <c r="L33" s="19"/>
      <c r="M33" s="19"/>
      <c r="N33" s="19"/>
    </row>
    <row r="34" spans="1:14" ht="20.25" x14ac:dyDescent="0.3">
      <c r="A34" s="19">
        <f>C30</f>
        <v>140</v>
      </c>
      <c r="B34" s="19">
        <f>C31</f>
        <v>8.2068973305027324</v>
      </c>
      <c r="C34" s="19"/>
      <c r="D34" s="19"/>
      <c r="E34" s="19"/>
      <c r="F34" s="19">
        <f>H30</f>
        <v>11</v>
      </c>
      <c r="G34" s="19">
        <f>H31</f>
        <v>110.77867976928006</v>
      </c>
    </row>
    <row r="35" spans="1:14" ht="20.25" x14ac:dyDescent="0.3">
      <c r="A35" s="19"/>
      <c r="B35" s="19"/>
      <c r="C35" s="19"/>
      <c r="D35" s="19"/>
      <c r="E35" s="19"/>
      <c r="F35" s="19"/>
      <c r="G35" s="19"/>
    </row>
    <row r="36" spans="1:14" ht="20.25" x14ac:dyDescent="0.3">
      <c r="A36" s="19"/>
      <c r="B36" s="19"/>
      <c r="C36" s="19"/>
      <c r="D36" s="19"/>
      <c r="E36" s="19"/>
      <c r="F36" s="19"/>
      <c r="G36" s="19"/>
    </row>
    <row r="37" spans="1:14" ht="20.25" x14ac:dyDescent="0.3">
      <c r="A37" s="19"/>
      <c r="B37" s="19"/>
      <c r="C37" s="19"/>
      <c r="D37" s="19"/>
      <c r="E37" s="19"/>
      <c r="F37" s="19"/>
      <c r="G37" s="19"/>
    </row>
    <row r="38" spans="1:14" ht="20.25" x14ac:dyDescent="0.3">
      <c r="A38" s="19" t="s">
        <v>116</v>
      </c>
      <c r="B38" s="19">
        <f>(IMABS(O25)*SQRT((100-2)))/SQRT((1-O25*O25))</f>
        <v>17.390281572539521</v>
      </c>
      <c r="C38" s="19"/>
      <c r="D38" s="19" t="s">
        <v>117</v>
      </c>
      <c r="E38" s="19">
        <v>1.984</v>
      </c>
      <c r="F38" s="19"/>
      <c r="G38" s="19"/>
    </row>
    <row r="39" spans="1:14" ht="20.25" x14ac:dyDescent="0.3">
      <c r="A39" s="19" t="s">
        <v>121</v>
      </c>
      <c r="B39" s="19"/>
      <c r="C39" s="19"/>
      <c r="D39" s="19"/>
      <c r="E39" s="19"/>
      <c r="F39" s="19"/>
      <c r="G39" s="19"/>
    </row>
    <row r="40" spans="1:14" x14ac:dyDescent="0.25">
      <c r="A40" t="s">
        <v>122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2021-05-22T19:12:06Z</dcterms:modified>
</cp:coreProperties>
</file>