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1" i="1"/>
  <c r="J32" i="1" l="1"/>
  <c r="G33" i="1"/>
  <c r="G31" i="1"/>
  <c r="M58" i="1" l="1"/>
  <c r="J59" i="1"/>
  <c r="M33" i="1"/>
  <c r="J33" i="1"/>
  <c r="M59" i="1" l="1"/>
  <c r="J57" i="1"/>
  <c r="J58" i="1"/>
  <c r="G20" i="1" l="1"/>
  <c r="H20" i="1"/>
  <c r="I20" i="1"/>
  <c r="J20" i="1"/>
  <c r="K20" i="1"/>
  <c r="G32" i="1" s="1"/>
  <c r="G34" i="1" s="1"/>
  <c r="F20" i="1"/>
  <c r="K22" i="1"/>
  <c r="J22" i="1"/>
  <c r="I22" i="1"/>
  <c r="H22" i="1"/>
  <c r="G22" i="1"/>
  <c r="M32" i="1" l="1"/>
  <c r="F22" i="1"/>
  <c r="M20" i="1"/>
  <c r="M16" i="1"/>
  <c r="M17" i="1"/>
  <c r="M18" i="1"/>
  <c r="G58" i="1" s="1"/>
  <c r="L12" i="1"/>
  <c r="L25" i="1" s="1"/>
  <c r="F12" i="1"/>
  <c r="K24" i="1" s="1"/>
  <c r="K23" i="1" s="1"/>
  <c r="M10" i="1"/>
  <c r="M31" i="1" l="1"/>
  <c r="G59" i="1"/>
  <c r="J34" i="1"/>
  <c r="M57" i="1"/>
  <c r="M34" i="1"/>
  <c r="J24" i="1"/>
  <c r="J23" i="1" s="1"/>
  <c r="F24" i="1"/>
  <c r="F23" i="1" s="1"/>
  <c r="I24" i="1"/>
  <c r="I23" i="1" s="1"/>
  <c r="G24" i="1"/>
  <c r="G23" i="1" s="1"/>
  <c r="M12" i="1"/>
  <c r="G30" i="1" s="1"/>
  <c r="G57" i="1" s="1"/>
  <c r="H24" i="1"/>
  <c r="H23" i="1" s="1"/>
  <c r="O34" i="1" l="1"/>
  <c r="M24" i="1"/>
  <c r="M14" i="1"/>
  <c r="M23" i="1" l="1"/>
  <c r="M22" i="1"/>
  <c r="M26" i="1" l="1"/>
  <c r="E28" i="1" s="1"/>
  <c r="G36" i="1" s="1"/>
  <c r="G38" i="1" l="1"/>
  <c r="G39" i="1" l="1"/>
  <c r="J36" i="1"/>
  <c r="J38" i="1"/>
  <c r="M36" i="1" l="1"/>
  <c r="J39" i="1"/>
  <c r="M38" i="1"/>
  <c r="M39" i="1" s="1"/>
</calcChain>
</file>

<file path=xl/sharedStrings.xml><?xml version="1.0" encoding="utf-8"?>
<sst xmlns="http://schemas.openxmlformats.org/spreadsheetml/2006/main" count="166" uniqueCount="87">
  <si>
    <t>№</t>
  </si>
  <si>
    <t>Организационная структура</t>
  </si>
  <si>
    <t>сервер</t>
  </si>
  <si>
    <t>итого</t>
  </si>
  <si>
    <t>Описание станций АСОИ</t>
  </si>
  <si>
    <t>П1</t>
  </si>
  <si>
    <t>П2</t>
  </si>
  <si>
    <t>П3</t>
  </si>
  <si>
    <t>П4</t>
  </si>
  <si>
    <t>П5</t>
  </si>
  <si>
    <t>П6</t>
  </si>
  <si>
    <t>Номер пользователей</t>
  </si>
  <si>
    <t>1 –  10</t>
  </si>
  <si>
    <t>Не используется</t>
  </si>
  <si>
    <t>–</t>
  </si>
  <si>
    <t>Номер станции</t>
  </si>
  <si>
    <t>-</t>
  </si>
  <si>
    <t>ПС</t>
  </si>
  <si>
    <t>Название СП</t>
  </si>
  <si>
    <t>ОС Windows NT</t>
  </si>
  <si>
    <t>СП</t>
  </si>
  <si>
    <t>Стоимость СП</t>
  </si>
  <si>
    <t>Название ИП</t>
  </si>
  <si>
    <t>ИП</t>
  </si>
  <si>
    <t>Стоимость  ИП</t>
  </si>
  <si>
    <t>Идентифик. приложения</t>
  </si>
  <si>
    <t>ПП1</t>
  </si>
  <si>
    <t>ПП2</t>
  </si>
  <si>
    <t>ПП3</t>
  </si>
  <si>
    <t>ПП4</t>
  </si>
  <si>
    <t>ПП5</t>
  </si>
  <si>
    <t>ПП6</t>
  </si>
  <si>
    <t>ПП</t>
  </si>
  <si>
    <t>Стоимость приложения</t>
  </si>
  <si>
    <t>ИС</t>
  </si>
  <si>
    <t>БД</t>
  </si>
  <si>
    <t>Стоимость создания БД</t>
  </si>
  <si>
    <t>ФТД</t>
  </si>
  <si>
    <t>Стоимость загрузки ФТД</t>
  </si>
  <si>
    <t>ФАД</t>
  </si>
  <si>
    <t>Стоимость загрузки ФАД</t>
  </si>
  <si>
    <t>ТС</t>
  </si>
  <si>
    <t>Марка ПЭВМ</t>
  </si>
  <si>
    <t xml:space="preserve">Эврика </t>
  </si>
  <si>
    <t>Пилот</t>
  </si>
  <si>
    <t>Катран 2</t>
  </si>
  <si>
    <t>ПЭВМ</t>
  </si>
  <si>
    <t>Стоимость ПЭВМ</t>
  </si>
  <si>
    <t>Название устройств</t>
  </si>
  <si>
    <t>Устр.</t>
  </si>
  <si>
    <t>Стоимость устройств</t>
  </si>
  <si>
    <t xml:space="preserve"> Общая стоимость РС</t>
  </si>
  <si>
    <t>Итого по серверу</t>
  </si>
  <si>
    <t>Общая стоимость</t>
  </si>
  <si>
    <t>Тип станции (1-сервер, 2-польз.)</t>
  </si>
  <si>
    <t>Идентифик. БД</t>
  </si>
  <si>
    <t xml:space="preserve"> Общая стоимость по группам пользователей (по подразделениям)</t>
  </si>
  <si>
    <t>БД_Сервер</t>
  </si>
  <si>
    <t>Sharp FX-125</t>
  </si>
  <si>
    <t>11 –  16</t>
  </si>
  <si>
    <t>17 –  20</t>
  </si>
  <si>
    <t>21–  29</t>
  </si>
  <si>
    <t>30 – 40</t>
  </si>
  <si>
    <t>41 –  45</t>
  </si>
  <si>
    <t>1С:Предприятие</t>
  </si>
  <si>
    <t>Access, MySQL</t>
  </si>
  <si>
    <t>11 - 13</t>
  </si>
  <si>
    <t>14 - 15</t>
  </si>
  <si>
    <t>16 - 20</t>
  </si>
  <si>
    <t>21 - 24</t>
  </si>
  <si>
    <t>25 - 26</t>
  </si>
  <si>
    <t>27</t>
  </si>
  <si>
    <t>Планов.стоим.</t>
  </si>
  <si>
    <t>П0</t>
  </si>
  <si>
    <t>БД, ФАД</t>
  </si>
  <si>
    <t>О1</t>
  </si>
  <si>
    <t>разница</t>
  </si>
  <si>
    <t>Сумма</t>
  </si>
  <si>
    <t>процент</t>
  </si>
  <si>
    <t>О2</t>
  </si>
  <si>
    <t>О3</t>
  </si>
  <si>
    <t>РС(С,П6)</t>
  </si>
  <si>
    <t>П1, П2, П3</t>
  </si>
  <si>
    <t>РС(П1, П2, П3)</t>
  </si>
  <si>
    <t>РС(П4,П5)</t>
  </si>
  <si>
    <t>П4, П5</t>
  </si>
  <si>
    <t xml:space="preserve">Бд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</si>
</sst>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2" fontId="0" fillId="0" borderId="0" xfId="0" applyNumberFormat="1"/>
    <xf numFmtId="0" fontId="0" fillId="0" borderId="16" xfId="0" applyBorder="1"/>
    <xf numFmtId="2" fontId="0" fillId="0" borderId="16" xfId="0" applyNumberFormat="1" applyBorder="1"/>
    <xf numFmtId="2" fontId="0" fillId="0" borderId="16" xfId="0" applyNumberFormat="1" applyFill="1" applyBorder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C24" zoomScaleNormal="100" workbookViewId="0">
      <selection activeCell="D33" sqref="D33"/>
    </sheetView>
  </sheetViews>
  <sheetFormatPr defaultRowHeight="15" x14ac:dyDescent="0.25"/>
  <cols>
    <col min="1" max="1" width="4.5703125" customWidth="1"/>
    <col min="2" max="2" width="4.28515625" customWidth="1"/>
    <col min="3" max="3" width="3.5703125" customWidth="1"/>
    <col min="4" max="4" width="10.28515625" customWidth="1"/>
    <col min="5" max="5" width="11.85546875" customWidth="1"/>
    <col min="6" max="6" width="14.5703125" customWidth="1"/>
    <col min="7" max="7" width="9.42578125" customWidth="1"/>
    <col min="8" max="8" width="8.140625" customWidth="1"/>
    <col min="9" max="9" width="13.42578125" customWidth="1"/>
    <col min="10" max="10" width="10.42578125" customWidth="1"/>
    <col min="11" max="11" width="7.5703125" customWidth="1"/>
    <col min="12" max="12" width="12.140625" customWidth="1"/>
    <col min="13" max="13" width="10.140625" customWidth="1"/>
    <col min="14" max="14" width="9.28515625" bestFit="1" customWidth="1"/>
    <col min="15" max="15" width="10.42578125" bestFit="1" customWidth="1"/>
    <col min="16" max="16" width="9.28515625" bestFit="1" customWidth="1"/>
    <col min="17" max="17" width="9.5703125" bestFit="1" customWidth="1"/>
    <col min="18" max="20" width="9.28515625" bestFit="1" customWidth="1"/>
    <col min="21" max="21" width="9.5703125" bestFit="1" customWidth="1"/>
  </cols>
  <sheetData>
    <row r="1" spans="1:19" ht="39" customHeight="1" thickBot="1" x14ac:dyDescent="0.3">
      <c r="A1" s="20" t="s">
        <v>0</v>
      </c>
      <c r="B1" s="29" t="s">
        <v>4</v>
      </c>
      <c r="C1" s="44"/>
      <c r="D1" s="44"/>
      <c r="E1" s="30"/>
      <c r="F1" s="41" t="s">
        <v>1</v>
      </c>
      <c r="G1" s="42"/>
      <c r="H1" s="42"/>
      <c r="I1" s="42"/>
      <c r="J1" s="42"/>
      <c r="K1" s="43"/>
      <c r="L1" s="26" t="s">
        <v>2</v>
      </c>
      <c r="M1" s="26" t="s">
        <v>3</v>
      </c>
    </row>
    <row r="2" spans="1:19" ht="15.75" customHeight="1" thickBot="1" x14ac:dyDescent="0.3">
      <c r="A2" s="25"/>
      <c r="B2" s="31"/>
      <c r="C2" s="45"/>
      <c r="D2" s="45"/>
      <c r="E2" s="32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7"/>
      <c r="M2" s="27"/>
    </row>
    <row r="3" spans="1:19" ht="15.75" thickBot="1" x14ac:dyDescent="0.3">
      <c r="A3" s="25"/>
      <c r="B3" s="31"/>
      <c r="C3" s="45"/>
      <c r="D3" s="45"/>
      <c r="E3" s="32"/>
      <c r="F3" s="22" t="s">
        <v>11</v>
      </c>
      <c r="G3" s="23"/>
      <c r="H3" s="23"/>
      <c r="I3" s="23"/>
      <c r="J3" s="23"/>
      <c r="K3" s="24"/>
      <c r="L3" s="28"/>
      <c r="M3" s="28"/>
    </row>
    <row r="4" spans="1:19" ht="15.75" thickBot="1" x14ac:dyDescent="0.3">
      <c r="A4" s="21"/>
      <c r="B4" s="33"/>
      <c r="C4" s="46"/>
      <c r="D4" s="46"/>
      <c r="E4" s="34"/>
      <c r="F4" s="3" t="s">
        <v>12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1">
        <v>46</v>
      </c>
      <c r="M4" s="1">
        <v>47</v>
      </c>
      <c r="N4">
        <v>10</v>
      </c>
      <c r="O4">
        <v>6</v>
      </c>
      <c r="P4">
        <v>4</v>
      </c>
      <c r="Q4">
        <v>9</v>
      </c>
      <c r="R4">
        <v>11</v>
      </c>
      <c r="S4">
        <v>5</v>
      </c>
    </row>
    <row r="5" spans="1:19" ht="15.75" thickBot="1" x14ac:dyDescent="0.3">
      <c r="A5" s="2">
        <v>1</v>
      </c>
      <c r="B5" s="38" t="s">
        <v>13</v>
      </c>
      <c r="C5" s="39"/>
      <c r="D5" s="39"/>
      <c r="E5" s="40"/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>
        <v>849</v>
      </c>
      <c r="O5">
        <v>752</v>
      </c>
      <c r="P5">
        <v>849</v>
      </c>
      <c r="Q5">
        <v>1048</v>
      </c>
      <c r="R5">
        <v>752</v>
      </c>
      <c r="S5">
        <v>752</v>
      </c>
    </row>
    <row r="6" spans="1:19" ht="15.75" thickBot="1" x14ac:dyDescent="0.3">
      <c r="A6" s="2">
        <v>2</v>
      </c>
      <c r="B6" s="38" t="s">
        <v>13</v>
      </c>
      <c r="C6" s="39"/>
      <c r="D6" s="39"/>
      <c r="E6" s="40"/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>
        <v>10</v>
      </c>
      <c r="O6">
        <v>3</v>
      </c>
      <c r="P6">
        <v>2</v>
      </c>
      <c r="Q6">
        <v>5</v>
      </c>
      <c r="R6">
        <v>4</v>
      </c>
      <c r="S6">
        <v>2</v>
      </c>
    </row>
    <row r="7" spans="1:19" ht="15.75" thickBot="1" x14ac:dyDescent="0.3">
      <c r="A7" s="2">
        <v>3</v>
      </c>
      <c r="B7" s="38" t="s">
        <v>15</v>
      </c>
      <c r="C7" s="39"/>
      <c r="D7" s="39"/>
      <c r="E7" s="40"/>
      <c r="F7" s="11" t="s">
        <v>12</v>
      </c>
      <c r="G7" s="11" t="s">
        <v>66</v>
      </c>
      <c r="H7" s="11" t="s">
        <v>67</v>
      </c>
      <c r="I7" s="11" t="s">
        <v>68</v>
      </c>
      <c r="J7" s="11" t="s">
        <v>69</v>
      </c>
      <c r="K7" s="11" t="s">
        <v>70</v>
      </c>
      <c r="L7" s="11" t="s">
        <v>71</v>
      </c>
      <c r="M7" s="1" t="s">
        <v>16</v>
      </c>
    </row>
    <row r="8" spans="1:19" ht="15.75" customHeight="1" thickBot="1" x14ac:dyDescent="0.3">
      <c r="A8" s="2">
        <v>4</v>
      </c>
      <c r="B8" s="38" t="s">
        <v>54</v>
      </c>
      <c r="C8" s="39"/>
      <c r="D8" s="39"/>
      <c r="E8" s="40"/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4">
        <v>1</v>
      </c>
      <c r="M8" s="1" t="s">
        <v>16</v>
      </c>
    </row>
    <row r="9" spans="1:19" ht="15.75" thickBot="1" x14ac:dyDescent="0.3">
      <c r="A9" s="2">
        <v>5</v>
      </c>
      <c r="B9" s="29" t="s">
        <v>17</v>
      </c>
      <c r="C9" s="30"/>
      <c r="D9" s="20" t="s">
        <v>20</v>
      </c>
      <c r="E9" s="4" t="s">
        <v>18</v>
      </c>
      <c r="F9" s="22" t="s">
        <v>19</v>
      </c>
      <c r="G9" s="23"/>
      <c r="H9" s="23"/>
      <c r="I9" s="23"/>
      <c r="J9" s="23"/>
      <c r="K9" s="23"/>
      <c r="L9" s="24"/>
      <c r="M9" s="12" t="s">
        <v>16</v>
      </c>
    </row>
    <row r="10" spans="1:19" ht="15.75" thickBot="1" x14ac:dyDescent="0.3">
      <c r="A10" s="2">
        <v>6</v>
      </c>
      <c r="B10" s="31"/>
      <c r="C10" s="32"/>
      <c r="D10" s="21"/>
      <c r="E10" s="5" t="s">
        <v>21</v>
      </c>
      <c r="F10" s="22">
        <v>50</v>
      </c>
      <c r="G10" s="23"/>
      <c r="H10" s="23"/>
      <c r="I10" s="23"/>
      <c r="J10" s="23"/>
      <c r="K10" s="23"/>
      <c r="L10" s="24"/>
      <c r="M10" s="1">
        <f>SUM(F10)</f>
        <v>50</v>
      </c>
    </row>
    <row r="11" spans="1:19" ht="15.75" thickBot="1" x14ac:dyDescent="0.3">
      <c r="A11" s="2">
        <v>7</v>
      </c>
      <c r="B11" s="31"/>
      <c r="C11" s="32"/>
      <c r="D11" s="20" t="s">
        <v>23</v>
      </c>
      <c r="E11" s="5" t="s">
        <v>22</v>
      </c>
      <c r="F11" s="22" t="s">
        <v>64</v>
      </c>
      <c r="G11" s="23"/>
      <c r="H11" s="23"/>
      <c r="I11" s="23"/>
      <c r="J11" s="23"/>
      <c r="K11" s="23"/>
      <c r="L11" s="10" t="s">
        <v>65</v>
      </c>
      <c r="M11" s="1" t="s">
        <v>16</v>
      </c>
    </row>
    <row r="12" spans="1:19" ht="20.25" customHeight="1" thickBot="1" x14ac:dyDescent="0.3">
      <c r="A12" s="2">
        <v>8</v>
      </c>
      <c r="B12" s="31"/>
      <c r="C12" s="32"/>
      <c r="D12" s="21"/>
      <c r="E12" s="5" t="s">
        <v>24</v>
      </c>
      <c r="F12" s="22">
        <f>800</f>
        <v>800</v>
      </c>
      <c r="G12" s="23"/>
      <c r="H12" s="23"/>
      <c r="I12" s="23"/>
      <c r="J12" s="23"/>
      <c r="K12" s="24"/>
      <c r="L12" s="6">
        <f>150</f>
        <v>150</v>
      </c>
      <c r="M12" s="1">
        <f>SUM(F12:L12)</f>
        <v>950</v>
      </c>
    </row>
    <row r="13" spans="1:19" ht="27" customHeight="1" thickBot="1" x14ac:dyDescent="0.3">
      <c r="A13" s="2">
        <v>9</v>
      </c>
      <c r="B13" s="31"/>
      <c r="C13" s="32"/>
      <c r="D13" s="20" t="s">
        <v>32</v>
      </c>
      <c r="E13" s="5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14</v>
      </c>
      <c r="M13" s="1" t="s">
        <v>14</v>
      </c>
    </row>
    <row r="14" spans="1:19" ht="26.25" thickBot="1" x14ac:dyDescent="0.3">
      <c r="A14" s="2">
        <v>10</v>
      </c>
      <c r="B14" s="33"/>
      <c r="C14" s="34"/>
      <c r="D14" s="21"/>
      <c r="E14" s="5" t="s">
        <v>33</v>
      </c>
      <c r="F14" s="1">
        <v>10725</v>
      </c>
      <c r="G14" s="1">
        <v>7000</v>
      </c>
      <c r="H14" s="1">
        <v>7920</v>
      </c>
      <c r="I14" s="1">
        <v>7670</v>
      </c>
      <c r="J14" s="1">
        <v>15850</v>
      </c>
      <c r="K14" s="1">
        <v>13860</v>
      </c>
      <c r="L14" s="1" t="s">
        <v>14</v>
      </c>
      <c r="M14" s="1">
        <f>SUM(F14:K14)</f>
        <v>63025</v>
      </c>
    </row>
    <row r="15" spans="1:19" ht="20.25" customHeight="1" thickBot="1" x14ac:dyDescent="0.3">
      <c r="A15" s="2">
        <v>11</v>
      </c>
      <c r="B15" s="29" t="s">
        <v>34</v>
      </c>
      <c r="C15" s="30"/>
      <c r="D15" s="20" t="s">
        <v>35</v>
      </c>
      <c r="E15" s="5" t="s">
        <v>55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57</v>
      </c>
      <c r="M15" s="1" t="s">
        <v>16</v>
      </c>
    </row>
    <row r="16" spans="1:19" ht="26.25" thickBot="1" x14ac:dyDescent="0.3">
      <c r="A16" s="2">
        <v>12</v>
      </c>
      <c r="B16" s="31"/>
      <c r="C16" s="32"/>
      <c r="D16" s="21"/>
      <c r="E16" s="5" t="s">
        <v>36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>
        <v>11165</v>
      </c>
      <c r="M16" s="1">
        <f t="shared" ref="M16:M18" si="0">SUM(F16:L16)</f>
        <v>11165</v>
      </c>
    </row>
    <row r="17" spans="1:13" ht="26.25" thickBot="1" x14ac:dyDescent="0.3">
      <c r="A17" s="2">
        <v>13</v>
      </c>
      <c r="B17" s="31"/>
      <c r="C17" s="32"/>
      <c r="D17" s="5" t="s">
        <v>37</v>
      </c>
      <c r="E17" s="5" t="s">
        <v>38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>
        <v>22944</v>
      </c>
      <c r="M17" s="1">
        <f t="shared" si="0"/>
        <v>22944</v>
      </c>
    </row>
    <row r="18" spans="1:13" ht="28.5" customHeight="1" thickBot="1" x14ac:dyDescent="0.3">
      <c r="A18" s="2">
        <v>14</v>
      </c>
      <c r="B18" s="33"/>
      <c r="C18" s="34"/>
      <c r="D18" s="5" t="s">
        <v>39</v>
      </c>
      <c r="E18" s="5" t="s">
        <v>40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>
        <v>12720</v>
      </c>
      <c r="M18" s="1">
        <f t="shared" si="0"/>
        <v>12720</v>
      </c>
    </row>
    <row r="19" spans="1:13" ht="15.75" thickBot="1" x14ac:dyDescent="0.3">
      <c r="A19" s="2">
        <v>15</v>
      </c>
      <c r="B19" s="29" t="s">
        <v>41</v>
      </c>
      <c r="C19" s="30"/>
      <c r="D19" s="20" t="s">
        <v>46</v>
      </c>
      <c r="E19" s="5" t="s">
        <v>42</v>
      </c>
      <c r="F19" s="4" t="s">
        <v>43</v>
      </c>
      <c r="G19" s="4" t="s">
        <v>44</v>
      </c>
      <c r="H19" s="4" t="s">
        <v>43</v>
      </c>
      <c r="I19" s="1" t="s">
        <v>44</v>
      </c>
      <c r="J19" s="1" t="s">
        <v>44</v>
      </c>
      <c r="K19" s="1" t="s">
        <v>44</v>
      </c>
      <c r="L19" s="7" t="s">
        <v>45</v>
      </c>
      <c r="M19" s="1" t="s">
        <v>16</v>
      </c>
    </row>
    <row r="20" spans="1:13" ht="26.25" thickBot="1" x14ac:dyDescent="0.3">
      <c r="A20" s="2">
        <v>16</v>
      </c>
      <c r="B20" s="31"/>
      <c r="C20" s="32"/>
      <c r="D20" s="21"/>
      <c r="E20" s="5" t="s">
        <v>47</v>
      </c>
      <c r="F20" s="1">
        <f>N5*N6</f>
        <v>8490</v>
      </c>
      <c r="G20" s="1">
        <f t="shared" ref="G20:K20" si="1">O5*O6</f>
        <v>2256</v>
      </c>
      <c r="H20" s="1">
        <f t="shared" si="1"/>
        <v>1698</v>
      </c>
      <c r="I20" s="1">
        <f t="shared" si="1"/>
        <v>5240</v>
      </c>
      <c r="J20" s="1">
        <f t="shared" si="1"/>
        <v>3008</v>
      </c>
      <c r="K20" s="1">
        <f t="shared" si="1"/>
        <v>1504</v>
      </c>
      <c r="L20" s="4">
        <v>1418</v>
      </c>
      <c r="M20" s="1">
        <f>SUM(F20:L20)</f>
        <v>23614</v>
      </c>
    </row>
    <row r="21" spans="1:13" ht="26.25" thickBot="1" x14ac:dyDescent="0.3">
      <c r="A21" s="2">
        <v>17</v>
      </c>
      <c r="B21" s="31"/>
      <c r="C21" s="32"/>
      <c r="D21" s="20" t="s">
        <v>49</v>
      </c>
      <c r="E21" s="5" t="s">
        <v>48</v>
      </c>
      <c r="F21" s="35" t="s">
        <v>58</v>
      </c>
      <c r="G21" s="36"/>
      <c r="H21" s="36"/>
      <c r="I21" s="36"/>
      <c r="J21" s="36"/>
      <c r="K21" s="37"/>
      <c r="L21" s="1" t="s">
        <v>16</v>
      </c>
      <c r="M21" s="1" t="s">
        <v>16</v>
      </c>
    </row>
    <row r="22" spans="1:13" ht="26.25" thickBot="1" x14ac:dyDescent="0.3">
      <c r="A22" s="2">
        <v>18</v>
      </c>
      <c r="B22" s="33"/>
      <c r="C22" s="34"/>
      <c r="D22" s="21"/>
      <c r="E22" s="5" t="s">
        <v>50</v>
      </c>
      <c r="F22" s="1">
        <f>190 * 5</f>
        <v>950</v>
      </c>
      <c r="G22" s="1">
        <f>190*2</f>
        <v>380</v>
      </c>
      <c r="H22" s="1">
        <f>190*2</f>
        <v>380</v>
      </c>
      <c r="I22" s="1">
        <f>190*5</f>
        <v>950</v>
      </c>
      <c r="J22" s="1">
        <f>190*2</f>
        <v>380</v>
      </c>
      <c r="K22" s="1">
        <f>190*1</f>
        <v>190</v>
      </c>
      <c r="L22" s="1" t="s">
        <v>16</v>
      </c>
      <c r="M22" s="1">
        <f>SUM(F22:K22)</f>
        <v>3230</v>
      </c>
    </row>
    <row r="23" spans="1:13" ht="15.75" customHeight="1" thickBot="1" x14ac:dyDescent="0.3">
      <c r="A23" s="4">
        <v>19</v>
      </c>
      <c r="B23" s="41" t="s">
        <v>51</v>
      </c>
      <c r="C23" s="42"/>
      <c r="D23" s="42"/>
      <c r="E23" s="43"/>
      <c r="F23" s="1">
        <f>F24/N4</f>
        <v>2030.547619047619</v>
      </c>
      <c r="G23" s="1">
        <f t="shared" ref="G23:K23" si="2">G24/O4</f>
        <v>1629.4126984126985</v>
      </c>
      <c r="H23" s="1">
        <f t="shared" si="2"/>
        <v>2534.6190476190477</v>
      </c>
      <c r="I23" s="1">
        <f t="shared" si="2"/>
        <v>1555.6084656084656</v>
      </c>
      <c r="J23" s="1">
        <f t="shared" si="2"/>
        <v>1761.6796536796537</v>
      </c>
      <c r="K23" s="1">
        <f t="shared" si="2"/>
        <v>3138.8952380952383</v>
      </c>
      <c r="L23" s="1" t="s">
        <v>16</v>
      </c>
      <c r="M23" s="1">
        <f>SUM(F23:K23)</f>
        <v>12650.762722462723</v>
      </c>
    </row>
    <row r="24" spans="1:13" ht="38.25" customHeight="1" thickBot="1" x14ac:dyDescent="0.3">
      <c r="A24" s="4">
        <v>20</v>
      </c>
      <c r="B24" s="41" t="s">
        <v>56</v>
      </c>
      <c r="C24" s="42"/>
      <c r="D24" s="42"/>
      <c r="E24" s="43"/>
      <c r="F24" s="1">
        <f>$F$10/7 + $F$12/6 + F14 + F20 + F22</f>
        <v>20305.476190476191</v>
      </c>
      <c r="G24" s="1">
        <f>$F$10/7 + $F$12/6 + G14 + G20 + G22</f>
        <v>9776.4761904761908</v>
      </c>
      <c r="H24" s="1">
        <f t="shared" ref="H24:J24" si="3">$F$10/7 + $F$12/6 + H14 + H20 + H22</f>
        <v>10138.476190476191</v>
      </c>
      <c r="I24" s="1">
        <f t="shared" si="3"/>
        <v>14000.476190476191</v>
      </c>
      <c r="J24" s="1">
        <f t="shared" si="3"/>
        <v>19378.476190476191</v>
      </c>
      <c r="K24" s="1">
        <f>$F$10/7 + $F$12/6 + K14 + K20 + K22</f>
        <v>15694.476190476191</v>
      </c>
      <c r="L24" s="8"/>
      <c r="M24" s="26">
        <f>SUM(F24:K24)+L25</f>
        <v>137698</v>
      </c>
    </row>
    <row r="25" spans="1:13" ht="19.5" customHeight="1" thickBot="1" x14ac:dyDescent="0.3">
      <c r="A25" s="9">
        <v>21</v>
      </c>
      <c r="B25" s="17" t="s">
        <v>52</v>
      </c>
      <c r="C25" s="18"/>
      <c r="D25" s="18"/>
      <c r="E25" s="18"/>
      <c r="F25" s="18"/>
      <c r="G25" s="18"/>
      <c r="H25" s="18"/>
      <c r="I25" s="18"/>
      <c r="J25" s="18"/>
      <c r="K25" s="19"/>
      <c r="L25" s="1">
        <f>$F$10/7 + L12 + L16 + L17 + L18 + L20</f>
        <v>48404.142857142855</v>
      </c>
      <c r="M25" s="28"/>
    </row>
    <row r="26" spans="1:13" ht="15.75" thickBot="1" x14ac:dyDescent="0.3">
      <c r="A26" s="1">
        <v>22</v>
      </c>
      <c r="B26" s="17" t="s">
        <v>53</v>
      </c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">
        <f>M18+M17+M16+M14+M12+M10+M22+M20</f>
        <v>137698</v>
      </c>
    </row>
    <row r="27" spans="1:13" x14ac:dyDescent="0.25">
      <c r="M27" s="13"/>
    </row>
    <row r="28" spans="1:13" x14ac:dyDescent="0.25">
      <c r="B28" s="14" t="s">
        <v>72</v>
      </c>
      <c r="C28" s="15"/>
      <c r="D28" s="15"/>
      <c r="E28" s="15">
        <f>M26*1.2</f>
        <v>165237.6</v>
      </c>
      <c r="F28" s="13"/>
      <c r="G28" s="13"/>
      <c r="H28" s="13"/>
      <c r="I28" s="13"/>
      <c r="J28" s="13"/>
      <c r="K28" s="13"/>
    </row>
    <row r="29" spans="1:13" x14ac:dyDescent="0.25">
      <c r="C29" s="13"/>
      <c r="D29" s="13"/>
      <c r="E29" s="13"/>
      <c r="F29" s="13"/>
      <c r="G29" s="13"/>
      <c r="H29" s="13"/>
      <c r="I29" s="13"/>
      <c r="J29" s="13"/>
      <c r="K29" s="13"/>
    </row>
    <row r="30" spans="1:13" x14ac:dyDescent="0.25">
      <c r="C30" s="13"/>
      <c r="D30" s="13"/>
      <c r="E30" s="13"/>
      <c r="F30" s="15" t="s">
        <v>73</v>
      </c>
      <c r="G30" s="15">
        <f>(M10+M12)*1.2</f>
        <v>1200</v>
      </c>
      <c r="H30" s="13"/>
      <c r="I30" s="15" t="s">
        <v>73</v>
      </c>
      <c r="J30" s="15" t="s">
        <v>16</v>
      </c>
      <c r="K30" s="13"/>
      <c r="L30" s="15" t="s">
        <v>73</v>
      </c>
      <c r="M30" s="15" t="s">
        <v>16</v>
      </c>
    </row>
    <row r="31" spans="1:13" x14ac:dyDescent="0.25">
      <c r="C31" s="13"/>
      <c r="D31" s="13">
        <f>E28*0.3</f>
        <v>49571.28</v>
      </c>
      <c r="E31" s="13"/>
      <c r="F31" s="15" t="s">
        <v>74</v>
      </c>
      <c r="G31" s="15">
        <f>(M16+M18)*1.2</f>
        <v>28662</v>
      </c>
      <c r="H31" s="13"/>
      <c r="I31" s="15" t="s">
        <v>16</v>
      </c>
      <c r="J31" s="15" t="s">
        <v>16</v>
      </c>
      <c r="K31" s="13"/>
      <c r="L31" s="15" t="s">
        <v>37</v>
      </c>
      <c r="M31" s="15">
        <f>(M17)*1.2</f>
        <v>27532.799999999999</v>
      </c>
    </row>
    <row r="32" spans="1:13" x14ac:dyDescent="0.25">
      <c r="C32" s="13"/>
      <c r="D32" s="13">
        <f>E28*0.4</f>
        <v>66095.040000000008</v>
      </c>
      <c r="E32" s="13"/>
      <c r="F32" s="15" t="s">
        <v>81</v>
      </c>
      <c r="G32" s="15">
        <f>(L20+(K20+K22))*1.2</f>
        <v>3734.3999999999996</v>
      </c>
      <c r="H32" s="13"/>
      <c r="I32" s="15" t="s">
        <v>83</v>
      </c>
      <c r="J32" s="15">
        <f xml:space="preserve"> (F20+F22+G20+G22+H20+H22)*1.2</f>
        <v>16984.8</v>
      </c>
      <c r="K32" s="13"/>
      <c r="L32" s="15" t="s">
        <v>84</v>
      </c>
      <c r="M32" s="15">
        <f>((I20+I22)+(J20+J22))*1.2</f>
        <v>11493.6</v>
      </c>
    </row>
    <row r="33" spans="3:15" x14ac:dyDescent="0.25">
      <c r="C33" s="13"/>
      <c r="D33" s="13"/>
      <c r="E33" s="13"/>
      <c r="F33" s="15" t="s">
        <v>10</v>
      </c>
      <c r="G33" s="15">
        <f>(K14)*1.2</f>
        <v>16632</v>
      </c>
      <c r="H33" s="13"/>
      <c r="I33" s="15" t="s">
        <v>82</v>
      </c>
      <c r="J33" s="15">
        <f>(G14+F14+H14)*1.2</f>
        <v>30774</v>
      </c>
      <c r="K33" s="13"/>
      <c r="L33" s="15" t="s">
        <v>85</v>
      </c>
      <c r="M33" s="15">
        <f>(I14+J14)*1.2</f>
        <v>28224</v>
      </c>
    </row>
    <row r="34" spans="3:15" x14ac:dyDescent="0.25">
      <c r="C34" s="13"/>
      <c r="D34" s="13"/>
      <c r="E34" s="13"/>
      <c r="F34" s="16" t="s">
        <v>77</v>
      </c>
      <c r="G34" s="15">
        <f>SUM(G30:G33)</f>
        <v>50228.4</v>
      </c>
      <c r="H34" s="13"/>
      <c r="I34" s="16" t="s">
        <v>77</v>
      </c>
      <c r="J34" s="15">
        <f>SUM(J30:J33)</f>
        <v>47758.8</v>
      </c>
      <c r="K34" s="13"/>
      <c r="L34" s="16" t="s">
        <v>77</v>
      </c>
      <c r="M34" s="15">
        <f>SUM(M30:M33)</f>
        <v>67250.399999999994</v>
      </c>
      <c r="O34" s="13">
        <f>G34+J34+M34</f>
        <v>165237.6</v>
      </c>
    </row>
    <row r="35" spans="3:15" x14ac:dyDescent="0.25">
      <c r="C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3:15" x14ac:dyDescent="0.25">
      <c r="C36" s="13"/>
      <c r="D36" s="13"/>
      <c r="E36" s="13"/>
      <c r="F36" s="15" t="s">
        <v>75</v>
      </c>
      <c r="G36" s="15">
        <f>E28*0.3</f>
        <v>49571.28</v>
      </c>
      <c r="H36" s="13"/>
      <c r="I36" s="15" t="s">
        <v>79</v>
      </c>
      <c r="J36" s="15">
        <f>$E$28*0.3 - G38</f>
        <v>48914.159999999996</v>
      </c>
      <c r="K36" s="13"/>
      <c r="L36" s="15" t="s">
        <v>80</v>
      </c>
      <c r="M36" s="15">
        <f>$E$28*0.4 + J38</f>
        <v>67250.399999999994</v>
      </c>
    </row>
    <row r="37" spans="3:15" x14ac:dyDescent="0.25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3:15" x14ac:dyDescent="0.25">
      <c r="C38" s="13"/>
      <c r="D38" s="13"/>
      <c r="E38" s="13"/>
      <c r="F38" s="15" t="s">
        <v>76</v>
      </c>
      <c r="G38" s="15">
        <f>ABS(G34-G36)</f>
        <v>657.12000000000262</v>
      </c>
      <c r="H38" s="13"/>
      <c r="I38" s="15" t="s">
        <v>76</v>
      </c>
      <c r="J38" s="15">
        <f>ABS(J34-J36)</f>
        <v>1155.3599999999933</v>
      </c>
      <c r="K38" s="13"/>
      <c r="L38" s="15" t="s">
        <v>76</v>
      </c>
      <c r="M38" s="15">
        <f>ABS(M34-M36)</f>
        <v>0</v>
      </c>
    </row>
    <row r="39" spans="3:15" x14ac:dyDescent="0.25">
      <c r="C39" s="13"/>
      <c r="D39">
        <v>100</v>
      </c>
      <c r="E39" s="13"/>
      <c r="F39" s="15" t="s">
        <v>78</v>
      </c>
      <c r="G39" s="15">
        <f>G38*D39/G36</f>
        <v>1.325606278474154</v>
      </c>
      <c r="H39" s="13"/>
      <c r="I39" s="15" t="s">
        <v>78</v>
      </c>
      <c r="J39" s="15">
        <f>J38*D39/J36</f>
        <v>2.3620154163947484</v>
      </c>
      <c r="K39" s="13"/>
      <c r="L39" s="15" t="s">
        <v>78</v>
      </c>
      <c r="M39" s="15">
        <f>M38*D39/M36</f>
        <v>0</v>
      </c>
    </row>
    <row r="40" spans="3:15" x14ac:dyDescent="0.25">
      <c r="C40" s="13"/>
      <c r="D40" s="13"/>
      <c r="E40" s="13"/>
      <c r="F40" s="13"/>
      <c r="G40" s="13"/>
      <c r="H40" s="13"/>
      <c r="I40" s="13"/>
      <c r="J40" s="13"/>
      <c r="K40" s="13"/>
    </row>
    <row r="43" spans="3:15" x14ac:dyDescent="0.25">
      <c r="G43" s="13"/>
      <c r="H43" s="13"/>
      <c r="I43" s="13"/>
      <c r="J43" s="13"/>
      <c r="K43" s="13"/>
    </row>
    <row r="44" spans="3:15" x14ac:dyDescent="0.25">
      <c r="C44" s="13"/>
      <c r="D44" s="13"/>
      <c r="E44" s="13"/>
      <c r="F44" s="13"/>
      <c r="G44" s="13"/>
      <c r="H44" s="13"/>
      <c r="I44" s="13"/>
      <c r="J44" s="13"/>
      <c r="K44" s="13"/>
    </row>
    <row r="45" spans="3:15" x14ac:dyDescent="0.25">
      <c r="C45" s="13"/>
      <c r="D45" s="13"/>
      <c r="E45" s="13"/>
      <c r="H45" s="13"/>
      <c r="K45" s="13"/>
    </row>
    <row r="46" spans="3:15" x14ac:dyDescent="0.25">
      <c r="C46" s="13"/>
      <c r="D46" s="13"/>
      <c r="E46" s="13"/>
      <c r="H46" s="13"/>
      <c r="K46" s="13"/>
    </row>
    <row r="47" spans="3:15" x14ac:dyDescent="0.25">
      <c r="C47" s="13"/>
      <c r="D47" s="13"/>
      <c r="E47" s="13"/>
      <c r="H47" s="13"/>
      <c r="K47" s="13"/>
    </row>
    <row r="48" spans="3:15" x14ac:dyDescent="0.25">
      <c r="C48" s="13"/>
      <c r="D48" s="13"/>
      <c r="E48" s="13"/>
      <c r="H48" s="13"/>
      <c r="K48" s="13"/>
    </row>
    <row r="49" spans="3:13" x14ac:dyDescent="0.25">
      <c r="C49" s="13"/>
      <c r="D49" s="13"/>
      <c r="E49" s="13"/>
      <c r="H49" s="13"/>
      <c r="K49" s="13"/>
    </row>
    <row r="50" spans="3:13" x14ac:dyDescent="0.25">
      <c r="C50" s="13"/>
      <c r="E50" s="13"/>
      <c r="H50" s="13"/>
      <c r="K50" s="13"/>
    </row>
    <row r="51" spans="3:13" x14ac:dyDescent="0.25">
      <c r="C51" s="13"/>
      <c r="D51" s="13"/>
      <c r="E51" s="13"/>
      <c r="H51" s="13"/>
      <c r="K51" s="13"/>
    </row>
    <row r="52" spans="3:13" x14ac:dyDescent="0.25">
      <c r="C52" s="13"/>
      <c r="D52" s="13"/>
      <c r="E52" s="13"/>
      <c r="H52" s="13"/>
      <c r="K52" s="13"/>
    </row>
    <row r="53" spans="3:13" x14ac:dyDescent="0.25">
      <c r="C53" s="13"/>
      <c r="D53" s="13"/>
      <c r="E53" s="13"/>
      <c r="H53" s="13"/>
      <c r="K53" s="13"/>
    </row>
    <row r="54" spans="3:13" x14ac:dyDescent="0.25">
      <c r="C54" s="13"/>
      <c r="E54" s="13"/>
      <c r="H54" s="13"/>
      <c r="K54" s="13"/>
    </row>
    <row r="57" spans="3:13" x14ac:dyDescent="0.25">
      <c r="F57" t="s">
        <v>17</v>
      </c>
      <c r="G57" s="13">
        <f>G33+G30</f>
        <v>17832</v>
      </c>
      <c r="I57" t="s">
        <v>5</v>
      </c>
      <c r="J57">
        <f>F14*1.2</f>
        <v>12870</v>
      </c>
      <c r="L57" t="s">
        <v>37</v>
      </c>
      <c r="M57">
        <f>M17*1.2</f>
        <v>27532.799999999999</v>
      </c>
    </row>
    <row r="58" spans="3:13" x14ac:dyDescent="0.25">
      <c r="F58" t="s">
        <v>39</v>
      </c>
      <c r="G58">
        <f>M18*1.2</f>
        <v>15264</v>
      </c>
      <c r="I58" t="s">
        <v>6</v>
      </c>
      <c r="J58">
        <f>G14*1.2</f>
        <v>8400</v>
      </c>
      <c r="L58" t="s">
        <v>8</v>
      </c>
      <c r="M58">
        <f>I14*1.2</f>
        <v>9204</v>
      </c>
    </row>
    <row r="59" spans="3:13" x14ac:dyDescent="0.25">
      <c r="F59" t="s">
        <v>86</v>
      </c>
      <c r="G59">
        <f>M16*1.2</f>
        <v>13398</v>
      </c>
      <c r="I59" t="s">
        <v>7</v>
      </c>
      <c r="J59">
        <f>H14*1.2</f>
        <v>9504</v>
      </c>
      <c r="L59" t="s">
        <v>9</v>
      </c>
      <c r="M59">
        <f>J14*1.2</f>
        <v>19020</v>
      </c>
    </row>
  </sheetData>
  <mergeCells count="29">
    <mergeCell ref="M24:M25"/>
    <mergeCell ref="F1:K1"/>
    <mergeCell ref="B1:E4"/>
    <mergeCell ref="B23:E23"/>
    <mergeCell ref="B24:E24"/>
    <mergeCell ref="B25:K25"/>
    <mergeCell ref="A1:A4"/>
    <mergeCell ref="L1:L3"/>
    <mergeCell ref="M1:M3"/>
    <mergeCell ref="B15:C18"/>
    <mergeCell ref="B19:C22"/>
    <mergeCell ref="F21:K21"/>
    <mergeCell ref="B6:E6"/>
    <mergeCell ref="B7:E7"/>
    <mergeCell ref="B8:E8"/>
    <mergeCell ref="B9:C14"/>
    <mergeCell ref="F3:K3"/>
    <mergeCell ref="B5:E5"/>
    <mergeCell ref="B26:L26"/>
    <mergeCell ref="D9:D10"/>
    <mergeCell ref="D11:D12"/>
    <mergeCell ref="D13:D14"/>
    <mergeCell ref="F9:L9"/>
    <mergeCell ref="D15:D16"/>
    <mergeCell ref="D19:D20"/>
    <mergeCell ref="D21:D22"/>
    <mergeCell ref="F12:K12"/>
    <mergeCell ref="F10:L10"/>
    <mergeCell ref="F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2022-12-08T11:55:45Z</dcterms:modified>
</cp:coreProperties>
</file>