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updateLinks="never" codeName="ThisWorkbook" defaultThemeVersion="124226"/>
  <xr:revisionPtr revIDLastSave="0" documentId="13_ncr:1_{D1C8586F-A76A-4136-9451-1A54801B720C}" xr6:coauthVersionLast="47" xr6:coauthVersionMax="47" xr10:uidLastSave="{00000000-0000-0000-0000-000000000000}"/>
  <bookViews>
    <workbookView xWindow="-110" yWindow="-110" windowWidth="19420" windowHeight="10420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 &amp; Quot-AR" sheetId="51" r:id="rId5"/>
    <sheet name="Evaluation" sheetId="3" r:id="rId6"/>
    <sheet name="E checklist" sheetId="18" r:id="rId7"/>
    <sheet name="Router Sheet" sheetId="47" r:id="rId8"/>
    <sheet name="LPT Report" sheetId="46" r:id="rId9"/>
    <sheet name="API Thread Inspection" sheetId="53" r:id="rId10"/>
    <sheet name="Evaluation (2)" sheetId="36" r:id="rId11"/>
    <sheet name="Instructions" sheetId="56" r:id="rId12"/>
    <sheet name="Debrazed cutters" sheetId="59" r:id="rId13"/>
    <sheet name="Eval-LSTK" sheetId="27" r:id="rId14"/>
    <sheet name="Eval-LSTK (2)" sheetId="37" r:id="rId15"/>
    <sheet name="Quotation" sheetId="8" r:id="rId16"/>
    <sheet name="Qut. HALL." sheetId="35" r:id="rId17"/>
    <sheet name="LSTK-RC" sheetId="58" r:id="rId18"/>
    <sheet name="Rework Cutter Entry" sheetId="23" r:id="rId19"/>
    <sheet name="Rework" sheetId="48" r:id="rId20"/>
    <sheet name="Rework (2)" sheetId="49" r:id="rId21"/>
    <sheet name="Die Check Entry" sheetId="54" r:id="rId22"/>
    <sheet name="Delivery Tkt" sheetId="38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9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2">'Debrazed cutters'!$A$1:$I$39</definedName>
    <definedName name="_xlnm.Print_Area" localSheetId="6">'E checklist'!$A$1:$J$31</definedName>
    <definedName name="_xlnm.Print_Area" localSheetId="4">'Eval &amp; Quot-AR'!$A$1:$AJ$67</definedName>
    <definedName name="_xlnm.Print_Area" localSheetId="13">'Eval-LSTK'!$A$1:$AA$69</definedName>
    <definedName name="_xlnm.Print_Area" localSheetId="14">'Eval-LSTK (2)'!$A$1:$AI$51</definedName>
    <definedName name="_xlnm.Print_Area" localSheetId="5">Evaluation!$A$1:$AA$63</definedName>
    <definedName name="_xlnm.Print_Area" localSheetId="10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8">'LPT Report'!$A$1:$H$32</definedName>
    <definedName name="_xlnm.Print_Area" localSheetId="15">Quotation!$A$1:$AA$62</definedName>
    <definedName name="_xlnm.Print_Area" localSheetId="16">'Qut. HALL.'!$A$1:$AI$58</definedName>
    <definedName name="_xlnm.Print_Area" localSheetId="19">Rework!$A$1:$X$57</definedName>
    <definedName name="_xlnm.Print_Area" localSheetId="20">'Rework (2)'!$A$1:$AJ$47</definedName>
    <definedName name="_xlnm.Print_Area" localSheetId="7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2" i="1" l="1"/>
  <c r="EF302" i="1"/>
  <c r="DR302" i="1"/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M32" i="2" a="1"/>
  <c r="M32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M8" i="56"/>
  <c r="U8" i="56" s="1"/>
  <c r="M12" i="56"/>
  <c r="U12" i="56" s="1"/>
  <c r="M16" i="56"/>
  <c r="U16" i="56" s="1"/>
  <c r="M20" i="56"/>
  <c r="M24" i="56"/>
  <c r="U24" i="56" s="1"/>
  <c r="M28" i="56"/>
  <c r="M32" i="56"/>
  <c r="U32" i="56" s="1"/>
  <c r="M36" i="56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M73" i="56"/>
  <c r="M77" i="56"/>
  <c r="U77" i="56" s="1"/>
  <c r="M81" i="56"/>
  <c r="U81" i="56" s="1"/>
  <c r="M85" i="56"/>
  <c r="M89" i="56"/>
  <c r="M93" i="56"/>
  <c r="U93" i="56" s="1"/>
  <c r="M97" i="56"/>
  <c r="U97" i="56" s="1"/>
  <c r="M101" i="56"/>
  <c r="M105" i="56"/>
  <c r="U105" i="56" s="1"/>
  <c r="M109" i="56"/>
  <c r="U109" i="56" s="1"/>
  <c r="M113" i="56"/>
  <c r="U113" i="56" s="1"/>
  <c r="M117" i="56"/>
  <c r="M121" i="56"/>
  <c r="U121" i="56" s="1"/>
  <c r="M125" i="56"/>
  <c r="U125" i="56" s="1"/>
  <c r="M129" i="56"/>
  <c r="U129" i="56" s="1"/>
  <c r="M133" i="56"/>
  <c r="M137" i="56"/>
  <c r="M141" i="56"/>
  <c r="U141" i="56" s="1"/>
  <c r="M145" i="56"/>
  <c r="U145" i="56" s="1"/>
  <c r="M149" i="56"/>
  <c r="M153" i="56"/>
  <c r="U153" i="56" s="1"/>
  <c r="M157" i="56"/>
  <c r="U157" i="56" s="1"/>
  <c r="M161" i="56"/>
  <c r="U161" i="56" s="1"/>
  <c r="M165" i="56"/>
  <c r="M169" i="56"/>
  <c r="U169" i="56" s="1"/>
  <c r="M173" i="56"/>
  <c r="U173" i="56" s="1"/>
  <c r="M177" i="56"/>
  <c r="U177" i="56" s="1"/>
  <c r="M5" i="56"/>
  <c r="M9" i="56"/>
  <c r="U9" i="56" s="1"/>
  <c r="M13" i="56"/>
  <c r="U13" i="56" s="1"/>
  <c r="M17" i="56"/>
  <c r="U17" i="56" s="1"/>
  <c r="M21" i="56"/>
  <c r="M25" i="56"/>
  <c r="U25" i="56" s="1"/>
  <c r="M29" i="56"/>
  <c r="M33" i="56"/>
  <c r="U33" i="56" s="1"/>
  <c r="M37" i="56"/>
  <c r="M41" i="56"/>
  <c r="M45" i="56"/>
  <c r="U45" i="56" s="1"/>
  <c r="M49" i="56"/>
  <c r="M53" i="56"/>
  <c r="M57" i="56"/>
  <c r="M62" i="56"/>
  <c r="U62" i="56" s="1"/>
  <c r="M66" i="56"/>
  <c r="U66" i="56" s="1"/>
  <c r="M70" i="56"/>
  <c r="M74" i="56"/>
  <c r="M78" i="56"/>
  <c r="U78" i="56" s="1"/>
  <c r="M82" i="56"/>
  <c r="U82" i="56" s="1"/>
  <c r="M86" i="56"/>
  <c r="M90" i="56"/>
  <c r="U90" i="56" s="1"/>
  <c r="M94" i="56"/>
  <c r="U94" i="56" s="1"/>
  <c r="M98" i="56"/>
  <c r="U98" i="56" s="1"/>
  <c r="M102" i="56"/>
  <c r="M106" i="56"/>
  <c r="M110" i="56"/>
  <c r="U110" i="56" s="1"/>
  <c r="M114" i="56"/>
  <c r="U114" i="56" s="1"/>
  <c r="M118" i="56"/>
  <c r="M122" i="56"/>
  <c r="U122" i="56" s="1"/>
  <c r="M126" i="56"/>
  <c r="U126" i="56" s="1"/>
  <c r="M130" i="56"/>
  <c r="U130" i="56" s="1"/>
  <c r="M134" i="56"/>
  <c r="M138" i="56"/>
  <c r="U138" i="56" s="1"/>
  <c r="M142" i="56"/>
  <c r="U142" i="56" s="1"/>
  <c r="M146" i="56"/>
  <c r="U146" i="56" s="1"/>
  <c r="M150" i="56"/>
  <c r="M154" i="56"/>
  <c r="M158" i="56"/>
  <c r="U158" i="56" s="1"/>
  <c r="M162" i="56"/>
  <c r="U162" i="56" s="1"/>
  <c r="M166" i="56"/>
  <c r="M170" i="56"/>
  <c r="U170" i="56" s="1"/>
  <c r="M174" i="56"/>
  <c r="U174" i="56" s="1"/>
  <c r="M178" i="56"/>
  <c r="U178" i="56" s="1"/>
  <c r="M182" i="56"/>
  <c r="M186" i="56"/>
  <c r="M190" i="56"/>
  <c r="U190" i="56" s="1"/>
  <c r="M194" i="56"/>
  <c r="U194" i="56" s="1"/>
  <c r="M198" i="56"/>
  <c r="M202" i="56"/>
  <c r="U202" i="56" s="1"/>
  <c r="M206" i="56"/>
  <c r="U206" i="56" s="1"/>
  <c r="M210" i="56"/>
  <c r="U210" i="56" s="1"/>
  <c r="M214" i="56"/>
  <c r="M218" i="56"/>
  <c r="M222" i="56"/>
  <c r="U222" i="56" s="1"/>
  <c r="M226" i="56"/>
  <c r="U226" i="56" s="1"/>
  <c r="M230" i="56"/>
  <c r="M234" i="56"/>
  <c r="U234" i="56" s="1"/>
  <c r="M238" i="56"/>
  <c r="U238" i="56" s="1"/>
  <c r="M242" i="56"/>
  <c r="U242" i="56" s="1"/>
  <c r="M246" i="56"/>
  <c r="M250" i="56"/>
  <c r="U250" i="56" s="1"/>
  <c r="M254" i="56"/>
  <c r="U254" i="56" s="1"/>
  <c r="M258" i="56"/>
  <c r="U258" i="56" s="1"/>
  <c r="M262" i="56"/>
  <c r="M266" i="56"/>
  <c r="M270" i="56"/>
  <c r="U270" i="56" s="1"/>
  <c r="M274" i="56"/>
  <c r="U274" i="56" s="1"/>
  <c r="M278" i="56"/>
  <c r="M282" i="56"/>
  <c r="U282" i="56" s="1"/>
  <c r="M286" i="56"/>
  <c r="M290" i="56"/>
  <c r="U290" i="56" s="1"/>
  <c r="M294" i="56"/>
  <c r="M298" i="56"/>
  <c r="M302" i="56"/>
  <c r="U302" i="56" s="1"/>
  <c r="M306" i="56"/>
  <c r="U306" i="56" s="1"/>
  <c r="M310" i="56"/>
  <c r="M314" i="56"/>
  <c r="U314" i="56" s="1"/>
  <c r="M318" i="56"/>
  <c r="U318" i="56" s="1"/>
  <c r="M6" i="56"/>
  <c r="U6" i="56" s="1"/>
  <c r="M10" i="56"/>
  <c r="M14" i="56"/>
  <c r="U14" i="56" s="1"/>
  <c r="M18" i="56"/>
  <c r="U18" i="56" s="1"/>
  <c r="M22" i="56"/>
  <c r="U22" i="56" s="1"/>
  <c r="M26" i="56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M83" i="56"/>
  <c r="U83" i="56" s="1"/>
  <c r="M91" i="56"/>
  <c r="U91" i="56" s="1"/>
  <c r="M99" i="56"/>
  <c r="U99" i="56" s="1"/>
  <c r="M107" i="56"/>
  <c r="M115" i="56"/>
  <c r="U115" i="56" s="1"/>
  <c r="M123" i="56"/>
  <c r="U123" i="56" s="1"/>
  <c r="M131" i="56"/>
  <c r="U131" i="56" s="1"/>
  <c r="M139" i="56"/>
  <c r="M147" i="56"/>
  <c r="U147" i="56" s="1"/>
  <c r="M155" i="56"/>
  <c r="U155" i="56" s="1"/>
  <c r="M163" i="56"/>
  <c r="U163" i="56" s="1"/>
  <c r="M171" i="56"/>
  <c r="M179" i="56"/>
  <c r="U179" i="56" s="1"/>
  <c r="M184" i="56"/>
  <c r="U184" i="56" s="1"/>
  <c r="M189" i="56"/>
  <c r="U189" i="56" s="1"/>
  <c r="M195" i="56"/>
  <c r="M200" i="56"/>
  <c r="U200" i="56" s="1"/>
  <c r="M205" i="56"/>
  <c r="U205" i="56" s="1"/>
  <c r="M211" i="56"/>
  <c r="U211" i="56" s="1"/>
  <c r="M216" i="56"/>
  <c r="M221" i="56"/>
  <c r="U221" i="56" s="1"/>
  <c r="M227" i="56"/>
  <c r="U227" i="56" s="1"/>
  <c r="M232" i="56"/>
  <c r="U232" i="56" s="1"/>
  <c r="M237" i="56"/>
  <c r="M243" i="56"/>
  <c r="U243" i="56" s="1"/>
  <c r="M248" i="56"/>
  <c r="U248" i="56" s="1"/>
  <c r="M253" i="56"/>
  <c r="U253" i="56" s="1"/>
  <c r="M259" i="56"/>
  <c r="M264" i="56"/>
  <c r="M269" i="56"/>
  <c r="U269" i="56" s="1"/>
  <c r="M275" i="56"/>
  <c r="U275" i="56" s="1"/>
  <c r="M280" i="56"/>
  <c r="M285" i="56"/>
  <c r="M291" i="56"/>
  <c r="U291" i="56" s="1"/>
  <c r="M296" i="56"/>
  <c r="U296" i="56" s="1"/>
  <c r="M301" i="56"/>
  <c r="M307" i="56"/>
  <c r="U307" i="56" s="1"/>
  <c r="M312" i="56"/>
  <c r="U312" i="56" s="1"/>
  <c r="M317" i="56"/>
  <c r="U317" i="56" s="1"/>
  <c r="M11" i="56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M92" i="56"/>
  <c r="U92" i="56" s="1"/>
  <c r="M100" i="56"/>
  <c r="U100" i="56" s="1"/>
  <c r="M108" i="56"/>
  <c r="U108" i="56" s="1"/>
  <c r="M116" i="56"/>
  <c r="M124" i="56"/>
  <c r="U124" i="56" s="1"/>
  <c r="M132" i="56"/>
  <c r="U132" i="56" s="1"/>
  <c r="M140" i="56"/>
  <c r="U140" i="56" s="1"/>
  <c r="M148" i="56"/>
  <c r="M156" i="56"/>
  <c r="M164" i="56"/>
  <c r="U164" i="56" s="1"/>
  <c r="M172" i="56"/>
  <c r="U172" i="56" s="1"/>
  <c r="M180" i="56"/>
  <c r="M185" i="56"/>
  <c r="M191" i="56"/>
  <c r="U191" i="56" s="1"/>
  <c r="M196" i="56"/>
  <c r="U196" i="56" s="1"/>
  <c r="M201" i="56"/>
  <c r="M207" i="56"/>
  <c r="U207" i="56" s="1"/>
  <c r="M212" i="56"/>
  <c r="U212" i="56" s="1"/>
  <c r="M217" i="56"/>
  <c r="U217" i="56" s="1"/>
  <c r="M223" i="56"/>
  <c r="M228" i="56"/>
  <c r="U228" i="56" s="1"/>
  <c r="M233" i="56"/>
  <c r="U233" i="56" s="1"/>
  <c r="M239" i="56"/>
  <c r="U239" i="56" s="1"/>
  <c r="M244" i="56"/>
  <c r="M249" i="56"/>
  <c r="U249" i="56" s="1"/>
  <c r="M255" i="56"/>
  <c r="U255" i="56" s="1"/>
  <c r="M260" i="56"/>
  <c r="U260" i="56" s="1"/>
  <c r="M265" i="56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M135" i="56"/>
  <c r="U135" i="56" s="1"/>
  <c r="M151" i="56"/>
  <c r="U151" i="56" s="1"/>
  <c r="M167" i="56"/>
  <c r="U167" i="56" s="1"/>
  <c r="M181" i="56"/>
  <c r="M192" i="56"/>
  <c r="U192" i="56" s="1"/>
  <c r="M203" i="56"/>
  <c r="U203" i="56" s="1"/>
  <c r="M213" i="56"/>
  <c r="U213" i="56" s="1"/>
  <c r="M224" i="56"/>
  <c r="M235" i="56"/>
  <c r="U235" i="56" s="1"/>
  <c r="M245" i="56"/>
  <c r="U245" i="56" s="1"/>
  <c r="M256" i="56"/>
  <c r="U256" i="56" s="1"/>
  <c r="M267" i="56"/>
  <c r="M276" i="56"/>
  <c r="U276" i="56" s="1"/>
  <c r="M283" i="56"/>
  <c r="U283" i="56" s="1"/>
  <c r="M289" i="56"/>
  <c r="U289" i="56" s="1"/>
  <c r="M297" i="56"/>
  <c r="M304" i="56"/>
  <c r="U304" i="56" s="1"/>
  <c r="M311" i="56"/>
  <c r="U311" i="56" s="1"/>
  <c r="M319" i="56"/>
  <c r="U319" i="56" s="1"/>
  <c r="M19" i="56"/>
  <c r="M39" i="56"/>
  <c r="U39" i="56" s="1"/>
  <c r="M55" i="56"/>
  <c r="M72" i="56"/>
  <c r="U72" i="56" s="1"/>
  <c r="M88" i="56"/>
  <c r="M104" i="56"/>
  <c r="U104" i="56" s="1"/>
  <c r="M120" i="56"/>
  <c r="U120" i="56" s="1"/>
  <c r="M136" i="56"/>
  <c r="U136" i="56" s="1"/>
  <c r="M152" i="56"/>
  <c r="M168" i="56"/>
  <c r="U168" i="56" s="1"/>
  <c r="M183" i="56"/>
  <c r="U183" i="56" s="1"/>
  <c r="M193" i="56"/>
  <c r="U193" i="56" s="1"/>
  <c r="M204" i="56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M143" i="56"/>
  <c r="U143" i="56" s="1"/>
  <c r="M159" i="56"/>
  <c r="U159" i="56" s="1"/>
  <c r="M175" i="56"/>
  <c r="U175" i="56" s="1"/>
  <c r="M187" i="56"/>
  <c r="M197" i="56"/>
  <c r="U197" i="56" s="1"/>
  <c r="M208" i="56"/>
  <c r="U208" i="56" s="1"/>
  <c r="M219" i="56"/>
  <c r="U219" i="56" s="1"/>
  <c r="M229" i="56"/>
  <c r="M240" i="56"/>
  <c r="U240" i="56" s="1"/>
  <c r="M251" i="56"/>
  <c r="U251" i="56" s="1"/>
  <c r="M261" i="56"/>
  <c r="U261" i="56" s="1"/>
  <c r="M272" i="56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M47" i="56"/>
  <c r="U47" i="56" s="1"/>
  <c r="M64" i="56"/>
  <c r="U64" i="56" s="1"/>
  <c r="M80" i="56"/>
  <c r="U80" i="56" s="1"/>
  <c r="M96" i="56"/>
  <c r="M112" i="56"/>
  <c r="U112" i="56" s="1"/>
  <c r="M128" i="56"/>
  <c r="U128" i="56" s="1"/>
  <c r="M144" i="56"/>
  <c r="U144" i="56" s="1"/>
  <c r="M160" i="56"/>
  <c r="M176" i="56"/>
  <c r="U176" i="56" s="1"/>
  <c r="M188" i="56"/>
  <c r="U188" i="56" s="1"/>
  <c r="M199" i="56"/>
  <c r="U199" i="56" s="1"/>
  <c r="M209" i="56"/>
  <c r="M220" i="56"/>
  <c r="U220" i="56" s="1"/>
  <c r="M231" i="56"/>
  <c r="U231" i="56" s="1"/>
  <c r="M241" i="56"/>
  <c r="U241" i="56" s="1"/>
  <c r="M252" i="56"/>
  <c r="M263" i="56"/>
  <c r="U263" i="56" s="1"/>
  <c r="M273" i="56"/>
  <c r="U273" i="56" s="1"/>
  <c r="M281" i="56"/>
  <c r="U281" i="56" s="1"/>
  <c r="M288" i="56"/>
  <c r="M295" i="56"/>
  <c r="U295" i="56" s="1"/>
  <c r="M303" i="56"/>
  <c r="U303" i="56" s="1"/>
  <c r="M309" i="56"/>
  <c r="U309" i="56" s="1"/>
  <c r="M316" i="56"/>
  <c r="U84" i="56"/>
  <c r="U73" i="56"/>
  <c r="U297" i="56"/>
  <c r="U265" i="56"/>
  <c r="U41" i="56"/>
  <c r="U286" i="56"/>
  <c r="U201" i="56"/>
  <c r="U116" i="56"/>
  <c r="U148" i="56"/>
  <c r="U285" i="56"/>
  <c r="U264" i="56"/>
  <c r="U313" i="56"/>
  <c r="U185" i="56"/>
  <c r="U89" i="56"/>
  <c r="U36" i="56"/>
  <c r="U10" i="56"/>
  <c r="U301" i="56"/>
  <c r="U280" i="56"/>
  <c r="U237" i="56"/>
  <c r="U152" i="56"/>
  <c r="U88" i="56"/>
  <c r="U11" i="56"/>
  <c r="U19" i="56"/>
  <c r="U31" i="56"/>
  <c r="U63" i="56"/>
  <c r="U75" i="56"/>
  <c r="U107" i="56"/>
  <c r="U119" i="56"/>
  <c r="U127" i="56"/>
  <c r="U139" i="56"/>
  <c r="U171" i="56"/>
  <c r="U187" i="56"/>
  <c r="U195" i="56"/>
  <c r="U223" i="56"/>
  <c r="U247" i="56"/>
  <c r="U259" i="56"/>
  <c r="U267" i="56"/>
  <c r="U4" i="56"/>
  <c r="U20" i="56"/>
  <c r="U316" i="56"/>
  <c r="U310" i="56"/>
  <c r="U300" i="56"/>
  <c r="U294" i="56"/>
  <c r="U284" i="56"/>
  <c r="U278" i="56"/>
  <c r="U262" i="56"/>
  <c r="U252" i="56"/>
  <c r="U246" i="56"/>
  <c r="U230" i="56"/>
  <c r="U214" i="56"/>
  <c r="U209" i="56"/>
  <c r="U204" i="56"/>
  <c r="U198" i="56"/>
  <c r="U166" i="56"/>
  <c r="U156" i="56"/>
  <c r="U150" i="56"/>
  <c r="U134" i="56"/>
  <c r="U118" i="56"/>
  <c r="U102" i="56"/>
  <c r="U86" i="56"/>
  <c r="U70" i="56"/>
  <c r="U298" i="56"/>
  <c r="U288" i="56"/>
  <c r="U272" i="56"/>
  <c r="U266" i="56"/>
  <c r="U229" i="56"/>
  <c r="U224" i="56"/>
  <c r="U218" i="56"/>
  <c r="U186" i="56"/>
  <c r="U181" i="56"/>
  <c r="U165" i="56"/>
  <c r="U160" i="56"/>
  <c r="U154" i="56"/>
  <c r="U149" i="56"/>
  <c r="U133" i="56"/>
  <c r="U117" i="56"/>
  <c r="U106" i="56"/>
  <c r="U101" i="56"/>
  <c r="U96" i="56"/>
  <c r="U85" i="56"/>
  <c r="U74" i="56"/>
  <c r="U69" i="56"/>
  <c r="U42" i="56"/>
  <c r="U37" i="56"/>
  <c r="U26" i="56"/>
  <c r="U21" i="56"/>
  <c r="U5" i="56"/>
  <c r="U182" i="56"/>
  <c r="U137" i="56"/>
  <c r="U244" i="56"/>
  <c r="U216" i="56"/>
  <c r="U180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F50" i="2" a="1"/>
  <c r="F50" i="2" s="1"/>
  <c r="J50" i="2" a="1"/>
  <c r="J50" i="2" s="1"/>
  <c r="N50" i="2" a="1"/>
  <c r="N50" i="2" s="1"/>
  <c r="R50" i="2" a="1"/>
  <c r="R50" i="2" s="1"/>
  <c r="V50" i="2" a="1"/>
  <c r="V50" i="2" s="1"/>
  <c r="Z50" i="2" a="1"/>
  <c r="Z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M49" i="2" a="1"/>
  <c r="M49" i="2" s="1"/>
  <c r="AG49" i="2" a="1"/>
  <c r="AG49" i="2" s="1"/>
  <c r="C50" i="2" a="1"/>
  <c r="C50" i="2" s="1"/>
  <c r="G50" i="2" a="1"/>
  <c r="G50" i="2" s="1"/>
  <c r="K50" i="2" a="1"/>
  <c r="K50" i="2" s="1"/>
  <c r="O50" i="2" a="1"/>
  <c r="O50" i="2" s="1"/>
  <c r="S50" i="2" a="1"/>
  <c r="S50" i="2" s="1"/>
  <c r="W50" i="2" a="1"/>
  <c r="W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I50" i="2" a="1"/>
  <c r="I50" i="2" s="1"/>
  <c r="Q50" i="2" a="1"/>
  <c r="Q50" i="2" s="1"/>
  <c r="Y50" i="2" a="1"/>
  <c r="Y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H50" i="2" a="1"/>
  <c r="H50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D50" i="2" a="1"/>
  <c r="D50" i="2" s="1"/>
  <c r="L50" i="2" a="1"/>
  <c r="L50" i="2" s="1"/>
  <c r="T50" i="2" a="1"/>
  <c r="T50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E50" i="2" a="1"/>
  <c r="E50" i="2" s="1"/>
  <c r="M50" i="2" a="1"/>
  <c r="M50" i="2" s="1"/>
  <c r="U50" i="2" a="1"/>
  <c r="U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X50" i="2" a="1"/>
  <c r="X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F130" i="2"/>
  <c r="AF13" i="8"/>
  <c r="AF131" i="2"/>
  <c r="AF14" i="8"/>
  <c r="AF132" i="2"/>
  <c r="AF15" i="8"/>
  <c r="AB133" i="2"/>
  <c r="AB16" i="8"/>
  <c r="AE136" i="2"/>
  <c r="AE19" i="8"/>
  <c r="AH137" i="2"/>
  <c r="AH20" i="8"/>
  <c r="AH135" i="2"/>
  <c r="AH18" i="8"/>
  <c r="AD137" i="2"/>
  <c r="AD20" i="8"/>
  <c r="AI137" i="2"/>
  <c r="AI20" i="8"/>
  <c r="AI132" i="2"/>
  <c r="AI15" i="8"/>
  <c r="AG133" i="2"/>
  <c r="AG16" i="8"/>
  <c r="AH134" i="2"/>
  <c r="AH17" i="8"/>
  <c r="AD135" i="2"/>
  <c r="AD18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2" i="2"/>
  <c r="AH15" i="8"/>
  <c r="AE135" i="2"/>
  <c r="AE18" i="8"/>
  <c r="AH131" i="2"/>
  <c r="AH14" i="8"/>
  <c r="AC133" i="2"/>
  <c r="AC16" i="8"/>
  <c r="AF134" i="2"/>
  <c r="AF17" i="8"/>
  <c r="AC131" i="2"/>
  <c r="AC14" i="8"/>
  <c r="AD133" i="2"/>
  <c r="AD16" i="8"/>
  <c r="AI136" i="2"/>
  <c r="AI19" i="8"/>
  <c r="AE131" i="2"/>
  <c r="AE14" i="8"/>
  <c r="AH133" i="2"/>
  <c r="AH16" i="8"/>
  <c r="AI133" i="2"/>
  <c r="AI16" i="8"/>
  <c r="AG137" i="2"/>
  <c r="AG20" i="8"/>
  <c r="AF138" i="2"/>
  <c r="AF21" i="8"/>
  <c r="AG132" i="2"/>
  <c r="AG15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BV53" i="1"/>
  <c r="BZ53" i="1"/>
  <c r="CD53" i="1"/>
  <c r="CH53" i="1"/>
  <c r="CL53" i="1"/>
  <c r="CP53" i="1"/>
  <c r="CT53" i="1"/>
  <c r="CX53" i="1"/>
  <c r="BS53" i="1"/>
  <c r="BW53" i="1"/>
  <c r="CA53" i="1"/>
  <c r="CE53" i="1"/>
  <c r="CI53" i="1"/>
  <c r="CM53" i="1"/>
  <c r="CQ53" i="1"/>
  <c r="CU53" i="1"/>
  <c r="CY53" i="1"/>
  <c r="AJ242" i="23" s="1"/>
  <c r="AJ18" i="49" s="1"/>
  <c r="BT53" i="1"/>
  <c r="CB53" i="1"/>
  <c r="CJ53" i="1"/>
  <c r="CR53" i="1"/>
  <c r="CZ53" i="1"/>
  <c r="BM53" i="1"/>
  <c r="BU53" i="1"/>
  <c r="CC53" i="1"/>
  <c r="CK53" i="1"/>
  <c r="CS53" i="1"/>
  <c r="DA53" i="1"/>
  <c r="BJ53" i="1"/>
  <c r="N19" i="1" s="1"/>
  <c r="BN53" i="1"/>
  <c r="CF53" i="1"/>
  <c r="CV53" i="1"/>
  <c r="BK53" i="1"/>
  <c r="BX53" i="1"/>
  <c r="BY53" i="1"/>
  <c r="CG53" i="1"/>
  <c r="CW53" i="1"/>
  <c r="BL53" i="1"/>
  <c r="CN53" i="1"/>
  <c r="BO53" i="1"/>
  <c r="O19" i="1" s="1"/>
  <c r="BI53" i="1"/>
  <c r="CO53" i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I354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D357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H28" i="2" a="1"/>
  <c r="H28" i="2" s="1"/>
  <c r="H96" i="2"/>
  <c r="I334" i="2" s="1" a="1"/>
  <c r="I334" i="2" s="1"/>
  <c r="I29" i="2" a="1"/>
  <c r="I29" i="2" s="1"/>
  <c r="I97" i="2"/>
  <c r="J335" i="2" s="1" a="1"/>
  <c r="J335" i="2" s="1"/>
  <c r="F29" i="2" a="1"/>
  <c r="F29" i="2" s="1"/>
  <c r="F97" i="2"/>
  <c r="G335" i="2" s="1" a="1"/>
  <c r="G335" i="2" s="1"/>
  <c r="C29" i="2" a="1"/>
  <c r="C29" i="2" s="1"/>
  <c r="C97" i="2"/>
  <c r="D335" i="2" s="1" a="1"/>
  <c r="D335" i="2" s="1"/>
  <c r="G26" i="2" a="1"/>
  <c r="G26" i="2" s="1"/>
  <c r="G94" i="2"/>
  <c r="H332" i="2" s="1" a="1"/>
  <c r="H332" i="2" s="1"/>
  <c r="I353" i="2" s="1"/>
  <c r="C26" i="2" a="1"/>
  <c r="C26" i="2" s="1"/>
  <c r="C94" i="2"/>
  <c r="DJ22" i="34" s="1"/>
  <c r="F26" i="2" a="1"/>
  <c r="F26" i="2" s="1"/>
  <c r="F94" i="2"/>
  <c r="G332" i="2" s="1" a="1"/>
  <c r="G332" i="2" s="1"/>
  <c r="E30" i="2" a="1"/>
  <c r="E30" i="2" s="1"/>
  <c r="E98" i="2"/>
  <c r="F336" i="2" s="1" a="1"/>
  <c r="F336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G354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J353" i="2" l="1"/>
  <c r="I355" i="2"/>
  <c r="H355" i="2"/>
  <c r="I356" i="2"/>
  <c r="H356" i="2"/>
  <c r="E356" i="2"/>
  <c r="F353" i="2"/>
  <c r="G357" i="2"/>
  <c r="F355" i="2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R7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AW83" i="2"/>
  <c r="AW84" i="2" s="1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BI66" i="1" l="1"/>
  <c r="L49" i="2" a="1"/>
  <c r="L49" i="2" s="1"/>
  <c r="AN365" i="2"/>
  <c r="AN366" i="2" s="1"/>
  <c r="BN7" i="2"/>
  <c r="O44" i="2" s="1" a="1"/>
  <c r="O44" i="2" s="1"/>
  <c r="BN63" i="2"/>
  <c r="BI67" i="1" l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D34" i="3"/>
  <c r="H26" i="36" s="1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A34" i="3"/>
  <c r="D26" i="36" s="1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71" i="2" s="1"/>
  <c r="K408" i="2"/>
  <c r="K457" i="2" s="1"/>
  <c r="K474" i="2" s="1"/>
  <c r="K412" i="2"/>
  <c r="K461" i="2" s="1"/>
  <c r="K478" i="2" s="1"/>
  <c r="K409" i="2"/>
  <c r="K458" i="2" s="1"/>
  <c r="K475" i="2" s="1"/>
  <c r="K413" i="2"/>
  <c r="K462" i="2" s="1"/>
  <c r="K479" i="2" s="1"/>
  <c r="K403" i="2"/>
  <c r="K452" i="2" s="1"/>
  <c r="K469" i="2" s="1"/>
  <c r="K406" i="2"/>
  <c r="K455" i="2" s="1"/>
  <c r="K472" i="2" s="1"/>
  <c r="K410" i="2"/>
  <c r="K459" i="2" s="1"/>
  <c r="K476" i="2" s="1"/>
  <c r="K402" i="2"/>
  <c r="K451" i="2" s="1"/>
  <c r="K468" i="2" s="1"/>
  <c r="K411" i="2"/>
  <c r="K460" i="2" s="1"/>
  <c r="K477" i="2" s="1"/>
  <c r="K404" i="2"/>
  <c r="K453" i="2" s="1"/>
  <c r="K470" i="2" s="1"/>
  <c r="K407" i="2"/>
  <c r="K456" i="2" s="1"/>
  <c r="K473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05" i="2"/>
  <c r="L454" i="2" s="1"/>
  <c r="L404" i="2"/>
  <c r="L453" i="2" s="1"/>
  <c r="L407" i="2"/>
  <c r="L456" i="2" s="1"/>
  <c r="L411" i="2"/>
  <c r="L460" i="2" s="1"/>
  <c r="L408" i="2"/>
  <c r="L457" i="2" s="1"/>
  <c r="L412" i="2"/>
  <c r="L461" i="2" s="1"/>
  <c r="L409" i="2"/>
  <c r="L458" i="2" s="1"/>
  <c r="L413" i="2"/>
  <c r="L462" i="2" s="1"/>
  <c r="L402" i="2"/>
  <c r="L451" i="2" s="1"/>
  <c r="L410" i="2"/>
  <c r="L459" i="2" s="1"/>
  <c r="L406" i="2"/>
  <c r="L455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06" i="2"/>
  <c r="M455" i="2" s="1"/>
  <c r="M410" i="2"/>
  <c r="M459" i="2" s="1"/>
  <c r="M402" i="2"/>
  <c r="M451" i="2" s="1"/>
  <c r="M405" i="2"/>
  <c r="M454" i="2" s="1"/>
  <c r="M407" i="2"/>
  <c r="M456" i="2" s="1"/>
  <c r="M411" i="2"/>
  <c r="M460" i="2" s="1"/>
  <c r="M408" i="2"/>
  <c r="M457" i="2" s="1"/>
  <c r="M403" i="2"/>
  <c r="M452" i="2" s="1"/>
  <c r="M412" i="2"/>
  <c r="M461" i="2" s="1"/>
  <c r="M413" i="2"/>
  <c r="M462" i="2" s="1"/>
  <c r="M409" i="2"/>
  <c r="M458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09" i="2"/>
  <c r="N458" i="2" s="1"/>
  <c r="N413" i="2"/>
  <c r="N462" i="2" s="1"/>
  <c r="N404" i="2"/>
  <c r="N453" i="2" s="1"/>
  <c r="N406" i="2"/>
  <c r="N455" i="2" s="1"/>
  <c r="N410" i="2"/>
  <c r="N459" i="2" s="1"/>
  <c r="N402" i="2"/>
  <c r="N451" i="2" s="1"/>
  <c r="N405" i="2"/>
  <c r="N454" i="2" s="1"/>
  <c r="N407" i="2"/>
  <c r="N456" i="2" s="1"/>
  <c r="N411" i="2"/>
  <c r="N460" i="2" s="1"/>
  <c r="N412" i="2"/>
  <c r="N461" i="2" s="1"/>
  <c r="N408" i="2"/>
  <c r="N457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08" i="2"/>
  <c r="O457" i="2" s="1"/>
  <c r="O412" i="2"/>
  <c r="O461" i="2" s="1"/>
  <c r="O409" i="2"/>
  <c r="O458" i="2" s="1"/>
  <c r="O413" i="2"/>
  <c r="O462" i="2" s="1"/>
  <c r="O404" i="2"/>
  <c r="O453" i="2" s="1"/>
  <c r="O406" i="2"/>
  <c r="O455" i="2" s="1"/>
  <c r="O410" i="2"/>
  <c r="O459" i="2" s="1"/>
  <c r="O405" i="2"/>
  <c r="O454" i="2" s="1"/>
  <c r="O411" i="2"/>
  <c r="O460" i="2" s="1"/>
  <c r="O407" i="2"/>
  <c r="O456" i="2" s="1"/>
  <c r="O402" i="2"/>
  <c r="O451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69" i="2" s="1"/>
  <c r="P405" i="2"/>
  <c r="P454" i="2" s="1"/>
  <c r="P471" i="2" s="1"/>
  <c r="P407" i="2"/>
  <c r="P456" i="2" s="1"/>
  <c r="P473" i="2" s="1"/>
  <c r="P411" i="2"/>
  <c r="P460" i="2" s="1"/>
  <c r="P477" i="2" s="1"/>
  <c r="P408" i="2"/>
  <c r="P457" i="2" s="1"/>
  <c r="P474" i="2" s="1"/>
  <c r="P412" i="2"/>
  <c r="P461" i="2" s="1"/>
  <c r="P478" i="2" s="1"/>
  <c r="P409" i="2"/>
  <c r="P458" i="2" s="1"/>
  <c r="P475" i="2" s="1"/>
  <c r="P410" i="2"/>
  <c r="P459" i="2" s="1"/>
  <c r="P476" i="2" s="1"/>
  <c r="P406" i="2"/>
  <c r="P455" i="2" s="1"/>
  <c r="P472" i="2" s="1"/>
  <c r="P402" i="2"/>
  <c r="P451" i="2" s="1"/>
  <c r="P468" i="2" s="1"/>
  <c r="P404" i="2"/>
  <c r="P453" i="2" s="1"/>
  <c r="P470" i="2" s="1"/>
  <c r="P413" i="2"/>
  <c r="P462" i="2" s="1"/>
  <c r="P479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70" i="2" s="1"/>
  <c r="Q403" i="2"/>
  <c r="Q452" i="2" s="1"/>
  <c r="Q469" i="2" s="1"/>
  <c r="Q405" i="2"/>
  <c r="Q454" i="2" s="1"/>
  <c r="Q471" i="2" s="1"/>
  <c r="Q406" i="2"/>
  <c r="Q455" i="2" s="1"/>
  <c r="Q472" i="2" s="1"/>
  <c r="Q410" i="2"/>
  <c r="Q459" i="2" s="1"/>
  <c r="Q476" i="2" s="1"/>
  <c r="Q402" i="2"/>
  <c r="Q451" i="2" s="1"/>
  <c r="Q468" i="2" s="1"/>
  <c r="Q407" i="2"/>
  <c r="Q456" i="2" s="1"/>
  <c r="Q473" i="2" s="1"/>
  <c r="Q411" i="2"/>
  <c r="Q460" i="2" s="1"/>
  <c r="Q477" i="2" s="1"/>
  <c r="Q408" i="2"/>
  <c r="Q457" i="2" s="1"/>
  <c r="Q474" i="2" s="1"/>
  <c r="Q409" i="2"/>
  <c r="Q458" i="2" s="1"/>
  <c r="Q475" i="2" s="1"/>
  <c r="Q413" i="2"/>
  <c r="Q462" i="2" s="1"/>
  <c r="Q479" i="2" s="1"/>
  <c r="Q412" i="2"/>
  <c r="Q461" i="2" s="1"/>
  <c r="Q478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70" i="2" s="1"/>
  <c r="R409" i="2"/>
  <c r="R458" i="2" s="1"/>
  <c r="R475" i="2" s="1"/>
  <c r="R413" i="2"/>
  <c r="R462" i="2" s="1"/>
  <c r="R479" i="2" s="1"/>
  <c r="R403" i="2"/>
  <c r="R452" i="2" s="1"/>
  <c r="R469" i="2" s="1"/>
  <c r="R405" i="2"/>
  <c r="R454" i="2" s="1"/>
  <c r="R471" i="2" s="1"/>
  <c r="R406" i="2"/>
  <c r="R455" i="2" s="1"/>
  <c r="R472" i="2" s="1"/>
  <c r="R410" i="2"/>
  <c r="R459" i="2" s="1"/>
  <c r="R476" i="2" s="1"/>
  <c r="R402" i="2"/>
  <c r="R451" i="2" s="1"/>
  <c r="R468" i="2" s="1"/>
  <c r="R407" i="2"/>
  <c r="R456" i="2" s="1"/>
  <c r="R473" i="2" s="1"/>
  <c r="R411" i="2"/>
  <c r="R460" i="2" s="1"/>
  <c r="R477" i="2" s="1"/>
  <c r="R408" i="2"/>
  <c r="R457" i="2" s="1"/>
  <c r="R474" i="2" s="1"/>
  <c r="R412" i="2"/>
  <c r="R461" i="2" s="1"/>
  <c r="R478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69" i="2" s="1"/>
  <c r="T405" i="2"/>
  <c r="T454" i="2" s="1"/>
  <c r="T471" i="2" s="1"/>
  <c r="T407" i="2"/>
  <c r="T456" i="2" s="1"/>
  <c r="T473" i="2" s="1"/>
  <c r="T411" i="2"/>
  <c r="T460" i="2" s="1"/>
  <c r="T477" i="2" s="1"/>
  <c r="T408" i="2"/>
  <c r="T457" i="2" s="1"/>
  <c r="T474" i="2" s="1"/>
  <c r="T412" i="2"/>
  <c r="T461" i="2" s="1"/>
  <c r="T478" i="2" s="1"/>
  <c r="T404" i="2"/>
  <c r="T453" i="2" s="1"/>
  <c r="T470" i="2" s="1"/>
  <c r="T409" i="2"/>
  <c r="T458" i="2" s="1"/>
  <c r="T475" i="2" s="1"/>
  <c r="T406" i="2"/>
  <c r="T455" i="2" s="1"/>
  <c r="T472" i="2" s="1"/>
  <c r="T413" i="2"/>
  <c r="T462" i="2" s="1"/>
  <c r="T479" i="2" s="1"/>
  <c r="T402" i="2"/>
  <c r="T451" i="2" s="1"/>
  <c r="T468" i="2" s="1"/>
  <c r="T410" i="2"/>
  <c r="T459" i="2" s="1"/>
  <c r="T476" i="2" s="1"/>
  <c r="S408" i="2"/>
  <c r="S457" i="2" s="1"/>
  <c r="S474" i="2" s="1"/>
  <c r="S412" i="2"/>
  <c r="S461" i="2" s="1"/>
  <c r="S478" i="2" s="1"/>
  <c r="S404" i="2"/>
  <c r="S453" i="2" s="1"/>
  <c r="S470" i="2" s="1"/>
  <c r="S409" i="2"/>
  <c r="S458" i="2" s="1"/>
  <c r="S475" i="2" s="1"/>
  <c r="S413" i="2"/>
  <c r="S462" i="2" s="1"/>
  <c r="S479" i="2" s="1"/>
  <c r="S403" i="2"/>
  <c r="S452" i="2" s="1"/>
  <c r="S469" i="2" s="1"/>
  <c r="S405" i="2"/>
  <c r="S454" i="2" s="1"/>
  <c r="S471" i="2" s="1"/>
  <c r="S406" i="2"/>
  <c r="S455" i="2" s="1"/>
  <c r="S472" i="2" s="1"/>
  <c r="S410" i="2"/>
  <c r="S459" i="2" s="1"/>
  <c r="S476" i="2" s="1"/>
  <c r="S407" i="2"/>
  <c r="S456" i="2" s="1"/>
  <c r="S473" i="2" s="1"/>
  <c r="S402" i="2"/>
  <c r="S451" i="2" s="1"/>
  <c r="S468" i="2" s="1"/>
  <c r="S411" i="2"/>
  <c r="S460" i="2" s="1"/>
  <c r="S477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69" i="2" s="1"/>
  <c r="U404" i="2"/>
  <c r="U453" i="2" s="1"/>
  <c r="U470" i="2" s="1"/>
  <c r="U406" i="2"/>
  <c r="U455" i="2" s="1"/>
  <c r="U472" i="2" s="1"/>
  <c r="U410" i="2"/>
  <c r="U459" i="2" s="1"/>
  <c r="U476" i="2" s="1"/>
  <c r="U407" i="2"/>
  <c r="U456" i="2" s="1"/>
  <c r="U473" i="2" s="1"/>
  <c r="U411" i="2"/>
  <c r="U460" i="2" s="1"/>
  <c r="U477" i="2" s="1"/>
  <c r="U408" i="2"/>
  <c r="U457" i="2" s="1"/>
  <c r="U474" i="2" s="1"/>
  <c r="U412" i="2"/>
  <c r="U461" i="2" s="1"/>
  <c r="U478" i="2" s="1"/>
  <c r="U405" i="2"/>
  <c r="U454" i="2" s="1"/>
  <c r="U471" i="2" s="1"/>
  <c r="U409" i="2"/>
  <c r="U458" i="2" s="1"/>
  <c r="U475" i="2" s="1"/>
  <c r="U413" i="2"/>
  <c r="U462" i="2" s="1"/>
  <c r="U479" i="2" s="1"/>
  <c r="U402" i="2"/>
  <c r="U451" i="2" s="1"/>
  <c r="U468" i="2" s="1"/>
  <c r="V405" i="2"/>
  <c r="V454" i="2" s="1"/>
  <c r="V471" i="2" s="1"/>
  <c r="V409" i="2"/>
  <c r="V458" i="2" s="1"/>
  <c r="V475" i="2" s="1"/>
  <c r="V413" i="2"/>
  <c r="V462" i="2" s="1"/>
  <c r="V479" i="2" s="1"/>
  <c r="V402" i="2"/>
  <c r="V451" i="2" s="1"/>
  <c r="V468" i="2" s="1"/>
  <c r="V406" i="2"/>
  <c r="V455" i="2" s="1"/>
  <c r="V472" i="2" s="1"/>
  <c r="V410" i="2"/>
  <c r="V459" i="2" s="1"/>
  <c r="V476" i="2" s="1"/>
  <c r="V407" i="2"/>
  <c r="V456" i="2" s="1"/>
  <c r="V473" i="2" s="1"/>
  <c r="V411" i="2"/>
  <c r="V460" i="2" s="1"/>
  <c r="V477" i="2" s="1"/>
  <c r="V403" i="2"/>
  <c r="V452" i="2" s="1"/>
  <c r="V469" i="2" s="1"/>
  <c r="V408" i="2"/>
  <c r="V457" i="2" s="1"/>
  <c r="V474" i="2" s="1"/>
  <c r="V412" i="2"/>
  <c r="V461" i="2" s="1"/>
  <c r="V478" i="2" s="1"/>
  <c r="V404" i="2"/>
  <c r="V453" i="2" s="1"/>
  <c r="V470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70" i="2" s="1"/>
  <c r="Y406" i="2"/>
  <c r="Y455" i="2" s="1"/>
  <c r="Y472" i="2" s="1"/>
  <c r="Y410" i="2"/>
  <c r="Y459" i="2" s="1"/>
  <c r="Y476" i="2" s="1"/>
  <c r="Y403" i="2"/>
  <c r="Y452" i="2" s="1"/>
  <c r="Y469" i="2" s="1"/>
  <c r="Y407" i="2"/>
  <c r="Y456" i="2" s="1"/>
  <c r="Y473" i="2" s="1"/>
  <c r="Y411" i="2"/>
  <c r="Y460" i="2" s="1"/>
  <c r="Y477" i="2" s="1"/>
  <c r="Y405" i="2"/>
  <c r="Y454" i="2" s="1"/>
  <c r="Y471" i="2" s="1"/>
  <c r="Y408" i="2"/>
  <c r="Y457" i="2" s="1"/>
  <c r="Y474" i="2" s="1"/>
  <c r="Y413" i="2"/>
  <c r="Y462" i="2" s="1"/>
  <c r="Y479" i="2" s="1"/>
  <c r="Y402" i="2"/>
  <c r="Y451" i="2" s="1"/>
  <c r="Y468" i="2" s="1"/>
  <c r="Y409" i="2"/>
  <c r="Y458" i="2" s="1"/>
  <c r="Y475" i="2" s="1"/>
  <c r="Y412" i="2"/>
  <c r="Y461" i="2" s="1"/>
  <c r="Y478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69" i="2" s="1"/>
  <c r="W404" i="2"/>
  <c r="W453" i="2" s="1"/>
  <c r="W470" i="2" s="1"/>
  <c r="W408" i="2"/>
  <c r="W457" i="2" s="1"/>
  <c r="W474" i="2" s="1"/>
  <c r="W412" i="2"/>
  <c r="W461" i="2" s="1"/>
  <c r="W478" i="2" s="1"/>
  <c r="W405" i="2"/>
  <c r="W454" i="2" s="1"/>
  <c r="W471" i="2" s="1"/>
  <c r="W409" i="2"/>
  <c r="W458" i="2" s="1"/>
  <c r="W475" i="2" s="1"/>
  <c r="W413" i="2"/>
  <c r="W462" i="2" s="1"/>
  <c r="W479" i="2" s="1"/>
  <c r="W402" i="2"/>
  <c r="W451" i="2" s="1"/>
  <c r="W468" i="2" s="1"/>
  <c r="W406" i="2"/>
  <c r="W455" i="2" s="1"/>
  <c r="W472" i="2" s="1"/>
  <c r="W410" i="2"/>
  <c r="W459" i="2" s="1"/>
  <c r="W476" i="2" s="1"/>
  <c r="W407" i="2"/>
  <c r="W456" i="2" s="1"/>
  <c r="W473" i="2" s="1"/>
  <c r="W411" i="2"/>
  <c r="W460" i="2" s="1"/>
  <c r="W477" i="2" s="1"/>
  <c r="Z403" i="2"/>
  <c r="Z452" i="2" s="1"/>
  <c r="Z469" i="2" s="1"/>
  <c r="Z409" i="2"/>
  <c r="Z458" i="2" s="1"/>
  <c r="Z475" i="2" s="1"/>
  <c r="Z413" i="2"/>
  <c r="Z462" i="2" s="1"/>
  <c r="Z479" i="2" s="1"/>
  <c r="Z402" i="2"/>
  <c r="Z451" i="2" s="1"/>
  <c r="Z468" i="2" s="1"/>
  <c r="Z406" i="2"/>
  <c r="Z455" i="2" s="1"/>
  <c r="Z472" i="2" s="1"/>
  <c r="Z410" i="2"/>
  <c r="Z459" i="2" s="1"/>
  <c r="Z476" i="2" s="1"/>
  <c r="Z404" i="2"/>
  <c r="Z453" i="2" s="1"/>
  <c r="Z470" i="2" s="1"/>
  <c r="Z407" i="2"/>
  <c r="Z456" i="2" s="1"/>
  <c r="Z473" i="2" s="1"/>
  <c r="Z411" i="2"/>
  <c r="Z460" i="2" s="1"/>
  <c r="Z477" i="2" s="1"/>
  <c r="Z412" i="2"/>
  <c r="Z461" i="2" s="1"/>
  <c r="Z478" i="2" s="1"/>
  <c r="Z405" i="2"/>
  <c r="Z454" i="2" s="1"/>
  <c r="Z471" i="2" s="1"/>
  <c r="Z408" i="2"/>
  <c r="Z457" i="2" s="1"/>
  <c r="Z474" i="2" s="1"/>
  <c r="X403" i="2"/>
  <c r="X452" i="2" s="1"/>
  <c r="X469" i="2" s="1"/>
  <c r="X405" i="2"/>
  <c r="X454" i="2" s="1"/>
  <c r="X471" i="2" s="1"/>
  <c r="X407" i="2"/>
  <c r="X456" i="2" s="1"/>
  <c r="X473" i="2" s="1"/>
  <c r="X411" i="2"/>
  <c r="X460" i="2" s="1"/>
  <c r="X477" i="2" s="1"/>
  <c r="X404" i="2"/>
  <c r="X453" i="2" s="1"/>
  <c r="X470" i="2" s="1"/>
  <c r="X408" i="2"/>
  <c r="X457" i="2" s="1"/>
  <c r="X474" i="2" s="1"/>
  <c r="X412" i="2"/>
  <c r="X461" i="2" s="1"/>
  <c r="X478" i="2" s="1"/>
  <c r="X409" i="2"/>
  <c r="X458" i="2" s="1"/>
  <c r="X475" i="2" s="1"/>
  <c r="X406" i="2"/>
  <c r="X455" i="2" s="1"/>
  <c r="X472" i="2" s="1"/>
  <c r="X410" i="2"/>
  <c r="X459" i="2" s="1"/>
  <c r="X476" i="2" s="1"/>
  <c r="X413" i="2"/>
  <c r="X462" i="2" s="1"/>
  <c r="X479" i="2" s="1"/>
  <c r="X402" i="2"/>
  <c r="X451" i="2" s="1"/>
  <c r="X468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302" i="1" l="1"/>
  <c r="EG301" i="1"/>
  <c r="EG15" i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J302" i="1" l="1"/>
  <c r="EJ301" i="1"/>
  <c r="EH2" i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302" i="1" l="1"/>
  <c r="EM301" i="1"/>
  <c r="EM13" i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302" i="1" l="1"/>
  <c r="EP301" i="1"/>
  <c r="EP12" i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ES302" i="1" l="1"/>
  <c r="ES301" i="1"/>
  <c r="C82" i="2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EV302" i="1" l="1"/>
  <c r="EV301" i="1"/>
  <c r="C79" i="2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302" i="1" l="1"/>
  <c r="EY301" i="1"/>
  <c r="EY13" i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FB302" i="1" l="1"/>
  <c r="FB301" i="1"/>
  <c r="EZ2" i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FE302" i="1" l="1"/>
  <c r="FE301" i="1"/>
  <c r="H52" i="8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H302" i="1" l="1"/>
  <c r="FH301" i="1"/>
  <c r="FF2" i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K302" i="1" l="1"/>
  <c r="FK301" i="1"/>
  <c r="FI2" i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N302" i="1" l="1"/>
  <c r="FN301" i="1"/>
  <c r="FL2" i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O54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FQ302" i="1" l="1"/>
  <c r="FQ301" i="1"/>
  <c r="B25" i="59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E302" i="1" s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9" i="56" a="1"/>
  <c r="S28" i="56" a="1"/>
  <c r="FT302" i="1" l="1"/>
  <c r="FT301" i="1"/>
  <c r="EE300" i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294" i="1"/>
  <c r="EE102" i="1"/>
  <c r="EE79" i="1"/>
  <c r="EE33" i="1"/>
  <c r="EE113" i="1"/>
  <c r="EE132" i="1"/>
  <c r="EE120" i="1"/>
  <c r="EE70" i="1"/>
  <c r="EE37" i="1"/>
  <c r="EE81" i="1"/>
  <c r="EE73" i="1"/>
  <c r="EE157" i="1"/>
  <c r="EE68" i="1"/>
  <c r="EE173" i="1"/>
  <c r="EE189" i="1"/>
  <c r="EE52" i="1"/>
  <c r="EE55" i="1"/>
  <c r="EE160" i="1"/>
  <c r="EE20" i="1"/>
  <c r="EE148" i="1"/>
  <c r="EE35" i="1"/>
  <c r="EE72" i="1"/>
  <c r="EE86" i="1"/>
  <c r="EE166" i="1"/>
  <c r="EE63" i="1"/>
  <c r="EE165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50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18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EE106" i="1"/>
  <c r="EE36" i="1"/>
  <c r="EE59" i="1"/>
  <c r="EE13" i="1"/>
  <c r="EE153" i="1"/>
  <c r="EE10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172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28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296" i="1"/>
  <c r="EE94" i="1"/>
  <c r="EE116" i="1"/>
  <c r="EE25" i="1"/>
  <c r="EE121" i="1"/>
  <c r="EE105" i="1"/>
  <c r="EE67" i="1"/>
  <c r="EE109" i="1"/>
  <c r="EE41" i="1"/>
  <c r="EE24" i="1"/>
  <c r="EE171" i="1"/>
  <c r="EE129" i="1"/>
  <c r="EE145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3" i="1"/>
  <c r="EE198" i="1"/>
  <c r="EE203" i="1"/>
  <c r="EE206" i="1"/>
  <c r="EE207" i="1"/>
  <c r="EE212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43" i="1"/>
  <c r="EE254" i="1"/>
  <c r="EE257" i="1"/>
  <c r="EE262" i="1"/>
  <c r="EE268" i="1"/>
  <c r="EE271" i="1"/>
  <c r="EE277" i="1"/>
  <c r="EE283" i="1"/>
  <c r="EE288" i="1"/>
  <c r="EE293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35" i="1" l="1"/>
  <c r="GT35" i="1" s="1"/>
  <c r="FW302" i="1"/>
  <c r="FW301" i="1"/>
  <c r="GO54" i="1"/>
  <c r="GT54" i="1" s="1"/>
  <c r="GO50" i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46" i="1"/>
  <c r="GT46" i="1" s="1"/>
  <c r="GO48" i="1"/>
  <c r="GT48" i="1" s="1"/>
  <c r="GO57" i="1"/>
  <c r="GT57" i="1" s="1"/>
  <c r="GO49" i="1"/>
  <c r="GT49" i="1" s="1"/>
  <c r="GO39" i="1"/>
  <c r="GT39" i="1" s="1"/>
  <c r="GO41" i="1"/>
  <c r="GT41" i="1" s="1"/>
  <c r="GO59" i="1"/>
  <c r="GT59" i="1" s="1"/>
  <c r="L1" i="56"/>
  <c r="A29" i="36" s="1"/>
  <c r="FZ302" i="1" l="1"/>
  <c r="FZ301" i="1"/>
  <c r="FZ12" i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C302" i="1" l="1"/>
  <c r="GC301" i="1"/>
  <c r="GA2" i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s="1"/>
  <c r="D21" i="2" s="1"/>
  <c r="D36" i="3" s="1"/>
  <c r="E36" i="27" l="1"/>
  <c r="E36" i="35"/>
  <c r="D29" i="37"/>
  <c r="D23" i="8"/>
  <c r="D28" i="36"/>
  <c r="E37" i="51"/>
  <c r="AO65" i="2" l="1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O479" i="2" s="1"/>
  <c r="Q17" i="3"/>
  <c r="DL34" i="33"/>
  <c r="W14" i="37"/>
  <c r="T16" i="37"/>
  <c r="AI25" i="35"/>
  <c r="AX65" i="2"/>
  <c r="W27" i="35"/>
  <c r="K17" i="27"/>
  <c r="EX21" i="33"/>
  <c r="Y19" i="8"/>
  <c r="AA20" i="3"/>
  <c r="FZ28" i="33"/>
  <c r="FT35" i="33"/>
  <c r="AF20" i="37"/>
  <c r="L12" i="37"/>
  <c r="L468" i="2" s="1"/>
  <c r="N13" i="37"/>
  <c r="N469" i="2" s="1"/>
  <c r="P16" i="37"/>
  <c r="BV23" i="33"/>
  <c r="Q21" i="8"/>
  <c r="Z25" i="3"/>
  <c r="AA17" i="37"/>
  <c r="R17" i="27"/>
  <c r="E21" i="8"/>
  <c r="U19" i="27"/>
  <c r="AF19" i="37"/>
  <c r="EP15" i="33"/>
  <c r="Z20" i="37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AI14" i="37"/>
  <c r="L21" i="3"/>
  <c r="K28" i="3"/>
  <c r="S26" i="35"/>
  <c r="AH20" i="33"/>
  <c r="X24" i="35"/>
  <c r="AI22" i="37"/>
  <c r="I18" i="35"/>
  <c r="O18" i="37"/>
  <c r="O474" i="2" s="1"/>
  <c r="Y23" i="3"/>
  <c r="E27" i="27"/>
  <c r="O25" i="3"/>
  <c r="U16" i="37"/>
  <c r="T24" i="3"/>
  <c r="S22" i="3"/>
  <c r="H20" i="3"/>
  <c r="J26" i="3"/>
  <c r="AR60" i="2"/>
  <c r="N24" i="3"/>
  <c r="D21" i="8"/>
  <c r="L22" i="37"/>
  <c r="L478" i="2" s="1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M29" i="35"/>
  <c r="Y14" i="8"/>
  <c r="CD4" i="33"/>
  <c r="P24" i="35"/>
  <c r="N20" i="37"/>
  <c r="N476" i="2" s="1"/>
  <c r="P23" i="35"/>
  <c r="S24" i="35"/>
  <c r="Q18" i="37"/>
  <c r="DR34" i="33"/>
  <c r="I15" i="8"/>
  <c r="K18" i="27"/>
  <c r="Q20" i="3"/>
  <c r="Y25" i="3"/>
  <c r="DL30" i="33"/>
  <c r="X15" i="8"/>
  <c r="T32" i="33"/>
  <c r="CN34" i="33"/>
  <c r="X13" i="37"/>
  <c r="I19" i="3"/>
  <c r="AL27" i="33"/>
  <c r="I27" i="27"/>
  <c r="DB16" i="33"/>
  <c r="R25" i="27"/>
  <c r="Y24" i="3"/>
  <c r="X26" i="27"/>
  <c r="AB27" i="35"/>
  <c r="T12" i="37"/>
  <c r="Z32" i="33"/>
  <c r="V22" i="35"/>
  <c r="FF22" i="33"/>
  <c r="S17" i="8"/>
  <c r="AG28" i="35"/>
  <c r="S16" i="37"/>
  <c r="AG23" i="35"/>
  <c r="N15" i="8"/>
  <c r="M22" i="3"/>
  <c r="N14" i="8"/>
  <c r="K12" i="37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N16" i="27"/>
  <c r="FV18" i="33"/>
  <c r="AB28" i="35"/>
  <c r="R22" i="37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CH29" i="33"/>
  <c r="AL35" i="33"/>
  <c r="CH33" i="33"/>
  <c r="D20" i="35"/>
  <c r="EH18" i="33"/>
  <c r="AA16" i="8"/>
  <c r="U19" i="8"/>
  <c r="U14" i="8"/>
  <c r="R18" i="8"/>
  <c r="U23" i="35"/>
  <c r="BP30" i="33"/>
  <c r="O20" i="37"/>
  <c r="O476" i="2" s="1"/>
  <c r="S19" i="37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FV23" i="33"/>
  <c r="T19" i="27"/>
  <c r="DF30" i="33"/>
  <c r="S14" i="37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I16" i="8"/>
  <c r="D20" i="8"/>
  <c r="E21" i="3"/>
  <c r="Y18" i="37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BF60" i="2"/>
  <c r="AF12" i="37"/>
  <c r="AT65" i="2"/>
  <c r="U23" i="27"/>
  <c r="H20" i="35"/>
  <c r="P18" i="35"/>
  <c r="AD22" i="37"/>
  <c r="F16" i="27"/>
  <c r="O23" i="35"/>
  <c r="I24" i="27"/>
  <c r="AD16" i="37"/>
  <c r="Q19" i="37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M473" i="2" s="1"/>
  <c r="N16" i="8"/>
  <c r="X29" i="35"/>
  <c r="F18" i="8"/>
  <c r="AI27" i="35"/>
  <c r="BJ29" i="33"/>
  <c r="K16" i="37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O472" i="2" s="1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D18" i="35"/>
  <c r="ED35" i="33"/>
  <c r="M24" i="27"/>
  <c r="I14" i="8"/>
  <c r="K14" i="37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L470" i="2" s="1"/>
  <c r="EP28" i="33"/>
  <c r="BE65" i="2"/>
  <c r="L18" i="37"/>
  <c r="L474" i="2" s="1"/>
  <c r="EV35" i="33"/>
  <c r="S23" i="35"/>
  <c r="AI19" i="37"/>
  <c r="T14" i="8"/>
  <c r="V26" i="35"/>
  <c r="D17" i="27"/>
  <c r="EJ33" i="33"/>
  <c r="K21" i="3"/>
  <c r="AB20" i="35"/>
  <c r="D22" i="27"/>
  <c r="FF4" i="33"/>
  <c r="W13" i="37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I19" i="35"/>
  <c r="BD33" i="33"/>
  <c r="EP18" i="33"/>
  <c r="U15" i="37"/>
  <c r="U23" i="3"/>
  <c r="AV64" i="2"/>
  <c r="L17" i="27"/>
  <c r="CN31" i="33"/>
  <c r="Z18" i="37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N474" i="2" s="1"/>
  <c r="D31" i="33"/>
  <c r="X23" i="27"/>
  <c r="BP31" i="33"/>
  <c r="Y16" i="37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M468" i="2" s="1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AS64" i="2"/>
  <c r="T20" i="3"/>
  <c r="ED34" i="33"/>
  <c r="L28" i="3"/>
  <c r="G18" i="8"/>
  <c r="K20" i="3"/>
  <c r="C18" i="3"/>
  <c r="O13" i="8"/>
  <c r="AP23" i="33"/>
  <c r="BF21" i="33"/>
  <c r="AG15" i="37"/>
  <c r="M18" i="37"/>
  <c r="M474" i="2" s="1"/>
  <c r="FT33" i="33"/>
  <c r="W23" i="37"/>
  <c r="AH19" i="37"/>
  <c r="Y29" i="35"/>
  <c r="Z16" i="37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O477" i="2" s="1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T27" i="33"/>
  <c r="AF32" i="33"/>
  <c r="P26" i="3"/>
  <c r="O21" i="27"/>
  <c r="CD9" i="33"/>
  <c r="Q28" i="35"/>
  <c r="R11" i="33"/>
  <c r="D21" i="27"/>
  <c r="FF21" i="33"/>
  <c r="P19" i="27"/>
  <c r="K23" i="35"/>
  <c r="P18" i="37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GI7" i="33"/>
  <c r="AI20" i="37"/>
  <c r="L16" i="37"/>
  <c r="L472" i="2" s="1"/>
  <c r="ED31" i="33"/>
  <c r="AH22" i="37"/>
  <c r="H28" i="35"/>
  <c r="O14" i="37"/>
  <c r="O470" i="2" s="1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FN15" i="33"/>
  <c r="Z17" i="37"/>
  <c r="CD18" i="33"/>
  <c r="H25" i="35"/>
  <c r="BV22" i="33"/>
  <c r="U17" i="8"/>
  <c r="O19" i="37"/>
  <c r="O475" i="2" s="1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N477" i="2" s="1"/>
  <c r="EJ30" i="33"/>
  <c r="AH4" i="33"/>
  <c r="CB27" i="33"/>
  <c r="Z25" i="27"/>
  <c r="U27" i="35"/>
  <c r="AB25" i="35"/>
  <c r="Z16" i="27"/>
  <c r="AF17" i="37"/>
  <c r="G24" i="3"/>
  <c r="Z23" i="37"/>
  <c r="B21" i="33"/>
  <c r="S17" i="27"/>
  <c r="AX30" i="33"/>
  <c r="Y13" i="37"/>
  <c r="Y17" i="37"/>
  <c r="G26" i="27"/>
  <c r="AI24" i="35"/>
  <c r="N19" i="37"/>
  <c r="N475" i="2" s="1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N468" i="2" s="1"/>
  <c r="Q21" i="37"/>
  <c r="N17" i="8"/>
  <c r="E20" i="8"/>
  <c r="X28" i="35"/>
  <c r="Y26" i="3"/>
  <c r="H24" i="35"/>
  <c r="P15" i="37"/>
  <c r="GI10" i="33"/>
  <c r="X18" i="8"/>
  <c r="C14" i="36"/>
  <c r="C7" i="45" s="1"/>
  <c r="F20" i="36"/>
  <c r="F13" i="45" s="1"/>
  <c r="CB30" i="33"/>
  <c r="R15" i="8"/>
  <c r="BV33" i="33"/>
  <c r="R18" i="37"/>
  <c r="F22" i="35"/>
  <c r="GL3" i="33"/>
  <c r="AA19" i="37"/>
  <c r="R19" i="37"/>
  <c r="J19" i="33"/>
  <c r="AD19" i="35"/>
  <c r="FH27" i="33"/>
  <c r="W18" i="8"/>
  <c r="I27" i="35"/>
  <c r="W12" i="37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BF22" i="33"/>
  <c r="S20" i="3"/>
  <c r="G27" i="27"/>
  <c r="C25" i="3"/>
  <c r="E21" i="27"/>
  <c r="P23" i="37"/>
  <c r="F28" i="33"/>
  <c r="T33" i="33"/>
  <c r="Z14" i="37"/>
  <c r="AG12" i="37"/>
  <c r="FF11" i="33"/>
  <c r="AG22" i="35"/>
  <c r="T18" i="37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AF28" i="33"/>
  <c r="M16" i="27"/>
  <c r="F26" i="35"/>
  <c r="V27" i="27"/>
  <c r="AE12" i="37"/>
  <c r="W27" i="3"/>
  <c r="AQ64" i="2"/>
  <c r="I22" i="27"/>
  <c r="X22" i="37"/>
  <c r="S21" i="37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N479" i="2" s="1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T22" i="27"/>
  <c r="Q12" i="37"/>
  <c r="AE21" i="37"/>
  <c r="V20" i="27"/>
  <c r="J17" i="8"/>
  <c r="BN15" i="33"/>
  <c r="R13" i="37"/>
  <c r="J25" i="3"/>
  <c r="L27" i="3"/>
  <c r="O26" i="27"/>
  <c r="FB30" i="33"/>
  <c r="C35" i="33"/>
  <c r="J16" i="33"/>
  <c r="Q19" i="35"/>
  <c r="AB15" i="36"/>
  <c r="AB8" i="45" s="1"/>
  <c r="O14" i="8"/>
  <c r="V19" i="37"/>
  <c r="T20" i="27"/>
  <c r="T25" i="35"/>
  <c r="Y22" i="35"/>
  <c r="DL33" i="33"/>
  <c r="V22" i="37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AU60" i="2"/>
  <c r="K25" i="27"/>
  <c r="CD20" i="33"/>
  <c r="B29" i="33"/>
  <c r="AX22" i="33"/>
  <c r="V29" i="35"/>
  <c r="CT3" i="33"/>
  <c r="M19" i="35"/>
  <c r="T19" i="37"/>
  <c r="BV34" i="33"/>
  <c r="L25" i="27"/>
  <c r="FN16" i="33"/>
  <c r="T17" i="37"/>
  <c r="BN19" i="33"/>
  <c r="W24" i="35"/>
  <c r="AH24" i="35"/>
  <c r="L17" i="37"/>
  <c r="L473" i="2" s="1"/>
  <c r="X18" i="37"/>
  <c r="S26" i="3"/>
  <c r="EX22" i="33"/>
  <c r="E20" i="27"/>
  <c r="E34" i="33"/>
  <c r="X24" i="3"/>
  <c r="W19" i="37"/>
  <c r="J23" i="35"/>
  <c r="EP21" i="33"/>
  <c r="R20" i="27"/>
  <c r="R23" i="27"/>
  <c r="N17" i="37"/>
  <c r="N473" i="2" s="1"/>
  <c r="H34" i="33"/>
  <c r="L24" i="35"/>
  <c r="Q16" i="37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V14" i="37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M479" i="2" s="1"/>
  <c r="P13" i="37"/>
  <c r="AG16" i="37"/>
  <c r="G30" i="33"/>
  <c r="P18" i="8"/>
  <c r="R20" i="33"/>
  <c r="R21" i="8"/>
  <c r="V23" i="37"/>
  <c r="DR27" i="33"/>
  <c r="U19" i="37"/>
  <c r="P19" i="37"/>
  <c r="D18" i="8"/>
  <c r="T34" i="33"/>
  <c r="E19" i="3"/>
  <c r="J24" i="27"/>
  <c r="W16" i="37"/>
  <c r="W17" i="37"/>
  <c r="AC20" i="35"/>
  <c r="Z23" i="3"/>
  <c r="BC65" i="2"/>
  <c r="L23" i="27"/>
  <c r="U26" i="27"/>
  <c r="BE64" i="2"/>
  <c r="P21" i="3"/>
  <c r="I25" i="3"/>
  <c r="X26" i="35"/>
  <c r="DB22" i="33"/>
  <c r="N16" i="37"/>
  <c r="N472" i="2" s="1"/>
  <c r="F13" i="8"/>
  <c r="AB13" i="37"/>
  <c r="L13" i="37"/>
  <c r="L469" i="2" s="1"/>
  <c r="H23" i="35"/>
  <c r="S12" i="37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H26" i="27"/>
  <c r="G25" i="27"/>
  <c r="M16" i="37"/>
  <c r="M472" i="2" s="1"/>
  <c r="AQ61" i="2"/>
  <c r="O22" i="37"/>
  <c r="O478" i="2" s="1"/>
  <c r="Z17" i="27"/>
  <c r="BF64" i="2"/>
  <c r="AF35" i="33"/>
  <c r="F24" i="35"/>
  <c r="GI3" i="33"/>
  <c r="AA25" i="3"/>
  <c r="L19" i="37"/>
  <c r="L475" i="2" s="1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DJ4" i="33"/>
  <c r="L25" i="3"/>
  <c r="X20" i="27"/>
  <c r="AW61" i="2"/>
  <c r="Y20" i="3"/>
  <c r="Y19" i="35"/>
  <c r="T15" i="37"/>
  <c r="CH28" i="33"/>
  <c r="H14" i="8"/>
  <c r="EP20" i="33"/>
  <c r="K26" i="3"/>
  <c r="AF23" i="37"/>
  <c r="AF29" i="33"/>
  <c r="HU27" i="33"/>
  <c r="S21" i="8"/>
  <c r="T13" i="37"/>
  <c r="AD15" i="37"/>
  <c r="F19" i="3"/>
  <c r="DX35" i="33"/>
  <c r="N18" i="35"/>
  <c r="X19" i="27"/>
  <c r="B34" i="33"/>
  <c r="BV32" i="33"/>
  <c r="U18" i="37"/>
  <c r="EX17" i="33"/>
  <c r="AD23" i="35"/>
  <c r="R22" i="33"/>
  <c r="AD29" i="35"/>
  <c r="R17" i="37"/>
  <c r="U21" i="37"/>
  <c r="Q22" i="27"/>
  <c r="FT27" i="33"/>
  <c r="M13" i="37"/>
  <c r="M469" i="2" s="1"/>
  <c r="CT16" i="33"/>
  <c r="E18" i="35"/>
  <c r="EP32" i="33"/>
  <c r="S17" i="3"/>
  <c r="B33" i="33"/>
  <c r="AD23" i="37"/>
  <c r="O12" i="37"/>
  <c r="O468" i="2" s="1"/>
  <c r="K18" i="37"/>
  <c r="BA60" i="2"/>
  <c r="AC19" i="35"/>
  <c r="P14" i="37"/>
  <c r="AE22" i="35"/>
  <c r="K16" i="27"/>
  <c r="C18" i="27"/>
  <c r="Z17" i="33"/>
  <c r="M14" i="37"/>
  <c r="M470" i="2" s="1"/>
  <c r="V15" i="37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N471" i="2" s="1"/>
  <c r="X25" i="3"/>
  <c r="E26" i="27"/>
  <c r="DZ21" i="33"/>
  <c r="AB14" i="37"/>
  <c r="I23" i="27"/>
  <c r="AX33" i="33"/>
  <c r="G19" i="8"/>
  <c r="N18" i="27"/>
  <c r="W14" i="8"/>
  <c r="R12" i="37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L479" i="2" s="1"/>
  <c r="N22" i="35"/>
  <c r="T23" i="37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Q25" i="35"/>
  <c r="AF23" i="35"/>
  <c r="E29" i="33"/>
  <c r="FB32" i="33"/>
  <c r="V17" i="37"/>
  <c r="J15" i="8"/>
  <c r="AF31" i="33"/>
  <c r="O13" i="37"/>
  <c r="O469" i="2" s="1"/>
  <c r="S20" i="37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FB29" i="33"/>
  <c r="U17" i="3"/>
  <c r="Z22" i="37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P17" i="27"/>
  <c r="B20" i="33"/>
  <c r="S18" i="35"/>
  <c r="N13" i="8"/>
  <c r="DJ10" i="33"/>
  <c r="AA14" i="37"/>
  <c r="AX7" i="33"/>
  <c r="AB12" i="37"/>
  <c r="Q19" i="8"/>
  <c r="Q23" i="37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N470" i="2" s="1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O471" i="2" s="1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L476" i="2" s="1"/>
  <c r="R25" i="35"/>
  <c r="B23" i="33"/>
  <c r="Q20" i="37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M475" i="2" s="1"/>
  <c r="S18" i="37"/>
  <c r="J21" i="33"/>
  <c r="EH20" i="33"/>
  <c r="Z13" i="37"/>
  <c r="X12" i="37"/>
  <c r="AC19" i="37"/>
  <c r="E29" i="35"/>
  <c r="K19" i="35"/>
  <c r="F24" i="27"/>
  <c r="G21" i="27"/>
  <c r="AA23" i="37"/>
  <c r="X17" i="37"/>
  <c r="P23" i="27"/>
  <c r="CT11" i="33"/>
  <c r="AG21" i="35"/>
  <c r="R22" i="35"/>
  <c r="GO3" i="33"/>
  <c r="V21" i="35"/>
  <c r="O17" i="37"/>
  <c r="O473" i="2" s="1"/>
  <c r="T35" i="33"/>
  <c r="Q29" i="35"/>
  <c r="L15" i="37"/>
  <c r="L471" i="2" s="1"/>
  <c r="H31" i="33"/>
  <c r="D14" i="8"/>
  <c r="H21" i="8"/>
  <c r="AA18" i="35"/>
  <c r="U13" i="37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FN33" i="33"/>
  <c r="BV28" i="33"/>
  <c r="R9" i="33"/>
  <c r="Q23" i="27"/>
  <c r="FH29" i="33"/>
  <c r="DJ21" i="33"/>
  <c r="B17" i="33"/>
  <c r="AA19" i="8"/>
  <c r="Y16" i="8"/>
  <c r="B9" i="33"/>
  <c r="J19" i="35"/>
  <c r="U23" i="37"/>
  <c r="F21" i="35"/>
  <c r="K17" i="8"/>
  <c r="Q13" i="8"/>
  <c r="AR28" i="33"/>
  <c r="T22" i="37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N35" i="33"/>
  <c r="AF20" i="35"/>
  <c r="D34" i="33"/>
  <c r="L19" i="27"/>
  <c r="CT34" i="33"/>
  <c r="AX34" i="33"/>
  <c r="Y23" i="37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CL21" i="33"/>
  <c r="T14" i="37"/>
  <c r="H19" i="8"/>
  <c r="EH23" i="33"/>
  <c r="Z21" i="37"/>
  <c r="EP17" i="33"/>
  <c r="B6" i="33"/>
  <c r="S17" i="37"/>
  <c r="AA27" i="27"/>
  <c r="G14" i="8"/>
  <c r="N19" i="35"/>
  <c r="DR15" i="33"/>
  <c r="AH5" i="33"/>
  <c r="DR17" i="33"/>
  <c r="O26" i="35"/>
  <c r="D35" i="33"/>
  <c r="K13" i="37"/>
  <c r="AB15" i="37"/>
  <c r="I21" i="3"/>
  <c r="C20" i="35"/>
  <c r="Y24" i="27"/>
  <c r="R20" i="3"/>
  <c r="S18" i="8"/>
  <c r="M20" i="37"/>
  <c r="M476" i="2" s="1"/>
  <c r="X23" i="37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FF3" i="33"/>
  <c r="HV27" i="33"/>
  <c r="K15" i="37"/>
  <c r="AP21" i="33"/>
  <c r="FF6" i="33"/>
  <c r="O18" i="8"/>
  <c r="CT27" i="33"/>
  <c r="N18" i="8"/>
  <c r="AH19" i="35"/>
  <c r="R16" i="8"/>
  <c r="FF7" i="33"/>
  <c r="F35" i="33"/>
  <c r="J26" i="35"/>
  <c r="R26" i="35"/>
  <c r="M22" i="37"/>
  <c r="M478" i="2" s="1"/>
  <c r="Y12" i="37"/>
  <c r="N25" i="35"/>
  <c r="Z15" i="37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N478" i="2" s="1"/>
  <c r="EP29" i="33"/>
  <c r="I20" i="3"/>
  <c r="DF27" i="33"/>
  <c r="R15" i="37"/>
  <c r="BJ27" i="33"/>
  <c r="G16" i="27"/>
  <c r="U20" i="37"/>
  <c r="T21" i="35"/>
  <c r="G31" i="33"/>
  <c r="H28" i="33"/>
  <c r="T20" i="37"/>
  <c r="S13" i="37"/>
  <c r="AB22" i="37"/>
  <c r="F28" i="35"/>
  <c r="CT8" i="33"/>
  <c r="E17" i="8"/>
  <c r="R23" i="37"/>
  <c r="FB33" i="33"/>
  <c r="R27" i="27"/>
  <c r="AA14" i="8"/>
  <c r="E23" i="27"/>
  <c r="L29" i="35"/>
  <c r="BN9" i="33"/>
  <c r="AC15" i="37"/>
  <c r="S23" i="3"/>
  <c r="CB32" i="33"/>
  <c r="N26" i="35"/>
  <c r="Y20" i="37"/>
  <c r="H35" i="33"/>
  <c r="N20" i="8"/>
  <c r="E18" i="8"/>
  <c r="BP32" i="33"/>
  <c r="L23" i="35"/>
  <c r="C17" i="8"/>
  <c r="K19" i="27"/>
  <c r="FF9" i="33"/>
  <c r="W22" i="35"/>
  <c r="D25" i="35"/>
  <c r="V13" i="37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CT4" i="33"/>
  <c r="B8" i="33"/>
  <c r="R29" i="35"/>
  <c r="EP6" i="33"/>
  <c r="R14" i="8"/>
  <c r="H23" i="27"/>
  <c r="DJ17" i="33"/>
  <c r="FH28" i="33"/>
  <c r="T19" i="8"/>
  <c r="L21" i="37"/>
  <c r="L477" i="2" s="1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C18" i="8"/>
  <c r="D23" i="35"/>
  <c r="EX15" i="33"/>
  <c r="F19" i="8"/>
  <c r="J25" i="27"/>
  <c r="R20" i="37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M471" i="2" s="1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M477" i="2" s="1"/>
  <c r="T16" i="27"/>
  <c r="Z26" i="35"/>
  <c r="X15" i="37"/>
  <c r="BF23" i="33"/>
  <c r="U18" i="35"/>
  <c r="X19" i="37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28" i="1"/>
  <c r="BI60" i="2"/>
  <c r="E18" i="1"/>
  <c r="BF80" i="2"/>
  <c r="BF81" i="2" s="1"/>
  <c r="E16" i="1"/>
  <c r="AS69" i="2"/>
  <c r="AS71" i="2" s="1"/>
  <c r="AT69" i="2"/>
  <c r="AT71" i="2" s="1"/>
  <c r="BE80" i="2"/>
  <c r="BE81" i="2" s="1"/>
  <c r="BD69" i="2"/>
  <c r="BD71" i="2" s="1"/>
  <c r="E14" i="1"/>
  <c r="AQ96" i="2"/>
  <c r="AQ100" i="2"/>
  <c r="E22" i="1"/>
  <c r="AU80" i="2"/>
  <c r="AU81" i="2" s="1"/>
  <c r="AV94" i="2"/>
  <c r="E13" i="1"/>
  <c r="EE130" i="1" s="1"/>
  <c r="GO51" i="1" s="1"/>
  <c r="GT51" i="1" s="1"/>
  <c r="C64" i="45" a="1"/>
  <c r="AQ103" i="2"/>
  <c r="AQ101" i="2"/>
  <c r="E19" i="1"/>
  <c r="E24" i="1"/>
  <c r="E27" i="1"/>
  <c r="AZ69" i="2"/>
  <c r="AZ71" i="2" s="1"/>
  <c r="AR80" i="2"/>
  <c r="AR81" i="2" s="1"/>
  <c r="EE42" i="1" l="1"/>
  <c r="EE127" i="1"/>
  <c r="GO53" i="1" s="1"/>
  <c r="GT53" i="1" s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R50" i="3" s="1"/>
  <c r="V42" i="36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H46" i="35" l="1"/>
  <c r="GO47" i="1"/>
  <c r="GT47" i="1" s="1"/>
  <c r="AH2" i="3"/>
  <c r="K51" i="8"/>
  <c r="S51" i="8"/>
  <c r="U51" i="8" s="1"/>
  <c r="GO45" i="1"/>
  <c r="GT45" i="1" s="1"/>
  <c r="S56" i="8"/>
  <c r="AE44" i="3"/>
  <c r="AJ2" i="3"/>
  <c r="S55" i="8"/>
  <c r="W55" i="8" s="1"/>
  <c r="AN55" i="8" s="1"/>
  <c r="S54" i="8"/>
  <c r="U54" i="8" s="1"/>
  <c r="S53" i="8"/>
  <c r="C62" i="27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W51" i="8" l="1"/>
  <c r="AN51" i="8" s="1"/>
  <c r="AB46" i="35"/>
  <c r="AE46" i="35" s="1"/>
  <c r="GU28" i="1"/>
  <c r="U53" i="8"/>
  <c r="W53" i="8"/>
  <c r="U56" i="8"/>
  <c r="W56" i="8"/>
  <c r="GU21" i="1"/>
  <c r="GU20" i="1"/>
  <c r="GU29" i="1"/>
  <c r="GU22" i="1"/>
  <c r="GU25" i="1"/>
  <c r="GU23" i="1"/>
  <c r="GU26" i="1"/>
  <c r="GU24" i="1"/>
  <c r="GU27" i="1"/>
  <c r="GU30" i="1"/>
  <c r="HE30" i="1" s="1"/>
  <c r="T55" i="51" s="1"/>
  <c r="W54" i="8"/>
  <c r="AB49" i="35"/>
  <c r="AE49" i="35" s="1"/>
  <c r="AB1" i="3"/>
  <c r="U55" i="8"/>
  <c r="AB48" i="35"/>
  <c r="AE48" i="35" s="1"/>
  <c r="Y55" i="8"/>
  <c r="Y51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GW28" i="1"/>
  <c r="GV28" i="1"/>
  <c r="P53" i="51" s="1"/>
  <c r="HE28" i="1"/>
  <c r="T53" i="51" s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HA28" i="1" l="1"/>
  <c r="HF28" i="1"/>
  <c r="A53" i="51" s="1"/>
  <c r="HB28" i="1"/>
  <c r="GY28" i="1"/>
  <c r="HC28" i="1"/>
  <c r="V53" i="51" s="1"/>
  <c r="HG28" i="1"/>
  <c r="C53" i="51" s="1"/>
  <c r="AK53" i="51" s="1"/>
  <c r="GX28" i="1"/>
  <c r="GZ28" i="1"/>
  <c r="HD28" i="1"/>
  <c r="X53" i="51" s="1"/>
  <c r="AN53" i="8"/>
  <c r="Y53" i="8"/>
  <c r="AN56" i="8"/>
  <c r="Y56" i="8"/>
  <c r="AN54" i="8"/>
  <c r="Y54" i="8"/>
  <c r="HE21" i="1"/>
  <c r="T46" i="51" s="1"/>
  <c r="HG21" i="1"/>
  <c r="C46" i="51" s="1"/>
  <c r="AK46" i="51" s="1"/>
  <c r="GW21" i="1"/>
  <c r="HF21" i="1"/>
  <c r="A46" i="51" s="1"/>
  <c r="GV21" i="1"/>
  <c r="P46" i="51" s="1"/>
  <c r="GZ21" i="1"/>
  <c r="GY21" i="1"/>
  <c r="HB21" i="1"/>
  <c r="HA21" i="1"/>
  <c r="GX21" i="1"/>
  <c r="HC21" i="1"/>
  <c r="V46" i="51" s="1"/>
  <c r="HD21" i="1"/>
  <c r="X46" i="51" s="1"/>
  <c r="HA20" i="1"/>
  <c r="GX20" i="1"/>
  <c r="HC20" i="1"/>
  <c r="GW20" i="1"/>
  <c r="HB20" i="1"/>
  <c r="GV20" i="1"/>
  <c r="GY20" i="1"/>
  <c r="HE20" i="1"/>
  <c r="HG20" i="1"/>
  <c r="HD20" i="1"/>
  <c r="GW29" i="1"/>
  <c r="HE29" i="1"/>
  <c r="T54" i="51" s="1"/>
  <c r="HA29" i="1"/>
  <c r="GV29" i="1"/>
  <c r="P54" i="51" s="1"/>
  <c r="GZ20" i="1"/>
  <c r="HF20" i="1"/>
  <c r="GY29" i="1"/>
  <c r="GZ29" i="1"/>
  <c r="HG29" i="1"/>
  <c r="C54" i="51" s="1"/>
  <c r="AK54" i="51" s="1"/>
  <c r="GX29" i="1"/>
  <c r="HD29" i="1"/>
  <c r="X54" i="51" s="1"/>
  <c r="HC29" i="1"/>
  <c r="V54" i="51" s="1"/>
  <c r="HF29" i="1"/>
  <c r="A55" i="51" s="1"/>
  <c r="HB29" i="1"/>
  <c r="GX22" i="1"/>
  <c r="HB22" i="1"/>
  <c r="HB23" i="1"/>
  <c r="GY23" i="1"/>
  <c r="HD23" i="1"/>
  <c r="X48" i="51" s="1"/>
  <c r="HE23" i="1"/>
  <c r="T48" i="51" s="1"/>
  <c r="GX23" i="1"/>
  <c r="GX26" i="1"/>
  <c r="HE26" i="1"/>
  <c r="T51" i="51" s="1"/>
  <c r="HG26" i="1"/>
  <c r="C51" i="51" s="1"/>
  <c r="AK51" i="51" s="1"/>
  <c r="GV26" i="1"/>
  <c r="P51" i="51" s="1"/>
  <c r="HD26" i="1"/>
  <c r="X51" i="51" s="1"/>
  <c r="GY26" i="1"/>
  <c r="GZ26" i="1"/>
  <c r="HB26" i="1"/>
  <c r="HC26" i="1"/>
  <c r="V51" i="51" s="1"/>
  <c r="HF26" i="1"/>
  <c r="A51" i="51" s="1"/>
  <c r="HA22" i="1"/>
  <c r="GV22" i="1"/>
  <c r="P47" i="51" s="1"/>
  <c r="GW23" i="1"/>
  <c r="HG23" i="1"/>
  <c r="C48" i="51" s="1"/>
  <c r="AK48" i="51" s="1"/>
  <c r="HF23" i="1"/>
  <c r="A48" i="51" s="1"/>
  <c r="GV23" i="1"/>
  <c r="P48" i="51" s="1"/>
  <c r="HA23" i="1"/>
  <c r="GZ23" i="1"/>
  <c r="HC23" i="1"/>
  <c r="V48" i="51" s="1"/>
  <c r="HB30" i="1"/>
  <c r="GX30" i="1"/>
  <c r="GZ30" i="1"/>
  <c r="HC30" i="1"/>
  <c r="V55" i="51" s="1"/>
  <c r="HG30" i="1"/>
  <c r="C55" i="51" s="1"/>
  <c r="AK55" i="51" s="1"/>
  <c r="HA30" i="1"/>
  <c r="GW30" i="1"/>
  <c r="GY30" i="1"/>
  <c r="HD30" i="1"/>
  <c r="X55" i="51" s="1"/>
  <c r="Z55" i="51" s="1"/>
  <c r="HF30" i="1"/>
  <c r="HF25" i="1"/>
  <c r="A50" i="51" s="1"/>
  <c r="GY25" i="1"/>
  <c r="HE25" i="1"/>
  <c r="T50" i="51" s="1"/>
  <c r="GW25" i="1"/>
  <c r="HB25" i="1"/>
  <c r="HG25" i="1"/>
  <c r="C50" i="51" s="1"/>
  <c r="AK50" i="51" s="1"/>
  <c r="HC25" i="1"/>
  <c r="V50" i="51" s="1"/>
  <c r="HA25" i="1"/>
  <c r="GX25" i="1"/>
  <c r="GZ25" i="1"/>
  <c r="GV25" i="1"/>
  <c r="P50" i="51" s="1"/>
  <c r="HD25" i="1"/>
  <c r="X50" i="51" s="1"/>
  <c r="HD24" i="1"/>
  <c r="X49" i="51" s="1"/>
  <c r="HC24" i="1"/>
  <c r="V49" i="51" s="1"/>
  <c r="GY24" i="1"/>
  <c r="GZ24" i="1"/>
  <c r="HG27" i="1"/>
  <c r="C52" i="51" s="1"/>
  <c r="AK52" i="51" s="1"/>
  <c r="HC27" i="1"/>
  <c r="V52" i="51" s="1"/>
  <c r="HE27" i="1"/>
  <c r="T52" i="51" s="1"/>
  <c r="GZ27" i="1"/>
  <c r="HA27" i="1"/>
  <c r="HF27" i="1"/>
  <c r="A52" i="51" s="1"/>
  <c r="HB27" i="1"/>
  <c r="GW27" i="1"/>
  <c r="GY27" i="1"/>
  <c r="GX27" i="1"/>
  <c r="HD27" i="1"/>
  <c r="X52" i="51" s="1"/>
  <c r="GV27" i="1"/>
  <c r="P52" i="51" s="1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Z53" i="51"/>
  <c r="Y50" i="8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AN58" i="8" l="1"/>
  <c r="O32" i="1" s="1"/>
  <c r="Z54" i="51"/>
  <c r="Z46" i="51"/>
  <c r="Z49" i="51"/>
  <c r="Z48" i="51"/>
  <c r="A54" i="51"/>
  <c r="Z51" i="51"/>
  <c r="AN46" i="51"/>
  <c r="Z50" i="51"/>
  <c r="Z52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S114" i="2"/>
  <c r="O4" i="1"/>
  <c r="AM21" i="51"/>
  <c r="H32" i="51"/>
  <c r="AM19" i="51"/>
  <c r="AM20" i="51"/>
  <c r="A32" i="51"/>
  <c r="L32" i="51"/>
  <c r="I41" i="51" s="1"/>
  <c r="AP55" i="51" l="1"/>
  <c r="O2" i="1" a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<sst xmlns="http://schemas.openxmlformats.org/spreadsheetml/2006/main" count="11546" uniqueCount="2539">
  <si>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</si>
  <si>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</si>
  <si>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</si>
  <si>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</si>
  <si>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</si>
  <si>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</si>
  <si>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</si>
  <si>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</si>
  <si>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</si>
  <si>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</si>
  <si>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</si>
  <si>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</si>
  <si>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</si>
  <si>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</si>
  <si>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</si>
  <si>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</si>
  <si>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</si>
  <si>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</si>
  <si>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</si>
  <si>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</si>
  <si>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</si>
  <si>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</si>
  <si>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</si>
  <si>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</si>
  <si>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</si>
  <si>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</si>
  <si>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</si>
  <si>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</si>
  <si>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</si>
  <si>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</si>
  <si>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</si>
  <si>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</si>
  <si>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</si>
  <si>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</si>
  <si>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</si>
  <si>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</si>
  <si>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</si>
  <si>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</si>
  <si>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</si>
  <si>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</si>
  <si>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</si>
  <si>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</si>
  <si>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</si>
  <si>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</si>
  <si>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</si>
  <si>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</si>
  <si>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</si>
  <si>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</si>
  <si>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</si>
  <si>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</si>
  <si>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</si>
  <si>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</si>
  <si>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</si>
  <si>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</si>
  <si>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</si>
  <si>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</si>
  <si>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</si>
  <si>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</si>
  <si>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</si>
  <si>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</si>
  <si>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</si>
  <si>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</si>
  <si>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</si>
  <si>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</si>
  <si>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</si>
  <si>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</si>
  <si>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</si>
  <si>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</si>
  <si>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</si>
  <si>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</si>
  <si>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</si>
  <si>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</si>
  <si>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</si>
  <si>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</si>
  <si>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</si>
  <si>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</si>
  <si>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</si>
  <si>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</si>
  <si>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</si>
  <si>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</si>
  <si>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</si>
  <si>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</si>
  <si>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</si>
  <si>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</si>
  <si>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</si>
  <si>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</si>
  <si>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</si>
  <si>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</si>
  <si>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</si>
  <si>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</si>
  <si>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</si>
  <si>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</si>
  <si>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</si>
  <si>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</si>
  <si>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</si>
  <si>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</si>
  <si>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</si>
  <si>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</si>
  <si>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</si>
  <si>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</si>
  <si>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</si>
  <si>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</si>
  <si>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</si>
  <si>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</si>
  <si>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</si>
  <si>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</si>
  <si>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</si>
  <si>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</si>
  <si>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</si>
  <si>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</si>
  <si>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</si>
  <si>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</si>
  <si>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</si>
  <si>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</si>
  <si>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</si>
  <si>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</si>
  <si>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</si>
  <si>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</si>
  <si>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</si>
  <si>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</si>
  <si>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</si>
  <si>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</si>
  <si>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</si>
  <si>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</si>
  <si>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</si>
  <si>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</si>
  <si>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</si>
  <si>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</si>
  <si>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</si>
  <si>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</si>
  <si>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</si>
  <si>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</si>
  <si>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</si>
  <si>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</si>
  <si>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</si>
  <si>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</si>
  <si>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</si>
  <si>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</si>
  <si>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</si>
  <si>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</si>
  <si>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</si>
  <si>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</si>
  <si>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</si>
  <si>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</si>
  <si>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</si>
  <si>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</si>
  <si>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</si>
  <si>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</si>
  <si>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</si>
  <si>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</si>
  <si>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</si>
  <si>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</si>
  <si>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</si>
  <si>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</si>
  <si>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</si>
  <si>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</si>
  <si>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</si>
  <si>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</si>
  <si>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</si>
  <si>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</si>
  <si>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</si>
  <si>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</si>
  <si>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</si>
  <si>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</si>
  <si>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</si>
  <si>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</si>
  <si>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</si>
  <si>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</si>
  <si>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</si>
  <si>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</si>
  <si>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</si>
  <si>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</si>
  <si>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</si>
  <si>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</si>
  <si>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</si>
  <si>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</si>
  <si>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</si>
  <si>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</si>
  <si>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</si>
  <si>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</si>
  <si>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</si>
  <si>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</si>
  <si>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</si>
  <si>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</si>
  <si>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</si>
  <si>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</si>
  <si>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</si>
  <si>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</si>
  <si>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</si>
  <si>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</si>
  <si>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</si>
  <si>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</si>
  <si>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</si>
  <si>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</si>
  <si>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</si>
  <si>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</si>
  <si>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</si>
  <si>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</si>
  <si>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</si>
  <si>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</si>
  <si>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</si>
  <si>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</si>
  <si>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</si>
  <si>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</si>
  <si>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</si>
  <si>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</si>
  <si>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</si>
  <si>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</si>
  <si>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</si>
  <si>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</si>
  <si>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</si>
  <si>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</si>
  <si>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</si>
  <si>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</si>
  <si>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</si>
  <si>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</si>
  <si>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</si>
  <si>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</si>
  <si>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</si>
  <si>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</si>
  <si>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</si>
  <si>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</si>
  <si>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</si>
  <si>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</si>
  <si>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</si>
  <si>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</si>
  <si>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</si>
  <si>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</si>
  <si>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</si>
  <si>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</si>
  <si>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</si>
  <si>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</si>
  <si>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</si>
  <si>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</si>
  <si>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</si>
  <si>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</si>
  <si>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</si>
  <si>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</si>
  <si>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</si>
  <si>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</si>
  <si>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</si>
  <si>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</si>
  <si>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</si>
  <si>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</si>
  <si>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</si>
  <si>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</si>
  <si>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</si>
  <si>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</si>
  <si>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</si>
  <si>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</si>
  <si>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</si>
  <si>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</si>
  <si>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</si>
  <si>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</si>
  <si>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</si>
  <si>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</si>
  <si>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</si>
  <si>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</si>
  <si>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</si>
  <si>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</si>
  <si>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</si>
  <si>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</si>
  <si>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</si>
  <si>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</si>
  <si>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</si>
  <si>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</si>
  <si>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</si>
  <si>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</si>
  <si>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</si>
  <si>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</si>
  <si>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</si>
  <si>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</si>
  <si>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</si>
  <si>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</si>
  <si>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</si>
  <si>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</si>
  <si>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</si>
  <si>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</si>
  <si>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</si>
  <si>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</si>
  <si>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</si>
  <si>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</si>
  <si>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</si>
  <si>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</si>
  <si>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</si>
  <si>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</si>
  <si>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</si>
  <si>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</si>
  <si>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</si>
  <si>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</si>
  <si>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</si>
  <si>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</si>
  <si>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</si>
  <si>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</si>
  <si>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</si>
  <si>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</si>
  <si>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</si>
  <si>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</si>
  <si>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</si>
  <si>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</si>
  <si>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</si>
  <si>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</si>
  <si>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</si>
  <si>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</si>
  <si>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</si>
  <si>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</si>
  <si>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</si>
  <si>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</si>
  <si>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</si>
  <si>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</si>
  <si>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</si>
  <si>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</si>
  <si>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</si>
  <si>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</si>
  <si>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</si>
  <si>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</si>
  <si>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</si>
  <si>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</si>
  <si>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</si>
  <si>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</si>
  <si>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</si>
  <si>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</si>
  <si>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</si>
  <si>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</si>
  <si>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</si>
  <si>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</si>
  <si>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</si>
  <si>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</si>
  <si>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</si>
  <si>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</si>
  <si>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</si>
  <si>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</si>
  <si>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</si>
  <si>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</si>
  <si>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</si>
  <si>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</si>
  <si>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</si>
  <si>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</si>
  <si>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</si>
  <si>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</si>
  <si>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</si>
  <si>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</si>
  <si>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</si>
  <si>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</si>
  <si>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</si>
  <si>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</si>
  <si>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</si>
  <si>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</si>
  <si>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</si>
  <si>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</si>
  <si>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</si>
  <si>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</si>
  <si>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</si>
  <si>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</si>
  <si>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</si>
  <si>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</si>
  <si>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</si>
  <si>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</si>
  <si>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</si>
  <si>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</si>
  <si>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</si>
  <si>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</si>
  <si>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</si>
  <si>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</si>
  <si>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</si>
  <si>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</si>
  <si>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</si>
  <si>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</si>
  <si>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</si>
  <si>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</si>
  <si>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</si>
  <si>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</si>
  <si>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</si>
  <si>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</si>
  <si>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</si>
  <si>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</si>
  <si>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</si>
  <si>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</si>
  <si>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</si>
  <si>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</si>
  <si>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</si>
  <si>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</si>
  <si>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</si>
  <si>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</si>
  <si>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</si>
  <si>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</si>
  <si>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</si>
  <si>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</si>
  <si>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</si>
  <si>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</si>
  <si>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</si>
  <si>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</si>
  <si>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</si>
  <si>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</si>
  <si>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</si>
  <si>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</si>
  <si>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</si>
  <si>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</si>
  <si>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</si>
  <si>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</si>
  <si>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</si>
  <si>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</si>
  <si>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</si>
  <si>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</si>
  <si>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</si>
  <si>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</si>
  <si>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</si>
  <si>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</si>
  <si>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</si>
  <si>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</si>
  <si>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</si>
  <si>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</si>
  <si>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</si>
  <si>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</si>
  <si>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</si>
  <si>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</si>
  <si>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</si>
  <si>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</si>
  <si>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</si>
  <si>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</si>
  <si>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</si>
  <si>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</si>
  <si>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</si>
  <si>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</si>
  <si>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</si>
  <si>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</si>
  <si>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</si>
  <si>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</si>
  <si>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</si>
  <si>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</si>
  <si>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</si>
  <si>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</si>
  <si>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</si>
  <si>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</si>
  <si>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</si>
  <si>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</si>
  <si>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</si>
  <si>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</si>
  <si>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</si>
  <si>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</si>
  <si>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</si>
  <si>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</si>
  <si>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</si>
  <si>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</si>
  <si>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</si>
  <si>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</si>
  <si>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</si>
  <si>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</si>
  <si>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</si>
  <si>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</si>
  <si>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</si>
  <si>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</si>
  <si>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</si>
  <si>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</si>
  <si>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</si>
  <si>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</si>
  <si>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</si>
  <si>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</si>
  <si>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</si>
  <si>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</si>
  <si>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</si>
  <si>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</si>
  <si>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</si>
  <si>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</si>
  <si>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</si>
  <si>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</si>
  <si>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</si>
  <si>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</si>
  <si>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</si>
  <si>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</si>
  <si>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</si>
  <si>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</si>
  <si>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</si>
  <si>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</si>
  <si>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</si>
  <si>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</si>
  <si>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</si>
  <si>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</si>
  <si>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</si>
  <si>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</si>
  <si>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</si>
  <si>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</si>
  <si>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</si>
  <si>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</si>
  <si>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</si>
  <si>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</si>
  <si>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</si>
  <si>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</si>
  <si>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</si>
  <si>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</si>
  <si>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</si>
  <si>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</si>
  <si>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</si>
  <si>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</si>
  <si>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</si>
  <si>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</si>
  <si>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</si>
  <si>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</si>
  <si>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</si>
  <si>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</si>
  <si>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</si>
  <si>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</si>
  <si>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</si>
  <si>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</si>
  <si>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</si>
  <si>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</si>
  <si>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</si>
  <si>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</si>
  <si>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</si>
  <si>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</si>
  <si>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</si>
  <si>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</si>
  <si>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</si>
  <si>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</si>
  <si>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</si>
  <si>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</si>
  <si>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</si>
  <si>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</si>
  <si>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</si>
  <si>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</si>
  <si>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</si>
  <si>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</si>
  <si>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</si>
  <si>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</si>
  <si>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</si>
  <si>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</si>
  <si>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</si>
  <si>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</si>
  <si>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</si>
  <si>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</si>
  <si>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</si>
  <si>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</si>
  <si>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</si>
  <si>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</si>
  <si>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</si>
  <si>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</si>
  <si>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</si>
  <si>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</si>
  <si>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</si>
  <si>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</si>
  <si>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</si>
  <si>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</si>
  <si>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</si>
  <si>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</si>
  <si>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</si>
  <si>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</si>
  <si>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</si>
  <si>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</si>
  <si>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</si>
  <si>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</si>
  <si>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</si>
  <si>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</si>
  <si>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</si>
  <si>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</si>
  <si>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</si>
  <si>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</si>
  <si>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</si>
  <si>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</si>
  <si>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</si>
  <si>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</si>
  <si>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</si>
  <si>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</si>
  <si>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</si>
  <si>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</si>
  <si>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</si>
  <si>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</si>
  <si>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</si>
  <si>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</si>
  <si>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</si>
  <si>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</si>
  <si>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</si>
  <si>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</si>
  <si>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</si>
  <si>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</si>
  <si>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</si>
  <si>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</si>
  <si>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</si>
  <si>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</si>
  <si>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</si>
  <si>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</si>
  <si>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</si>
  <si>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</si>
  <si>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</si>
  <si>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</si>
  <si>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</si>
  <si>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</si>
  <si>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</si>
  <si>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</si>
  <si>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</si>
  <si>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</si>
  <si>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</si>
  <si>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</si>
  <si>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</si>
  <si>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</si>
  <si>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</si>
  <si>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</si>
  <si>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</si>
  <si>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</si>
  <si>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</si>
  <si>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</si>
  <si>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</si>
  <si>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</si>
  <si>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</si>
  <si>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</si>
  <si>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</si>
  <si>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</si>
  <si>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</si>
  <si>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</si>
  <si>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</si>
  <si>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</si>
  <si>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</si>
  <si>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</si>
  <si>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</si>
  <si>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</si>
  <si>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</si>
  <si>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</si>
  <si>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</si>
  <si>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</si>
  <si>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</si>
  <si>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</si>
  <si>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</si>
  <si>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</si>
  <si>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</si>
  <si>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</si>
  <si>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</si>
  <si>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</si>
  <si>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</si>
  <si>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</si>
  <si>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</si>
  <si>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</si>
  <si>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</si>
  <si>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</si>
  <si>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</si>
  <si>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</si>
  <si>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</si>
  <si>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</si>
  <si>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</si>
  <si>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</si>
  <si>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</si>
  <si>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</si>
  <si>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</si>
  <si>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</si>
  <si>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</si>
  <si>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</si>
  <si>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</si>
  <si>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</si>
  <si>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</si>
  <si>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</si>
  <si>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</si>
  <si>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</si>
  <si>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</si>
  <si>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</si>
  <si>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</si>
  <si>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</si>
  <si>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</si>
  <si>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</si>
  <si>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</si>
  <si>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</si>
  <si>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</si>
  <si>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</si>
  <si>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</si>
  <si>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</si>
  <si>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</si>
  <si>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</si>
  <si>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</si>
  <si>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</si>
  <si>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</si>
  <si>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</si>
  <si>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</si>
  <si>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</si>
  <si>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</si>
  <si>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</si>
  <si>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</si>
  <si>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</si>
  <si>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</si>
  <si>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</si>
  <si>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</si>
  <si>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</si>
  <si>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</si>
  <si>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</si>
  <si>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</si>
  <si>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</si>
  <si>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</si>
  <si>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</si>
  <si>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</si>
  <si>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</si>
  <si>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</si>
  <si>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</si>
  <si>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</si>
  <si>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</si>
  <si>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</si>
  <si>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</si>
  <si>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</si>
  <si>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</si>
  <si>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</si>
  <si>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</si>
  <si>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</si>
  <si>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</si>
  <si>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</si>
  <si>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</si>
  <si>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</si>
  <si>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</si>
  <si>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</si>
  <si>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</si>
  <si>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</si>
  <si>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</si>
  <si>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</si>
  <si>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</si>
  <si>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</si>
  <si>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</si>
  <si>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</si>
  <si>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</si>
  <si>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</si>
  <si>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</si>
  <si>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</si>
  <si>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</si>
  <si>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</si>
  <si>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</si>
  <si>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</si>
  <si>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</si>
  <si>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</si>
  <si>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</si>
  <si>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</si>
  <si>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</si>
  <si>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</si>
  <si>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</si>
  <si>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</si>
  <si>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</si>
  <si>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</si>
  <si>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</si>
  <si>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</si>
  <si>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</si>
  <si>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</si>
  <si>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</si>
  <si>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</si>
  <si>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</si>
  <si>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</si>
  <si>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</si>
  <si>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</si>
  <si>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</si>
  <si>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</si>
  <si>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</si>
  <si>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</si>
  <si>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</si>
  <si>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</si>
  <si>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</si>
  <si>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</si>
  <si>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</si>
  <si>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</si>
  <si>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</si>
  <si>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</si>
  <si>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</si>
  <si>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</si>
  <si>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</si>
  <si>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</si>
  <si>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</si>
  <si>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</si>
  <si>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</si>
  <si>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</si>
  <si>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</si>
  <si>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</si>
  <si>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</si>
  <si>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</si>
  <si>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</si>
  <si>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</si>
  <si>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</si>
  <si>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</si>
  <si>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</si>
  <si>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</si>
  <si>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</si>
  <si>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</si>
  <si>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</si>
  <si>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</si>
  <si>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</si>
  <si>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</si>
  <si>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</si>
  <si>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</si>
  <si>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</si>
  <si>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</si>
  <si>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</si>
  <si>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</si>
  <si>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</si>
  <si>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</si>
  <si>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</si>
  <si>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</si>
  <si>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</si>
  <si>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</si>
  <si>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</si>
  <si>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</si>
  <si>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</si>
  <si>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</si>
  <si>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</si>
  <si>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</si>
  <si>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</si>
  <si>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</si>
  <si>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</si>
  <si>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</si>
  <si>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</si>
  <si>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</si>
  <si>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</si>
  <si>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</si>
  <si>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</si>
  <si>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</si>
  <si>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</si>
  <si>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</si>
  <si>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</si>
  <si>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</si>
  <si>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</si>
  <si>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</si>
  <si>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</si>
  <si>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</si>
  <si>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</si>
  <si>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</si>
  <si>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</si>
  <si>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</si>
  <si>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</si>
  <si>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</si>
  <si>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</si>
  <si>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</si>
  <si>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</si>
  <si>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</si>
  <si>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</si>
  <si>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</si>
  <si>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</si>
  <si>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</si>
  <si>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</si>
  <si>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</si>
  <si>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</si>
  <si>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</si>
  <si>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</si>
  <si>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</si>
  <si>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</si>
  <si>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</si>
  <si>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</si>
  <si>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</si>
  <si>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</si>
  <si>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</si>
  <si>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</si>
  <si>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</si>
  <si>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</si>
  <si>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</si>
  <si>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</si>
  <si>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</si>
  <si>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</si>
  <si>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</si>
  <si>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</si>
  <si>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</si>
  <si>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</si>
  <si>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</si>
  <si>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</si>
  <si>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</si>
  <si>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</si>
  <si>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</si>
  <si>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</si>
  <si>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</si>
  <si>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</si>
  <si>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</si>
  <si>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</si>
  <si>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</si>
  <si>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</si>
  <si>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</si>
  <si>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</si>
  <si>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</si>
  <si>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</si>
  <si>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</si>
  <si>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</si>
  <si>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</si>
  <si>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</si>
  <si>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</si>
  <si>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</si>
  <si>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</si>
  <si>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</si>
  <si>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</si>
  <si>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</si>
  <si>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</si>
  <si>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</si>
  <si>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</si>
  <si>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</si>
  <si>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</si>
  <si>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</si>
  <si>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</si>
  <si>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</si>
  <si>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</si>
  <si>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</si>
  <si>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</si>
  <si>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</si>
  <si>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</si>
  <si>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</si>
  <si>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</si>
  <si>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</si>
  <si>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</si>
  <si>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</si>
  <si>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</si>
  <si>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</si>
  <si>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</si>
  <si>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</si>
  <si>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</si>
  <si>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</si>
  <si>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</si>
  <si>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</si>
  <si>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</si>
  <si>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</si>
  <si>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</si>
  <si>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</si>
  <si>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</si>
  <si>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</si>
  <si>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</si>
  <si>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</si>
  <si>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</si>
  <si>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</si>
  <si>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</si>
  <si>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</si>
  <si>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</si>
  <si>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</si>
  <si>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</si>
  <si>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</si>
  <si>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</si>
  <si>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</si>
  <si>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</si>
  <si>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</si>
  <si>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</si>
  <si>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</si>
  <si>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</si>
  <si>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</si>
  <si>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</si>
  <si>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</si>
  <si>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</si>
  <si>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</si>
  <si>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</si>
  <si>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</si>
  <si>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</si>
  <si>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</si>
  <si>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</si>
  <si>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</si>
  <si>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</si>
  <si>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</si>
  <si>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</si>
  <si>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</si>
  <si>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</si>
  <si>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</si>
  <si>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</si>
  <si>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</si>
  <si>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</si>
  <si>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</si>
  <si>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</si>
  <si>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</si>
  <si>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</si>
  <si>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</si>
  <si>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</si>
  <si>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</si>
  <si>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</si>
  <si>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</si>
  <si>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</si>
  <si>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</si>
  <si>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</si>
  <si>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</si>
  <si>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</si>
  <si>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</si>
  <si>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</si>
  <si>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</si>
  <si>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</si>
  <si>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</si>
  <si>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</si>
  <si>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</si>
  <si>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</si>
  <si>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</si>
  <si>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</si>
  <si>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</si>
  <si>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</si>
  <si>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</si>
  <si>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</si>
  <si>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</si>
  <si>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</si>
  <si>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</si>
  <si>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</si>
  <si>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</si>
  <si>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</si>
  <si>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</si>
  <si>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</si>
  <si>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</si>
  <si>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</si>
  <si>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</si>
  <si>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</si>
  <si>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</si>
  <si>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</si>
  <si>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</si>
  <si>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</si>
  <si>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</si>
  <si>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</si>
  <si>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</si>
  <si>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</si>
  <si>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</si>
  <si>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</si>
  <si>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</si>
  <si>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</si>
  <si>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</si>
  <si>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</si>
  <si>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</si>
  <si>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</si>
  <si>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</si>
  <si>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</si>
  <si>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</si>
  <si>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</si>
  <si>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</si>
  <si>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</si>
  <si>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</si>
  <si>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</si>
  <si>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</si>
  <si>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</si>
  <si>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</si>
  <si>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</si>
  <si>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</si>
  <si>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</si>
  <si>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</si>
  <si>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</si>
  <si>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</si>
  <si>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</si>
  <si>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</si>
  <si>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</si>
  <si>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</si>
  <si>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</si>
  <si>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</si>
  <si>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</si>
  <si>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</si>
  <si>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</si>
  <si>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</si>
  <si>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</si>
  <si>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</si>
  <si>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</si>
  <si>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</si>
  <si>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</si>
  <si>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</si>
  <si>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</si>
  <si>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</si>
  <si>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</si>
  <si>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</si>
  <si>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</si>
  <si>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</si>
  <si>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</si>
  <si>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</si>
  <si>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</si>
  <si>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</si>
  <si>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</si>
  <si>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</si>
  <si>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</si>
  <si>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</si>
  <si>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</si>
  <si>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</si>
  <si>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</si>
  <si>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</si>
  <si>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</si>
  <si>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</si>
  <si>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</si>
  <si>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</si>
  <si>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</si>
  <si>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</si>
  <si>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</si>
  <si>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</si>
  <si>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</si>
  <si>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</si>
  <si>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</si>
  <si>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</si>
  <si>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</si>
  <si>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</si>
  <si>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</si>
  <si>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</si>
  <si>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</si>
  <si>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</si>
  <si>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</si>
  <si>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</si>
  <si>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</si>
  <si>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</si>
  <si>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</si>
  <si>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</si>
  <si>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</si>
  <si>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</si>
  <si>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</si>
  <si>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</si>
  <si>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</si>
  <si>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</si>
  <si>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</si>
  <si>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</si>
  <si>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</si>
  <si>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</si>
  <si>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</si>
  <si>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</si>
  <si>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</si>
  <si>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</si>
  <si>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</si>
  <si>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</si>
  <si>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</si>
  <si>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</si>
  <si>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</si>
  <si>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</si>
  <si>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</si>
  <si>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</si>
  <si>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</si>
  <si>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</si>
  <si>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</si>
  <si>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</si>
  <si>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</si>
  <si>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</si>
  <si>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</si>
  <si>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</si>
  <si>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</si>
  <si>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</si>
  <si>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</si>
  <si>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</si>
  <si>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</si>
  <si>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</si>
  <si>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</si>
  <si>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</si>
  <si>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</si>
  <si>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</si>
  <si>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</si>
  <si>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</si>
  <si>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</si>
  <si>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</si>
  <si>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</si>
  <si>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</si>
  <si>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</si>
  <si>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</si>
  <si>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</si>
  <si>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</si>
  <si>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</si>
  <si>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</si>
  <si>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</si>
  <si>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</si>
  <si>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</si>
  <si>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</si>
  <si>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</si>
  <si>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</si>
  <si>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</si>
  <si>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</si>
  <si>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</si>
  <si>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</si>
  <si>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</si>
  <si>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</si>
  <si>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</si>
  <si>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</si>
  <si>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</si>
  <si>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</si>
  <si>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</si>
  <si>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</si>
  <si>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</si>
  <si>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</si>
  <si>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</si>
  <si>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</si>
  <si>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</si>
  <si>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</si>
  <si>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</si>
  <si>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</si>
  <si>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</si>
  <si>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</si>
  <si>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</si>
  <si>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</si>
  <si>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</si>
  <si>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</si>
  <si>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</si>
  <si>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</si>
  <si>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</si>
  <si>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</si>
  <si>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</si>
  <si>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</si>
  <si>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</si>
  <si>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</si>
  <si>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</si>
  <si>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</si>
  <si>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</si>
  <si>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</si>
  <si>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</si>
  <si>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</si>
  <si>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</si>
  <si>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</si>
  <si>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</si>
  <si>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</si>
  <si>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</si>
  <si>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</si>
  <si>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</si>
  <si>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</si>
  <si>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</si>
  <si>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</si>
  <si>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</si>
  <si>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</si>
  <si>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</si>
  <si>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</si>
  <si>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</si>
  <si>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</si>
  <si>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</si>
  <si>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</si>
  <si>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</si>
  <si>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</si>
  <si>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</si>
  <si>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</si>
  <si>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</si>
  <si>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</si>
  <si>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</si>
  <si>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</si>
  <si>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</si>
  <si>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</si>
  <si>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</si>
  <si>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</si>
  <si>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</si>
  <si>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</si>
  <si>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</si>
  <si>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</si>
  <si>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</si>
  <si>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</si>
  <si>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</si>
  <si>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</si>
  <si>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</si>
  <si>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</si>
  <si>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</si>
  <si>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</si>
  <si>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</si>
  <si>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</si>
  <si>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</si>
  <si>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</si>
  <si>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</si>
  <si>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</si>
  <si>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</si>
  <si>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</si>
  <si>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</si>
  <si>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</si>
  <si>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</si>
  <si>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</si>
  <si>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</si>
  <si>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</si>
  <si>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</si>
  <si>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</si>
  <si>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</si>
  <si>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</si>
  <si>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</si>
  <si>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</si>
  <si>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</si>
  <si>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</si>
  <si>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</si>
  <si>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</si>
  <si>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</si>
  <si>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</si>
  <si>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</si>
  <si>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</si>
  <si>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</si>
  <si>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</si>
  <si>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</si>
  <si>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</si>
  <si>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</si>
  <si>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</si>
  <si>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</si>
  <si>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</si>
  <si>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</si>
  <si>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</si>
  <si>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</si>
  <si>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</si>
  <si>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</si>
  <si>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</si>
  <si>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</si>
  <si>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</si>
  <si>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</si>
  <si>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</si>
  <si>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</si>
  <si>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</si>
  <si>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</si>
  <si>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</si>
  <si>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</si>
  <si>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</si>
  <si>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</si>
  <si>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</si>
  <si>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</si>
  <si>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</si>
  <si>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</si>
  <si>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</si>
  <si>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</si>
  <si>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</si>
  <si>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</si>
  <si>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</si>
  <si>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</si>
  <si>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</si>
  <si>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</si>
  <si>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</si>
  <si>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</si>
  <si>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</si>
  <si>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</si>
  <si>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</si>
  <si>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</si>
  <si>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</si>
  <si>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</si>
  <si>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</si>
  <si>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</si>
  <si>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</si>
  <si>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</si>
  <si>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</si>
  <si>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</si>
  <si>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</si>
  <si>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</si>
  <si>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</si>
  <si>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</si>
  <si>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</si>
  <si>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</si>
  <si>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</si>
  <si>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</si>
  <si>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</si>
  <si>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</si>
  <si>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</si>
  <si>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</si>
  <si>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</si>
  <si>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</si>
  <si>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</si>
  <si>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</si>
  <si>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</si>
  <si>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</si>
  <si>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</si>
  <si>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</si>
  <si>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</si>
  <si>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</si>
  <si>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</si>
  <si>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</si>
  <si>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</si>
  <si>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</si>
  <si>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</si>
  <si>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</si>
  <si>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</si>
  <si>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</si>
  <si>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</si>
  <si>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</si>
  <si>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</si>
  <si>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</si>
  <si>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</si>
  <si>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</si>
  <si>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</si>
  <si>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</si>
  <si>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</si>
  <si>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</si>
  <si>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</si>
  <si>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</si>
  <si>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</si>
  <si>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</si>
  <si>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</si>
  <si>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</si>
  <si>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</si>
  <si>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</si>
  <si>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</si>
  <si>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</si>
  <si>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</si>
  <si>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</si>
  <si>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</si>
  <si>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</si>
  <si>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</si>
  <si>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</si>
  <si>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</si>
  <si>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</si>
  <si>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</si>
  <si>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</si>
  <si>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</si>
  <si>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</si>
  <si>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</si>
  <si>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</si>
  <si>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</si>
  <si>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</si>
  <si>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</si>
  <si>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</si>
  <si>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</si>
  <si>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</si>
  <si>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</si>
  <si>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</si>
  <si>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</si>
  <si>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</si>
  <si>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</si>
  <si>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</si>
  <si>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</si>
  <si>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</si>
  <si>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</si>
  <si>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</si>
  <si>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</si>
  <si>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</si>
  <si>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</si>
  <si>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</si>
  <si>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</si>
  <si>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</si>
  <si>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</si>
  <si>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</si>
  <si>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</si>
  <si>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</si>
  <si>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</si>
  <si>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</si>
  <si>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</si>
  <si>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</si>
  <si>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</si>
  <si>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</si>
  <si>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</si>
  <si>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</si>
  <si>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</si>
  <si>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</si>
  <si>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</si>
  <si>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</si>
  <si>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</si>
  <si>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</si>
  <si>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</si>
  <si>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</si>
  <si>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</si>
  <si>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</si>
  <si>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</si>
  <si>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</si>
  <si>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</si>
  <si>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</si>
  <si>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</si>
  <si>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</si>
  <si>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</si>
  <si>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</si>
  <si>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</si>
  <si>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</si>
  <si>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</si>
  <si>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</si>
  <si>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</si>
  <si>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</si>
  <si>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</si>
  <si>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</si>
  <si>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</si>
  <si>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</si>
  <si>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</si>
  <si>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</si>
  <si>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</si>
  <si>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</si>
  <si>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</si>
  <si>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</si>
  <si>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</si>
  <si>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</si>
  <si>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</si>
  <si>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</si>
  <si>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</si>
  <si>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</si>
  <si>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</si>
  <si>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</si>
  <si>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</si>
  <si>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</si>
  <si>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</si>
  <si>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</si>
  <si>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</si>
  <si>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</si>
  <si>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</si>
  <si>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</si>
  <si>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</si>
  <si>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</si>
  <si>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</si>
  <si>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</si>
  <si>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</si>
  <si>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</si>
  <si>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</si>
  <si>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</si>
  <si>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</si>
  <si>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</si>
  <si>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</si>
  <si>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</si>
  <si>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</si>
  <si>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</si>
  <si>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</si>
  <si>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</si>
  <si>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</si>
  <si>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</si>
  <si>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</si>
  <si>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</si>
  <si>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</si>
  <si>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</si>
  <si>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</si>
  <si>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</si>
  <si>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</si>
  <si>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</si>
  <si>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</si>
  <si>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</si>
  <si>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</si>
  <si>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</si>
  <si>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</si>
  <si>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</si>
  <si>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</si>
  <si>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</si>
  <si>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</si>
  <si>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</si>
  <si>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</si>
  <si>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</si>
  <si>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</si>
  <si>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</si>
  <si>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</si>
  <si>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</si>
  <si>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</si>
  <si>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</si>
  <si>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</si>
  <si>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</si>
  <si>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</si>
  <si>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</si>
  <si>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</si>
  <si>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</si>
  <si>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</si>
  <si>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</si>
  <si>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</si>
  <si>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</si>
  <si>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</si>
  <si>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</si>
  <si>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</si>
  <si>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</si>
  <si>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</si>
  <si>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</si>
  <si>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</si>
  <si>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</si>
  <si>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</si>
  <si>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</si>
  <si>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</si>
  <si>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</si>
  <si>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</si>
  <si>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</si>
  <si>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</si>
  <si>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</si>
  <si>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</si>
  <si>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</si>
  <si>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</si>
  <si>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</si>
  <si>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</si>
  <si>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</si>
  <si>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</si>
  <si>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</si>
  <si>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</si>
  <si>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</si>
  <si>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</si>
  <si>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</si>
  <si>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</si>
  <si>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</si>
  <si>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</si>
  <si>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</si>
  <si>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</si>
  <si>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</si>
  <si>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</si>
  <si>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</si>
  <si>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</si>
  <si>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</si>
  <si>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</si>
  <si>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</si>
  <si>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</si>
  <si>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</si>
  <si>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</si>
  <si>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</si>
  <si>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</si>
  <si>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</si>
  <si>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</si>
  <si>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</si>
  <si>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</si>
  <si>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</si>
  <si>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</si>
  <si>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</si>
  <si>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</si>
  <si>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</si>
  <si>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</si>
  <si>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</si>
  <si>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</si>
  <si>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</si>
  <si>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</si>
  <si>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</si>
  <si>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</si>
  <si>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</si>
  <si>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</si>
  <si>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</si>
  <si>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</si>
  <si>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</si>
  <si>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</si>
  <si>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</si>
  <si>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</si>
  <si>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</si>
  <si>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</si>
  <si>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</si>
  <si>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</si>
  <si>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</si>
  <si>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</si>
  <si>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</si>
  <si>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</si>
  <si>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</si>
  <si>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</si>
  <si>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</si>
  <si>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</si>
  <si>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</si>
  <si>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</si>
  <si>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</si>
  <si>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</si>
  <si>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</si>
  <si>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</si>
  <si>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</si>
  <si>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</si>
  <si>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</si>
  <si>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</si>
  <si>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</si>
  <si>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</si>
  <si>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</si>
  <si>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</si>
  <si>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</si>
  <si>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</si>
  <si>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</si>
  <si>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</si>
  <si>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</si>
  <si>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</si>
  <si>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</si>
  <si>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</si>
  <si>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</si>
  <si>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</si>
  <si>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</si>
  <si>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</si>
  <si>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</si>
  <si>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</si>
  <si>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</si>
  <si>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</si>
  <si>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</si>
  <si>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</si>
  <si>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</si>
  <si>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</si>
  <si>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</si>
  <si>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</si>
  <si>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</si>
  <si>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</si>
  <si>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</si>
  <si>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</si>
  <si>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</si>
  <si>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</si>
  <si>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</si>
  <si>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</si>
  <si>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</si>
  <si>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</si>
  <si>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</si>
  <si>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</si>
  <si>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</si>
  <si>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</si>
  <si>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</si>
  <si>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</si>
  <si>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</si>
  <si>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</si>
  <si>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</si>
  <si>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</si>
  <si>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</si>
  <si>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</si>
  <si>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</si>
  <si>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</si>
  <si>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</si>
  <si>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</si>
  <si>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</si>
  <si>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</si>
  <si>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</si>
  <si>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</si>
  <si>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</si>
  <si>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</si>
  <si>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</si>
  <si>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</si>
  <si>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</si>
  <si>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</si>
  <si>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</si>
  <si>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</si>
  <si>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</si>
  <si>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</si>
  <si>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</si>
  <si>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</si>
  <si>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</si>
  <si>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</si>
  <si>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</si>
  <si>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</si>
  <si>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</si>
  <si>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</si>
  <si>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</si>
  <si>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</si>
  <si>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</si>
  <si>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</si>
  <si>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</si>
  <si>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</si>
  <si>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</si>
  <si>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</si>
  <si>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</si>
  <si>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</si>
  <si>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</si>
  <si>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</si>
  <si>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</si>
  <si>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</si>
  <si>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</si>
  <si>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</si>
  <si>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</si>
  <si>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</si>
  <si>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</si>
  <si>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</si>
  <si>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</si>
  <si>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</si>
  <si>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</si>
  <si>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</si>
  <si>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</si>
  <si>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</si>
  <si>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</si>
  <si>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</si>
  <si>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</si>
  <si>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</si>
  <si>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</si>
  <si>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</si>
  <si>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</si>
  <si>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</si>
  <si>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</si>
  <si>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</si>
  <si>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</si>
  <si>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</si>
  <si>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</si>
  <si>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</si>
  <si>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</si>
  <si>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</si>
  <si>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</si>
  <si>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</si>
  <si>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</si>
  <si>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</si>
  <si>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</si>
  <si>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</si>
  <si>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</si>
  <si>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</si>
  <si>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</si>
  <si>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</si>
  <si>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</si>
  <si>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</si>
  <si>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</si>
  <si>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</si>
  <si>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</si>
  <si>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</si>
  <si>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</si>
  <si>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</si>
  <si>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</si>
  <si>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</si>
  <si>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</si>
  <si>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</si>
  <si>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</si>
  <si>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</si>
  <si>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</si>
  <si>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</si>
  <si>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</si>
  <si>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</si>
  <si>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</si>
  <si>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</si>
  <si>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</si>
  <si>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</si>
  <si>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</si>
  <si>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</si>
  <si>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</si>
  <si>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</si>
  <si>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</si>
  <si>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</si>
  <si>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</si>
  <si>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</si>
  <si>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</si>
  <si>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</si>
  <si>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</si>
  <si>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</si>
  <si>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</si>
  <si>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</si>
  <si>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</si>
  <si>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</si>
  <si>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</si>
  <si>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</si>
  <si>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</si>
  <si>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</si>
  <si>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</si>
  <si>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</si>
  <si>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</si>
  <si>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</si>
  <si>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</si>
  <si>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</si>
  <si>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</si>
  <si>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</si>
  <si>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</si>
  <si>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</si>
  <si>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</si>
  <si>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</si>
  <si>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</si>
  <si>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</si>
  <si>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</si>
  <si>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</si>
  <si>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</si>
  <si>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</si>
  <si>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</si>
  <si>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</si>
  <si>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</si>
  <si>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</si>
  <si>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</si>
  <si>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</si>
  <si>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</si>
  <si>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</si>
  <si>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</si>
  <si>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</si>
  <si>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</si>
  <si>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</si>
  <si>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</si>
  <si>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</si>
  <si>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</si>
  <si>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</si>
  <si>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</si>
  <si>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</si>
  <si>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</si>
  <si>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</si>
  <si>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</si>
  <si>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</si>
  <si>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</si>
  <si>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</si>
  <si>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</si>
  <si>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</si>
  <si>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</si>
  <si>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</si>
  <si>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</si>
  <si>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</si>
  <si>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</si>
  <si>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</si>
  <si>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</si>
  <si>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</si>
  <si>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</si>
  <si>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</si>
  <si>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</si>
  <si>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</si>
  <si>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</si>
  <si>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</si>
  <si>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</si>
  <si>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</si>
  <si>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</si>
  <si>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</si>
  <si>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</si>
  <si>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</si>
  <si>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</si>
  <si>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</si>
  <si>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</si>
  <si>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</si>
  <si>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</si>
  <si>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</si>
  <si>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</si>
  <si>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</si>
  <si>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</si>
  <si>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</si>
  <si>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</si>
  <si>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</si>
  <si>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</si>
  <si>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</si>
  <si>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</si>
  <si>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</si>
  <si>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</si>
  <si>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</si>
  <si>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</si>
  <si>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</si>
  <si>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</si>
  <si>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</si>
  <si>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</si>
  <si>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</si>
  <si>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</si>
  <si>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</si>
  <si>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</si>
  <si>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</si>
  <si>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</si>
  <si>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</si>
  <si>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</si>
  <si>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</si>
  <si>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</si>
  <si>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</si>
  <si>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</si>
  <si>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</si>
  <si>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</si>
  <si>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</si>
  <si>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</si>
  <si>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</si>
  <si>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</si>
  <si>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</si>
  <si>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</si>
  <si>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</si>
  <si>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</si>
  <si>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</si>
  <si>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</si>
  <si>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</si>
  <si>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</si>
  <si>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</si>
  <si>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</si>
  <si>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</si>
  <si>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</si>
  <si>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</si>
  <si>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</si>
  <si>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</si>
  <si>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</si>
  <si>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</si>
  <si>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</si>
  <si>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</si>
  <si>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</si>
  <si>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</si>
  <si>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</si>
  <si>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</si>
  <si>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</si>
  <si>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</si>
  <si>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</si>
  <si>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</si>
  <si>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</si>
  <si>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</si>
  <si>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</si>
  <si>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</si>
  <si>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</si>
  <si>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</si>
  <si>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</si>
  <si>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</si>
  <si>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</si>
  <si>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</si>
  <si>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</si>
  <si>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</si>
  <si>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</si>
  <si>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</si>
  <si>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</si>
  <si>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</si>
  <si>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</si>
  <si>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</si>
  <si>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</si>
  <si>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</si>
  <si>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</si>
  <si>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</si>
  <si>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</si>
  <si>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</si>
  <si>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</si>
  <si>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</si>
  <si>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</si>
  <si>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</si>
  <si>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</si>
  <si>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</si>
  <si>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</si>
  <si>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</si>
  <si>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</si>
  <si>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</si>
  <si>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</si>
  <si>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</si>
  <si>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</si>
  <si>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</si>
  <si>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</si>
  <si>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</si>
  <si>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</si>
  <si>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</si>
  <si>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</si>
  <si>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</si>
  <si>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</si>
  <si>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</si>
  <si>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</si>
  <si>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</si>
  <si>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</si>
  <si>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</si>
  <si>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</si>
  <si>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</si>
  <si>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</si>
  <si>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</si>
  <si>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</si>
  <si>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</si>
  <si>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</si>
  <si>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</si>
  <si>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</si>
  <si>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</si>
  <si>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</si>
  <si>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</si>
  <si>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</si>
  <si>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</si>
  <si>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</si>
  <si>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</si>
  <si>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</si>
  <si>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</si>
  <si>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</si>
  <si>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</si>
  <si>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</si>
  <si>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</si>
  <si>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</si>
  <si>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</si>
  <si>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</si>
  <si>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</si>
  <si>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</si>
  <si>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</si>
  <si>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</si>
  <si>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</si>
  <si>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</si>
  <si>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</si>
  <si>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</si>
  <si>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</si>
  <si>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</si>
  <si>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</si>
  <si>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</si>
  <si>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</si>
  <si>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</si>
  <si>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</si>
  <si>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</si>
  <si>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</si>
  <si>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</si>
  <si>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</si>
  <si>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</si>
  <si>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</si>
  <si>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</si>
  <si>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</si>
  <si>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</si>
  <si>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</si>
  <si>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</si>
  <si>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</si>
  <si>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</si>
  <si>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</si>
  <si>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</si>
  <si>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</si>
  <si>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</si>
  <si>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</si>
  <si>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</si>
  <si>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</si>
  <si>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</si>
  <si>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</si>
  <si>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</si>
  <si>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</si>
  <si>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</si>
  <si>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</si>
  <si>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</si>
  <si>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</si>
  <si>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</si>
  <si>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</si>
  <si>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</si>
  <si>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</si>
  <si>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</si>
  <si>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</si>
  <si>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</si>
  <si>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</si>
  <si>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</si>
  <si>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</si>
  <si>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</si>
  <si>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</si>
  <si>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</si>
  <si>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</si>
  <si>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</si>
  <si>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</si>
  <si>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</si>
  <si>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</si>
  <si>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</si>
  <si>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</si>
  <si>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</si>
  <si>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</si>
  <si>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</si>
  <si>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</si>
  <si>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</si>
  <si>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</si>
  <si>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</si>
  <si>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</si>
  <si>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</si>
  <si>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</si>
  <si>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</si>
  <si>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</si>
  <si>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</si>
  <si>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</si>
  <si>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</si>
  <si>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</si>
  <si>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</si>
  <si>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</si>
  <si>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</si>
  <si>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</si>
  <si>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</si>
  <si>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</si>
  <si>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</si>
  <si>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</si>
  <si>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</si>
  <si>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</si>
  <si>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</si>
  <si>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</si>
  <si>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</si>
  <si>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</si>
  <si>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</si>
  <si>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</si>
  <si>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</si>
  <si>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</si>
  <si>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</si>
  <si>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</si>
  <si>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</si>
  <si>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</si>
  <si>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</si>
  <si>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</si>
  <si>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</si>
  <si>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</si>
  <si>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</si>
  <si>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</si>
  <si>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</si>
  <si>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</si>
  <si>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</si>
  <si>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</si>
  <si>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</si>
  <si>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</si>
  <si>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</si>
  <si>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</si>
  <si>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</si>
  <si>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</si>
  <si>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</si>
  <si>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</si>
  <si>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</si>
  <si>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</si>
  <si>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</si>
  <si>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</si>
  <si>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</si>
  <si>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</si>
  <si>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</si>
  <si>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</si>
  <si>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</si>
  <si>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</si>
  <si>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</si>
  <si>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</si>
  <si>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</si>
  <si>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</si>
  <si>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</si>
  <si>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</si>
  <si>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</si>
  <si>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</si>
  <si>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</si>
  <si>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</si>
  <si>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</si>
  <si>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</si>
  <si>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</si>
  <si>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</si>
  <si>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</si>
  <si>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</si>
  <si>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</si>
  <si>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</si>
  <si>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</si>
  <si>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</si>
  <si>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</si>
  <si>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</si>
  <si>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</si>
  <si>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</si>
  <si>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</si>
  <si>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</si>
  <si>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</si>
  <si>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</si>
  <si>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</si>
  <si>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</si>
  <si>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</si>
  <si>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</si>
  <si>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</si>
  <si>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</si>
  <si>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</si>
  <si>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</si>
  <si>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</si>
  <si>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</si>
  <si>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</si>
  <si>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</si>
  <si>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</si>
  <si>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</si>
  <si>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</si>
  <si>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</si>
  <si>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</si>
  <si>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</si>
  <si>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</si>
  <si>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</si>
  <si>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</si>
  <si>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</si>
  <si>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</si>
  <si>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</si>
  <si>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</si>
  <si>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</si>
  <si>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</si>
  <si>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</si>
  <si>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</si>
  <si>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</si>
  <si>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</si>
  <si>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</si>
  <si>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</si>
  <si>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</si>
  <si>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</si>
  <si>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</si>
  <si>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</si>
  <si>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</si>
  <si>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</si>
  <si>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</si>
  <si>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</si>
  <si>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</si>
  <si>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</si>
  <si>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</si>
  <si>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</si>
  <si>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</si>
  <si>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</si>
  <si>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</si>
  <si>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</si>
  <si>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</si>
  <si>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</si>
  <si>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</si>
  <si>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</si>
  <si>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</si>
  <si>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</si>
  <si>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</si>
  <si>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</si>
  <si>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</si>
  <si>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</si>
  <si>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</si>
  <si>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</si>
  <si>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</si>
  <si>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</si>
  <si>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</si>
  <si>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</si>
  <si>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</si>
  <si>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</si>
  <si>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</si>
  <si>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</si>
  <si>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</si>
  <si>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</si>
  <si>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</si>
  <si>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</si>
  <si>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</si>
  <si>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</si>
  <si>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</si>
  <si>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</si>
  <si>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</si>
  <si>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</si>
  <si>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</si>
  <si>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</si>
  <si>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</si>
  <si>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</si>
  <si>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</si>
  <si>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</si>
  <si>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</si>
  <si>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</si>
  <si>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</si>
  <si>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</si>
  <si>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</si>
  <si>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</si>
  <si>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</si>
  <si>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</si>
  <si>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</si>
  <si>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</si>
  <si>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</si>
  <si>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</si>
  <si>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</si>
  <si>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</si>
  <si>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</si>
  <si>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</si>
  <si>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</si>
  <si>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</si>
  <si>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</si>
  <si>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</si>
  <si>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</si>
  <si>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</si>
  <si>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</si>
  <si>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</si>
  <si>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</si>
  <si>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</si>
  <si>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</si>
  <si>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</si>
  <si>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</si>
  <si>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</si>
  <si>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</si>
  <si>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</si>
  <si>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</si>
  <si>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</si>
  <si>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</si>
  <si>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</si>
  <si>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</si>
  <si>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</si>
  <si>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</si>
  <si>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</si>
  <si>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</si>
  <si>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</si>
  <si>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</si>
  <si>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</si>
  <si>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</si>
  <si>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</si>
  <si>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</si>
  <si>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</si>
  <si>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</si>
  <si>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</si>
  <si>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</si>
  <si>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</si>
  <si>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</si>
  <si>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</si>
  <si>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</si>
  <si>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</si>
  <si>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</si>
  <si>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</si>
  <si>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</si>
  <si>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</si>
  <si>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</si>
  <si>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</si>
  <si>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</si>
  <si>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</si>
  <si>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</si>
  <si>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</si>
  <si>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</si>
  <si>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</si>
  <si>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</si>
  <si>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</si>
  <si>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</si>
  <si>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</si>
  <si>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</si>
  <si>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</si>
  <si>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</si>
  <si>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</si>
  <si>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</si>
  <si>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</si>
  <si>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</si>
  <si>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</si>
  <si>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</si>
  <si>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</si>
  <si>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</si>
  <si>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</si>
  <si>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</si>
  <si>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</si>
  <si>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</si>
  <si>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</si>
  <si>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</si>
  <si>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</si>
  <si>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</si>
  <si>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</si>
  <si>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</si>
  <si>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</si>
  <si>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</si>
  <si>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</si>
  <si>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</si>
  <si>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</si>
  <si>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</si>
  <si>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</si>
  <si>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</si>
  <si>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</si>
  <si>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</si>
  <si>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</si>
  <si>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</si>
  <si>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</si>
  <si>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</si>
  <si>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</si>
  <si>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</si>
  <si>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</si>
  <si>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</si>
  <si>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</si>
  <si>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</si>
  <si>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</si>
  <si>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</si>
  <si>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</si>
  <si>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</si>
  <si>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</si>
  <si>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</si>
  <si>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</si>
  <si>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</si>
  <si>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</si>
  <si>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</si>
  <si>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</si>
  <si>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</si>
  <si>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</si>
  <si>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</si>
  <si>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</si>
  <si>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</si>
  <si>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</si>
  <si>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</si>
  <si>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</si>
  <si>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</si>
  <si>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</si>
  <si>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</si>
  <si>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</si>
  <si>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</si>
  <si>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</si>
  <si>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</si>
  <si>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</si>
  <si>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</si>
  <si>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</si>
  <si>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</si>
  <si>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</si>
  <si>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</si>
  <si>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</si>
  <si>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</si>
  <si>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</si>
  <si>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</si>
  <si>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</si>
  <si>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</si>
  <si>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</si>
  <si>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</si>
  <si>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</si>
  <si>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</si>
  <si>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</si>
  <si>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</si>
  <si>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</si>
  <si>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</si>
  <si>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</si>
  <si>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</si>
  <si>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</si>
  <si>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</si>
  <si>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</si>
  <si>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</si>
  <si>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</si>
  <si>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</si>
  <si>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</si>
  <si>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</si>
  <si>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</si>
  <si>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</si>
  <si>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</si>
  <si>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</si>
  <si>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</si>
  <si>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</si>
  <si>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</si>
  <si>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</si>
  <si>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</si>
  <si>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</si>
  <si>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</si>
  <si>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</si>
  <si>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</si>
  <si>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</si>
  <si>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</si>
  <si>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</si>
  <si>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</si>
  <si>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</si>
  <si>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</si>
  <si>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</si>
  <si>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</si>
  <si>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</si>
  <si>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</si>
  <si>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</si>
  <si>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</si>
  <si>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</si>
  <si>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</si>
  <si>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</si>
  <si>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</si>
  <si>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</si>
  <si>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</si>
  <si>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</si>
  <si>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</si>
  <si>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</si>
  <si>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</si>
  <si>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</si>
  <si>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</si>
  <si>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</si>
  <si>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</si>
  <si>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</si>
  <si>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</si>
  <si>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</si>
  <si>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</si>
  <si>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</si>
  <si>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</si>
  <si>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</si>
  <si>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</si>
  <si>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</si>
  <si>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</si>
  <si>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</si>
  <si>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</si>
  <si>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</si>
  <si>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</si>
  <si>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</si>
  <si>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</si>
  <si>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</si>
  <si>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</si>
  <si>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</si>
  <si>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</si>
  <si>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</si>
  <si>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</si>
  <si>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</si>
  <si>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</si>
  <si>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</si>
  <si>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</si>
  <si>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</si>
  <si>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</si>
  <si>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</si>
  <si>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</si>
  <si>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</si>
  <si>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</si>
  <si>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</si>
  <si>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</si>
  <si>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</si>
  <si>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</si>
  <si>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</si>
  <si>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</si>
  <si>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</si>
  <si>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</si>
  <si>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</si>
  <si>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</si>
  <si>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</si>
  <si>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</si>
  <si>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</si>
  <si>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</si>
  <si>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</si>
  <si>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</si>
  <si>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</si>
  <si>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</si>
  <si>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</si>
  <si>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</si>
  <si>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</si>
  <si>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</si>
  <si>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</si>
  <si>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</si>
  <si>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</si>
  <si>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</si>
  <si>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</si>
  <si>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</si>
  <si>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</si>
  <si>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</si>
  <si>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</si>
  <si>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</si>
  <si>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</si>
  <si>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</si>
  <si>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</si>
  <si>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</si>
  <si>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</si>
  <si>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</si>
  <si>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</si>
  <si>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</si>
  <si>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</si>
  <si>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</si>
  <si>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</si>
  <si>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</si>
  <si>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</si>
  <si>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</si>
  <si>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</si>
  <si>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</si>
  <si>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</si>
  <si>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</si>
  <si>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</si>
  <si>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</si>
  <si>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</si>
  <si>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</si>
  <si>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</si>
  <si>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</si>
  <si>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</si>
  <si>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</si>
  <si>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</si>
  <si>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</si>
  <si>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</si>
  <si>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</si>
  <si>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</si>
  <si>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</si>
  <si>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</si>
  <si>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</si>
  <si>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</si>
  <si>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</si>
  <si>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</si>
  <si>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</si>
  <si>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</si>
  <si>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</si>
  <si>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</si>
  <si>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</si>
  <si>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</si>
  <si>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</si>
  <si>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</si>
  <si>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</si>
  <si>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</si>
  <si>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</si>
  <si>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</si>
  <si>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</si>
  <si>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</si>
  <si>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</si>
  <si>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</si>
  <si>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</si>
  <si>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</si>
  <si>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1613 CT418 18-60</t>
  </si>
  <si>
    <t xml:space="preserve"> Octavio Alvarez-                              (  )    Mohammed Y. Othman - 781022 (  )</t>
  </si>
  <si>
    <t>2025-AR-109</t>
  </si>
  <si>
    <t>R</t>
  </si>
  <si>
    <t>XP</t>
  </si>
  <si>
    <t>-</t>
  </si>
  <si>
    <t>Shank need machining, Breaker slot needs cleaning.</t>
  </si>
  <si>
    <t>[ ENO 3]</t>
  </si>
  <si>
    <t>[RTRO 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</si>
</sst>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3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2" fillId="15" borderId="60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0" fillId="9" borderId="60" xfId="0" applyFill="1" applyBorder="1" applyAlignment="1">
      <alignment horizontal="center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center"/>
    </xf>
    <xf numFmtId="0" fontId="24" fillId="24" borderId="25" xfId="0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left" wrapText="1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84" fillId="0" borderId="42" xfId="8" applyBorder="1" applyAlignment="1">
      <alignment horizontal="center" vertical="center"/>
    </xf>
    <xf numFmtId="0" fontId="84" fillId="0" borderId="43" xfId="8" applyBorder="1" applyAlignment="1">
      <alignment horizontal="center" vertical="center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86" fillId="27" borderId="30" xfId="8" applyFont="1" applyFill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13" fillId="0" borderId="0" xfId="8" applyFont="1" applyAlignment="1">
      <alignment horizontal="right" vertical="center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 wrapText="1"/>
    </xf>
    <xf numFmtId="0" fontId="13" fillId="0" borderId="25" xfId="8" applyFont="1" applyBorder="1" applyAlignment="1">
      <alignment horizontal="right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left" vertical="center" wrapText="1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89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89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1" xfId="0" applyFont="1" applyBorder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3" xfId="0" applyBorder="1" applyAlignment="1">
      <alignment horizontal="center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0" fillId="0" borderId="40" xfId="0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4" fillId="0" borderId="2" xfId="4" applyFont="1" applyBorder="1" applyAlignment="1">
      <alignment horizontal="center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45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45" fillId="0" borderId="0" xfId="0" applyFont="1" applyAlignment="1">
      <alignment horizontal="right"/>
    </xf>
    <xf numFmtId="164" fontId="8" fillId="0" borderId="0" xfId="0" applyNumberFormat="1" applyFont="1" applyAlignment="1">
      <alignment horizontal="center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0" xfId="9" applyAlignment="1">
      <alignment horizontal="left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164" fontId="16" fillId="0" borderId="84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58" fillId="0" borderId="9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99" fillId="0" borderId="0" xfId="0" applyFont="1" applyAlignment="1">
      <alignment horizontal="center" vertical="top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166" fontId="16" fillId="0" borderId="48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6" fillId="0" borderId="49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166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0" fontId="8" fillId="0" borderId="49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4" fillId="0" borderId="4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3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43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0" xfId="4" applyFont="1" applyAlignment="1">
      <alignment horizontal="left"/>
    </xf>
    <xf numFmtId="0" fontId="4" fillId="0" borderId="23" xfId="4" applyFont="1" applyBorder="1" applyAlignment="1">
      <alignment horizontal="left"/>
    </xf>
    <xf numFmtId="0" fontId="4" fillId="0" borderId="0" xfId="4" applyFont="1" applyAlignment="1">
      <alignment horizontal="right"/>
    </xf>
    <xf numFmtId="14" fontId="4" fillId="0" borderId="23" xfId="4" applyNumberFormat="1" applyFont="1" applyBorder="1" applyAlignment="1">
      <alignment horizontal="center"/>
    </xf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12" fillId="0" borderId="10" xfId="4" applyFont="1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12" fillId="0" borderId="2" xfId="4" applyFont="1" applyBorder="1" applyAlignment="1">
      <alignment horizontal="center"/>
    </xf>
    <xf numFmtId="0" fontId="70" fillId="0" borderId="2" xfId="4" applyFont="1" applyBorder="1" applyAlignment="1">
      <alignment horizontal="center"/>
    </xf>
    <xf numFmtId="0" fontId="59" fillId="0" borderId="2" xfId="4" applyBorder="1"/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0" xfId="4" applyFont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4" fillId="0" borderId="25" xfId="4" applyFont="1" applyBorder="1" applyAlignment="1">
      <alignment horizontal="left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31" fillId="5" borderId="0" xfId="0" applyFont="1" applyFill="1" applyAlignment="1">
      <alignment horizontal="left" vertical="center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textRotation="90"/>
    </xf>
    <xf numFmtId="0" fontId="16" fillId="0" borderId="24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68" xfId="0" applyFont="1" applyBorder="1" applyAlignment="1">
      <alignment horizontal="right" vertical="center"/>
    </xf>
    <xf numFmtId="0" fontId="16" fillId="0" borderId="108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69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2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2" xfId="5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0" fillId="13" borderId="0" xfId="0" applyFill="1" applyAlignment="1">
      <alignment horizontal="center"/>
    </xf>
    <xf numFmtId="0" fontId="42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ill>
        <patternFill>
          <bgColor rgb="FF8F45C7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BEFD9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6" tint="0.39994506668294322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ill>
        <patternFill>
          <bgColor rgb="FFBEFD9B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67200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DE9D9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67200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92CDDC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56756" y="22352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91366" y="24733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Templetes%2009-16-2019/New%20folder/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7" dataDxfId="795" headerRowBorderDxfId="796" tableBorderDxfId="794">
  <autoFilter ref="L45:L625" xr:uid="{23AC0413-B7AD-4E8F-BB4D-D46B8EA28652}"/>
  <tableColumns count="1">
    <tableColumn id="1" xr3:uid="{B147B07A-F9DC-4126-83AE-ABC0D07A8538}" name="MAT" dataDxfId="7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5" totalsRowShown="0" headerRowDxfId="792" dataDxfId="790" headerRowBorderDxfId="791" tableBorderDxfId="789">
  <autoFilter ref="DB1:DB295" xr:uid="{2B064710-B26E-44F6-852D-C48CCD4B6B1B}"/>
  <tableColumns count="1">
    <tableColumn id="1" xr3:uid="{54211CB2-1A0B-452A-A7E9-04D2CF5DDE53}" name="FOR THE DROP IN LIST" dataDxfId="7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7" dataDxfId="786">
  <autoFilter ref="A3:J320" xr:uid="{8AB9E800-5A65-4158-B834-77DEDB0B5870}"/>
  <tableColumns count="10">
    <tableColumn id="1" xr3:uid="{969D7D33-75AC-4EF3-924A-96FB2E61D786}" name="ORDER NO." dataDxfId="785"/>
    <tableColumn id="2" xr3:uid="{D0257E10-49B8-4743-B10F-139BC7735A30}" name="SEREAL NO." dataDxfId="784"/>
    <tableColumn id="3" xr3:uid="{4C0E646C-C8DD-4A96-A32E-7443B1D91E15}" name="SIZE" dataDxfId="783"/>
    <tableColumn id="4" xr3:uid="{C4B82CB4-CB58-4FDB-A349-9C7E669C2E85}" name="TYPE" dataDxfId="782"/>
    <tableColumn id="5" xr3:uid="{430A761F-9E0F-4AC9-97D3-7F6129FA21AD}" name="LV5 MAT NO." dataDxfId="781"/>
    <tableColumn id="6" xr3:uid="{3A174E65-88CF-473C-BAD9-E6E92360860E}" name="FROM" dataDxfId="780"/>
    <tableColumn id="9" xr3:uid="{1AC0238F-7A27-4B0C-9B36-389385CB6B37}" name="LV3 or LV4 MAT NO." dataDxfId="779"/>
    <tableColumn id="10" xr3:uid="{8966EED8-CE86-4464-AAFF-6391F01376D0}" name="Cutters" dataDxfId="778"/>
    <tableColumn id="7" xr3:uid="{68C86069-9105-445B-80DB-50F71F9AD448}" name="REMARKS" dataDxfId="777"/>
    <tableColumn id="8" xr3:uid="{C489EA98-8281-4117-AE45-DE0A066464B4}" name="Instruction" dataDxfId="7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5" headerRowBorderDxfId="774" tableBorderDxfId="773">
  <autoFilter ref="L3:V320" xr:uid="{DC41166A-365E-47B5-9A65-900CD28012A3}"/>
  <tableColumns count="11">
    <tableColumn id="1" xr3:uid="{B89E1946-81E6-4472-AD93-8401B1C9E4D4}" name="ORDER NO." dataDxfId="772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1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0">
      <calculatedColumnFormula>IF(AND(Table2[[#This Row],[SIZE]]&lt;&gt;"", Table2[[#This Row],[SIZE]]=Data!$B$3),1,"")</calculatedColumnFormula>
    </tableColumn>
    <tableColumn id="4" xr3:uid="{8A1C3CA4-5BA3-4C2F-A19A-BBBA50DCE1BC}" name="TYPE" dataDxfId="769">
      <calculatedColumnFormula>IF(AND(Table2[[#This Row],[TYPE]]&lt;&gt;"", Table2[[#This Row],[TYPE]]=Data!$B$4),1,"")</calculatedColumnFormula>
    </tableColumn>
    <tableColumn id="5" xr3:uid="{6F1D0C22-4036-4BB1-BF98-072AF01CF7AC}" name="LV5 MAT NO." dataDxfId="768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7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6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5"/>
    <tableColumn id="7" xr3:uid="{F563A016-9F71-4B38-AA5B-AAF432728207}" name="REMARKS" dataDxfId="764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3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zoomScaleNormal="100" workbookViewId="0">
      <selection activeCell="G13" sqref="G13"/>
    </sheetView>
  </sheetViews>
  <sheetFormatPr defaultColWidth="9.1796875" defaultRowHeight="14.5" x14ac:dyDescent="0.35"/>
  <cols>
    <col min="1" max="1" width="27.81640625" customWidth="1"/>
    <col min="2" max="2" width="22.7265625" style="4" bestFit="1" customWidth="1"/>
    <col min="3" max="3" width="8.26953125" customWidth="1"/>
    <col min="4" max="4" width="7.54296875" customWidth="1"/>
    <col min="5" max="5" width="7.81640625" customWidth="1"/>
    <col min="6" max="6" width="12.1796875" customWidth="1"/>
    <col min="7" max="7" width="19.54296875" customWidth="1"/>
    <col min="8" max="8" width="6.453125" customWidth="1"/>
    <col min="9" max="9" width="21.1796875" customWidth="1"/>
    <col min="10" max="10" width="1" customWidth="1"/>
    <col min="11" max="11" width="8.7265625" customWidth="1"/>
    <col min="12" max="12" width="10.81640625" style="10" bestFit="1" customWidth="1"/>
    <col min="13" max="13" width="13.54296875" customWidth="1"/>
    <col min="14" max="14" width="14.7265625" customWidth="1"/>
    <col min="15" max="15" width="17.81640625" customWidth="1"/>
    <col min="16" max="16" width="11" customWidth="1"/>
    <col min="17" max="17" width="10" customWidth="1"/>
    <col min="18" max="18" width="8.7265625" customWidth="1"/>
    <col min="19" max="19" width="35.7265625" bestFit="1" customWidth="1"/>
    <col min="20" max="20" width="10.7265625" customWidth="1"/>
    <col min="21" max="21" width="12" customWidth="1"/>
    <col min="22" max="22" width="3.1796875" customWidth="1"/>
    <col min="23" max="23" width="12.54296875" customWidth="1"/>
    <col min="24" max="24" width="8.7265625" customWidth="1"/>
    <col min="25" max="25" width="3.1796875" customWidth="1"/>
    <col min="26" max="26" width="7" customWidth="1"/>
    <col min="27" max="31" width="3.1796875" customWidth="1"/>
    <col min="32" max="32" width="3" customWidth="1"/>
    <col min="33" max="36" width="3.1796875" customWidth="1"/>
    <col min="37" max="37" width="16.453125" customWidth="1"/>
    <col min="38" max="39" width="3.1796875" customWidth="1"/>
    <col min="40" max="40" width="6.54296875" customWidth="1"/>
    <col min="41" max="42" width="3.1796875" customWidth="1"/>
    <col min="43" max="53" width="3.81640625" customWidth="1"/>
    <col min="54" max="56" width="4" customWidth="1"/>
    <col min="57" max="57" width="3.81640625" customWidth="1"/>
    <col min="58" max="58" width="5" bestFit="1" customWidth="1"/>
    <col min="59" max="59" width="8.453125" bestFit="1" customWidth="1"/>
    <col min="60" max="60" width="5" bestFit="1" customWidth="1"/>
    <col min="61" max="61" width="4" customWidth="1"/>
    <col min="62" max="62" width="10.1796875" customWidth="1"/>
    <col min="63" max="63" width="9.1796875" customWidth="1"/>
    <col min="64" max="64" width="8.81640625" customWidth="1"/>
    <col min="65" max="65" width="10.81640625" customWidth="1"/>
    <col min="66" max="66" width="10.7265625" customWidth="1"/>
    <col min="67" max="68" width="9.1796875" customWidth="1"/>
    <col min="69" max="75" width="3.1796875" customWidth="1"/>
    <col min="76" max="78" width="3.26953125" customWidth="1"/>
    <col min="79" max="94" width="4.26953125" customWidth="1"/>
    <col min="95" max="95" width="5.54296875" bestFit="1" customWidth="1"/>
    <col min="96" max="96" width="6.81640625" bestFit="1" customWidth="1"/>
    <col min="97" max="97" width="5.453125" bestFit="1" customWidth="1"/>
    <col min="98" max="100" width="4.26953125" customWidth="1"/>
    <col min="101" max="105" width="9.1796875" customWidth="1"/>
    <col min="106" max="106" width="23.54296875" customWidth="1"/>
    <col min="107" max="107" width="10" customWidth="1"/>
    <col min="108" max="108" width="41.7265625" style="10" customWidth="1"/>
    <col min="109" max="109" width="17" style="10" customWidth="1"/>
    <col min="110" max="110" width="35.81640625" style="10" hidden="1" customWidth="1"/>
    <col min="111" max="111" width="38.26953125" style="10" hidden="1" customWidth="1"/>
    <col min="112" max="112" width="24.453125" style="10" hidden="1" customWidth="1"/>
    <col min="113" max="113" width="19.7265625" style="10" customWidth="1"/>
    <col min="114" max="114" width="14" style="10" hidden="1" customWidth="1"/>
    <col min="115" max="115" width="32.26953125" style="10" hidden="1" customWidth="1"/>
    <col min="116" max="116" width="17.7265625" style="10" hidden="1" customWidth="1"/>
    <col min="117" max="118" width="20.81640625" style="10" hidden="1" customWidth="1"/>
    <col min="119" max="119" width="10.7265625" style="10" hidden="1" customWidth="1"/>
    <col min="120" max="120" width="14" style="10" hidden="1" customWidth="1"/>
    <col min="121" max="121" width="17.7265625" style="10" hidden="1" customWidth="1"/>
    <col min="122" max="122" width="37.7265625" style="10" hidden="1" customWidth="1"/>
    <col min="123" max="123" width="22" style="10" hidden="1" customWidth="1"/>
    <col min="124" max="124" width="19" style="10" hidden="1" customWidth="1"/>
    <col min="125" max="126" width="19" style="10" customWidth="1"/>
    <col min="127" max="127" width="15.54296875" style="10" customWidth="1"/>
    <col min="128" max="128" width="22.54296875" style="10" customWidth="1"/>
    <col min="129" max="129" width="41.26953125" style="10" customWidth="1"/>
    <col min="130" max="130" width="8.1796875" style="10" customWidth="1"/>
    <col min="131" max="131" width="8.81640625" style="10" customWidth="1"/>
    <col min="132" max="132" width="4.81640625" style="10" customWidth="1"/>
    <col min="133" max="135" width="18" style="10" customWidth="1"/>
    <col min="136" max="136" width="9.1796875" customWidth="1"/>
    <col min="137" max="137" width="16.81640625" customWidth="1"/>
    <col min="138" max="139" width="14.7265625" customWidth="1"/>
    <col min="140" max="140" width="16.81640625" customWidth="1"/>
    <col min="141" max="142" width="14.7265625" customWidth="1"/>
    <col min="143" max="143" width="16.81640625" customWidth="1"/>
    <col min="144" max="145" width="14.7265625" customWidth="1"/>
    <col min="146" max="146" width="16.81640625" customWidth="1"/>
    <col min="147" max="148" width="14.7265625" customWidth="1"/>
    <col min="149" max="149" width="16.81640625" customWidth="1"/>
    <col min="150" max="150" width="14.7265625" customWidth="1"/>
    <col min="151" max="151" width="9.1796875" customWidth="1"/>
    <col min="152" max="152" width="19.81640625" customWidth="1"/>
    <col min="153" max="153" width="15.453125" customWidth="1"/>
    <col min="154" max="154" width="9.1796875" customWidth="1"/>
    <col min="155" max="155" width="19.81640625" customWidth="1"/>
    <col min="156" max="156" width="15.453125" customWidth="1"/>
    <col min="157" max="157" width="9.1796875" customWidth="1"/>
    <col min="158" max="158" width="19.81640625" customWidth="1"/>
    <col min="159" max="159" width="15.453125" customWidth="1"/>
    <col min="160" max="160" width="9.1796875" customWidth="1"/>
    <col min="161" max="161" width="19.81640625" customWidth="1"/>
    <col min="162" max="162" width="15.453125" customWidth="1"/>
    <col min="163" max="163" width="9.1796875" customWidth="1"/>
    <col min="164" max="164" width="19.81640625" customWidth="1"/>
    <col min="165" max="165" width="15.453125" customWidth="1"/>
    <col min="166" max="166" width="9.1796875" customWidth="1"/>
    <col min="167" max="167" width="17.453125" bestFit="1" customWidth="1"/>
    <col min="168" max="168" width="13.1796875" bestFit="1" customWidth="1"/>
    <col min="169" max="169" width="9.1796875" customWidth="1"/>
    <col min="170" max="170" width="17.453125" bestFit="1" customWidth="1"/>
    <col min="171" max="171" width="13.1796875" bestFit="1" customWidth="1"/>
    <col min="172" max="172" width="9.1796875" customWidth="1"/>
    <col min="173" max="173" width="17.453125" bestFit="1" customWidth="1"/>
    <col min="174" max="174" width="13.1796875" bestFit="1" customWidth="1"/>
    <col min="175" max="175" width="9.1796875" customWidth="1"/>
    <col min="176" max="176" width="17.453125" bestFit="1" customWidth="1"/>
    <col min="177" max="177" width="13.1796875" bestFit="1" customWidth="1"/>
    <col min="178" max="178" width="9.1796875" customWidth="1"/>
    <col min="179" max="179" width="17.453125" bestFit="1" customWidth="1"/>
    <col min="180" max="180" width="13.1796875" bestFit="1" customWidth="1"/>
    <col min="181" max="181" width="9.1796875" customWidth="1"/>
    <col min="182" max="182" width="17.453125" bestFit="1" customWidth="1"/>
    <col min="183" max="183" width="13.1796875" bestFit="1" customWidth="1"/>
    <col min="184" max="184" width="9.1796875" customWidth="1"/>
    <col min="185" max="185" width="17.453125" bestFit="1" customWidth="1"/>
    <col min="186" max="186" width="13.1796875" bestFit="1" customWidth="1"/>
    <col min="187" max="187" width="9.1796875" customWidth="1"/>
    <col min="188" max="188" width="48.26953125" bestFit="1" customWidth="1"/>
    <col min="189" max="189" width="16.453125" customWidth="1"/>
    <col min="190" max="190" width="33.453125" customWidth="1"/>
    <col min="191" max="191" width="29.81640625" customWidth="1"/>
    <col min="192" max="192" width="87.453125" customWidth="1"/>
    <col min="193" max="193" width="12" customWidth="1"/>
    <col min="194" max="194" width="21.54296875" customWidth="1"/>
    <col min="195" max="195" width="26.54296875" customWidth="1"/>
    <col min="196" max="196" width="31.1796875" customWidth="1"/>
    <col min="197" max="198" width="13.26953125" customWidth="1"/>
    <col min="199" max="199" width="5.81640625" customWidth="1"/>
    <col min="200" max="200" width="4.54296875" customWidth="1"/>
    <col min="201" max="201" width="21" customWidth="1"/>
    <col min="202" max="202" width="21.7265625" style="805" customWidth="1"/>
    <col min="203" max="203" width="23.54296875" style="805" customWidth="1"/>
    <col min="204" max="204" width="22.81640625" style="805" customWidth="1"/>
    <col min="205" max="205" width="43" style="805" customWidth="1"/>
    <col min="206" max="206" width="13.453125" style="805" customWidth="1"/>
    <col min="207" max="207" width="23.7265625" style="805" customWidth="1"/>
    <col min="208" max="208" width="13.453125" style="805" customWidth="1"/>
    <col min="209" max="209" width="43" style="805" customWidth="1"/>
    <col min="210" max="210" width="23.453125" style="805" customWidth="1"/>
    <col min="211" max="211" width="7.26953125" customWidth="1"/>
    <col min="212" max="212" width="27.54296875" customWidth="1"/>
    <col min="213" max="213" width="12.1796875" customWidth="1"/>
    <col min="214" max="214" width="34.453125" customWidth="1"/>
    <col min="215" max="303" width="9.1796875" customWidth="1"/>
  </cols>
  <sheetData>
    <row r="1" spans="1:217" ht="15" customHeight="1" thickBot="1" x14ac:dyDescent="0.5">
      <c r="A1" s="125" t="s">
        <v>0</v>
      </c>
      <c r="B1" s="1" t="s">
        <v>2532</v>
      </c>
      <c r="C1" s="67"/>
      <c r="D1" s="126" t="s">
        <v>1110</v>
      </c>
      <c r="E1" s="127"/>
      <c r="F1" s="127"/>
      <c r="G1" s="127"/>
      <c r="H1" s="67"/>
      <c r="I1" s="1238"/>
      <c r="J1" s="1239"/>
      <c r="K1" s="1240"/>
      <c r="L1" s="900" t="s">
        <v>4</v>
      </c>
      <c r="M1" s="67"/>
      <c r="N1" s="1227" t="s">
        <v>792</v>
      </c>
      <c r="O1" s="1227"/>
      <c r="Q1" s="67"/>
      <c r="R1" s="999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2498</v>
      </c>
      <c r="FL1" s="56" t="s">
        <v>2499</v>
      </c>
      <c r="FM1" s="57"/>
      <c r="FN1" s="56" t="s">
        <v>2500</v>
      </c>
      <c r="FO1" s="56" t="s">
        <v>2501</v>
      </c>
      <c r="FP1" s="57"/>
      <c r="FQ1" s="56" t="s">
        <v>2502</v>
      </c>
      <c r="FR1" s="56" t="s">
        <v>2503</v>
      </c>
      <c r="FS1" s="57"/>
      <c r="FT1" s="56" t="s">
        <v>2504</v>
      </c>
      <c r="FU1" s="56" t="s">
        <v>2505</v>
      </c>
      <c r="FV1" s="57"/>
      <c r="FW1" s="56" t="s">
        <v>2506</v>
      </c>
      <c r="FX1" s="56" t="s">
        <v>2507</v>
      </c>
      <c r="FY1" s="57"/>
      <c r="FZ1" s="56" t="s">
        <v>2508</v>
      </c>
      <c r="GA1" s="56" t="s">
        <v>2509</v>
      </c>
      <c r="GB1" s="57"/>
      <c r="GC1" s="56" t="s">
        <v>2510</v>
      </c>
      <c r="GD1" s="56" t="s">
        <v>2511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4">
      <c r="A2" s="128" t="s">
        <v>1</v>
      </c>
      <c r="B2" s="1005">
        <v>13845937</v>
      </c>
      <c r="C2" s="1007" t="str">
        <f>IF(COUNTIF(Instructions!$L$1,"*WFD*"),"WFD","")</f>
        <v/>
      </c>
      <c r="D2" s="1245" t="s">
        <v>775</v>
      </c>
      <c r="E2" s="1246"/>
      <c r="F2" s="1246"/>
      <c r="G2" s="1247"/>
      <c r="I2" s="1233" t="s">
        <v>790</v>
      </c>
      <c r="J2" s="1234"/>
      <c r="K2" s="1235"/>
      <c r="L2" s="92"/>
      <c r="N2" s="138" t="s">
        <v>791</v>
      </c>
      <c r="O2" s="138" cm="1">
        <f t="array" ref="O2:Q2">IF(AND('Eng. Cutter Entry'!C4="",COUNTIF(B7,"SAUDI ARAMCO")),'Eval &amp; Quot-AR'!Z56:AB56,IF(OR(Data!B7="ARDTS",Data!B7="Halliburton Reg.",Data!B7="Halliburton"),'Qut. HALL.'!AD54,IF('ARDT Cutter Entry'!AS111&lt;&gt;0,'ARDT Cutter Entry'!AS111," ")))</f>
        <v>17986</v>
      </c>
      <c r="P2">
        <v>0</v>
      </c>
      <c r="Q2">
        <v>0</v>
      </c>
      <c r="R2" s="26"/>
      <c r="DB2" s="37" t="s">
        <v>812</v>
      </c>
      <c r="DD2" s="75">
        <v>0</v>
      </c>
      <c r="DE2" s="37">
        <v>1165785</v>
      </c>
      <c r="DF2" s="37" t="s">
        <v>2145</v>
      </c>
      <c r="DG2" s="37" t="s">
        <v>2145</v>
      </c>
      <c r="DH2" s="37">
        <v>16</v>
      </c>
      <c r="DI2" s="37">
        <v>1608</v>
      </c>
      <c r="DJ2" s="37" t="s">
        <v>2119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>
        <f>IFERROR(SMALL(EG2:EG500,ROWS($EG$2:EG2)),"")</f>
        <v>126</v>
      </c>
      <c r="EI2" s="67"/>
      <c r="EJ2" s="67" t="str">
        <f t="shared" ref="EJ2:EJ11" si="1">IF($CY$61&lt;&gt;0,IF($CY$61=DE2,EF2,""),"")</f>
        <v/>
      </c>
      <c r="EK2" s="67">
        <f>IFERROR(SMALL(EJ2:EJ500,ROWS($EJ$2:EJ2)),"")</f>
        <v>129</v>
      </c>
      <c r="EL2" s="67"/>
      <c r="EM2" s="67" t="str">
        <f t="shared" ref="EM2:EM11" si="2">IF($CY$62&lt;&gt;0,IF($CY$62=DE2,EF2,""),"")</f>
        <v/>
      </c>
      <c r="EN2" s="67">
        <f>IFERROR(SMALL(EM2:EM500,ROWS($EM$2:EM2)),"")</f>
        <v>15</v>
      </c>
      <c r="EO2" s="67"/>
      <c r="EP2" s="67" t="str">
        <f t="shared" ref="EP2:EP11" si="3">IF($CY$63&lt;&gt;0,IF($CY$63=DE2,EF2,""),"")</f>
        <v/>
      </c>
      <c r="EQ2" s="67" t="str">
        <f>IFERROR(SMALL(EP2:EP500,ROWS($EP$2:EP2)),"")</f>
        <v/>
      </c>
      <c r="ER2" s="67"/>
      <c r="ES2" s="67" t="str">
        <f t="shared" ref="ES2:ES11" si="4">IF($CY$64&lt;&gt;0,IF($CY$64=DE2,EF2,""),"")</f>
        <v/>
      </c>
      <c r="ET2" s="67" t="str">
        <f>IFERROR(SMALL(ES2:ES500,ROWS($ES$2:ES2)),"")</f>
        <v/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10">
        <f>IFERROR(INDEX($DE$2:$DR$500,$EH2,COLUMNS($GF$2:GF2)),"")</f>
        <v>1130198</v>
      </c>
      <c r="GH2" s="1110" t="str">
        <f>IFERROR(INDEX($DE$2:$DR$500,$EH2,COLUMNS($GF$2:GG2)),"")</f>
        <v>1613 CT182 0.018"</v>
      </c>
      <c r="GI2" s="1110" t="str">
        <f>IFERROR(INDEX($DE$2:$DR$500,$EH2,COLUMNS($GF$2:GH2)),"")</f>
        <v>1613 CT182 0.018"</v>
      </c>
      <c r="GJ2" s="1110">
        <f>IFERROR(INDEX($DE$2:$DR$500,$EH2,COLUMNS($GF$2:GI2)),"")</f>
        <v>16</v>
      </c>
      <c r="GK2" s="1110">
        <f>IFERROR(INDEX($DE$2:$DR$500,$EH2,COLUMNS($GF$2:GJ2)),"")</f>
        <v>1613</v>
      </c>
      <c r="GL2" s="1110" t="str">
        <f>IFERROR(INDEX($DE$2:$DR$500,$EH2,COLUMNS($GF$2:GK2)),"")</f>
        <v>CT182</v>
      </c>
      <c r="GM2" s="1110">
        <f>IFERROR(INDEX($DE$2:$DR$500,$EH2,COLUMNS($GF$2:GL2)),"")</f>
        <v>0</v>
      </c>
      <c r="GN2" s="1110" t="str">
        <f>IFERROR(INDEX($DE$2:$DR$500,$EH2,COLUMNS($GF$2:GM2)),"")</f>
        <v>0.018"</v>
      </c>
      <c r="GO2" s="1110">
        <f>IFERROR(INDEX($DE$2:$DR$500,$EH2,COLUMNS($GF$2:GN2)),"")</f>
        <v>0</v>
      </c>
      <c r="GP2" s="1110">
        <f>IFERROR(INDEX($DE$2:$DR$500,$EH2,COLUMNS($GF$2:GO2)),"")</f>
        <v>0</v>
      </c>
      <c r="GQ2" s="1110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>497</v>
      </c>
      <c r="GR2" s="1110">
        <f>IFERROR(INDEX($DE$2:$DR$500,$EH2,COLUMNS($GF$2:GQ2)),"")</f>
        <v>0</v>
      </c>
      <c r="GS2" s="1110">
        <f>IFERROR(INDEX($DE$2:$DR$500,$EH2,COLUMNS($GF$2:GR2)),"")</f>
        <v>0</v>
      </c>
      <c r="GT2" s="1110" t="str">
        <f>IFERROR(INDEX($DE$2:$EC$300,$EH2,COLUMNS($GF$2:GS2)),"")</f>
        <v xml:space="preserve">1613 CT182 </v>
      </c>
      <c r="GU2" s="1110">
        <f>IFERROR(INDEX($DE$2:$EC$300,$EH2,COLUMNS($GF$2:GT2)),"")</f>
        <v>263.71280000000002</v>
      </c>
      <c r="GV2" s="1110">
        <f>IFERROR(INDEX($DE$2:$EC$300,$EH2,COLUMNS($GF$2:GU2)),"")</f>
        <v>202.85600000000002</v>
      </c>
      <c r="GW2" s="1110">
        <f>IFERROR(INDEX($DE$2:$EC$300,$EH2,COLUMNS($GF$2:GV2)),"")</f>
        <v>0</v>
      </c>
      <c r="GX2" s="1110" t="str">
        <f>IFERROR(INDEX($DE$2:$EC$300,$EH2,COLUMNS($GF$2:GW2)),"")</f>
        <v>S</v>
      </c>
      <c r="GY2" s="1110" t="str">
        <f>IFERROR(INDEX($DE$2:$EC$300,$EH2,COLUMNS($GF$2:GX2)),"")</f>
        <v>6.4.1</v>
      </c>
      <c r="GZ2" s="1110">
        <f>IFERROR(INDEX($DE$2:$EC$300,$EH2,COLUMNS($GF$2:GY2)),"")</f>
        <v>30</v>
      </c>
      <c r="HA2" s="1110" t="str">
        <f>IFERROR(INDEX($DE$2:$EC$300,$EH2,COLUMNS($GF$2:GZ2)),"")</f>
        <v>16mm Cutter Replacement Super Premium</v>
      </c>
      <c r="HB2" s="1110" t="str">
        <f>IFERROR(INDEX($DE$2:$EC$300,$EH2,COLUMNS($GF$2:HA2)),"")</f>
        <v>16mm</v>
      </c>
      <c r="HC2" s="1110">
        <f>IFERROR(INDEX($DE$2:$EC$300,$EH2,COLUMNS($GF$2:HB2)),"")</f>
        <v>1</v>
      </c>
      <c r="HD2" s="1110" t="str">
        <f>IFERROR(INDEX($DE$2:$EC$300,$EH2,COLUMNS($GF$2:HC2)),"")</f>
        <v>EA</v>
      </c>
      <c r="HE2" s="1110">
        <f>IFERROR(INDEX($DE$2:$EC$300,$EH2,COLUMNS($GF$2:HD2)),"")</f>
        <v>662</v>
      </c>
      <c r="HI2" t="str">
        <f>IF($CY$60&lt;&gt;0,IF($CY$60=DE2,EF2,""),"")</f>
        <v/>
      </c>
    </row>
    <row r="3" spans="1:217" ht="15" customHeight="1" thickBot="1" x14ac:dyDescent="0.4">
      <c r="A3" s="128" t="s">
        <v>6</v>
      </c>
      <c r="B3" s="933" t="s">
        <v>1198</v>
      </c>
      <c r="D3" s="562" t="s">
        <v>108</v>
      </c>
      <c r="E3" s="563" t="s">
        <v>4</v>
      </c>
      <c r="F3" s="563" t="s">
        <v>5</v>
      </c>
      <c r="G3" s="564" t="s">
        <v>950</v>
      </c>
      <c r="I3" s="1233" t="s">
        <v>1111</v>
      </c>
      <c r="J3" s="1234"/>
      <c r="K3" s="1235"/>
      <c r="L3" s="92"/>
      <c r="N3" s="138" t="s">
        <v>793</v>
      </c>
      <c r="O3" s="138" t="str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 xml:space="preserve"> </v>
      </c>
      <c r="R3" s="26"/>
      <c r="DB3" s="37">
        <v>1039058</v>
      </c>
      <c r="DD3" s="75">
        <v>0</v>
      </c>
      <c r="DE3" s="37">
        <v>1163816</v>
      </c>
      <c r="DF3" s="37" t="s">
        <v>2128</v>
      </c>
      <c r="DG3" s="37" t="s">
        <v>2128</v>
      </c>
      <c r="DH3" s="37">
        <v>10</v>
      </c>
      <c r="DI3" s="37">
        <v>1010</v>
      </c>
      <c r="DJ3" s="37" t="s">
        <v>1994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10">
        <f>IFERROR(INDEX($DE$2:$DR$500,$EK2,COLUMNS($GF$2:GF2)),"")</f>
        <v>647435</v>
      </c>
      <c r="GH3" s="1110" t="str">
        <f>IFERROR(INDEX($DE$2:$DR$500,$EK2,COLUMNS($GF$2:GG2)),"")</f>
        <v>1608 CT200 0.018"</v>
      </c>
      <c r="GI3" s="1110" t="str">
        <f>IFERROR(INDEX($DE$2:$DR$500,$EK2,COLUMNS($GF$2:GH2)),"")</f>
        <v>1608 CT200 0.018"</v>
      </c>
      <c r="GJ3" s="1110">
        <f>IFERROR(INDEX($DE$2:$DR$500,$EK2,COLUMNS($GF$2:GI2)),"")</f>
        <v>16</v>
      </c>
      <c r="GK3" s="1110">
        <f>IFERROR(INDEX($DE$2:$DR$500,$EK2,COLUMNS($GF$2:GJ2)),"")</f>
        <v>1608</v>
      </c>
      <c r="GL3" s="1110" t="str">
        <f>IFERROR(INDEX($DE$2:$DR$500,$EK2,COLUMNS($GF$2:GK2)),"")</f>
        <v>CT200</v>
      </c>
      <c r="GM3" s="1110">
        <f>IFERROR(INDEX($DE$2:$DR$500,$EK2,COLUMNS($GF$2:GL2)),"")</f>
        <v>0</v>
      </c>
      <c r="GN3" s="1110" t="str">
        <f>IFERROR(INDEX($DE$2:$DR$500,$EK2,COLUMNS($GF$2:GM2)),"")</f>
        <v>0.018"</v>
      </c>
      <c r="GO3" s="1110">
        <f>IFERROR(INDEX($DE$2:$DR$500,$EK2,COLUMNS($GF$2:GN2)),"")</f>
        <v>0</v>
      </c>
      <c r="GP3" s="1110">
        <f>IFERROR(INDEX($DE$2:$DR$500,$EK2,COLUMNS($GF$2:GO2)),"")</f>
        <v>0</v>
      </c>
      <c r="GQ3" s="1110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>497</v>
      </c>
      <c r="GR3" s="1110">
        <f>IFERROR(INDEX($DE$2:$DR$500,$EK2,COLUMNS($GF$2:GQ2)),"")</f>
        <v>0</v>
      </c>
      <c r="GS3" s="1110">
        <f>IFERROR(INDEX($DE$2:$DR$500,$EK2,COLUMNS($GF$2:GR2)),"")</f>
        <v>0</v>
      </c>
      <c r="GT3" s="1110" t="str">
        <f>IFERROR(INDEX($DE$2:$EC$300,$EK2,COLUMNS($GF$2:GS2)),"")</f>
        <v xml:space="preserve">1608 CT200 </v>
      </c>
      <c r="GU3" s="1110">
        <f>IFERROR(INDEX($DE$2:$EC$300,$EK2,COLUMNS($GF$2:GT2)),"")</f>
        <v>64.428000000000011</v>
      </c>
      <c r="GV3" s="1110">
        <f>IFERROR(INDEX($DE$2:$EC$300,$EK2,COLUMNS($GF$2:GU2)),"")</f>
        <v>49.56</v>
      </c>
      <c r="GW3" s="1110">
        <f>IFERROR(INDEX($DE$2:$EC$300,$EK2,COLUMNS($GF$2:GV2)),"")</f>
        <v>0</v>
      </c>
      <c r="GX3" s="1110" t="str">
        <f>IFERROR(INDEX($DE$2:$EC$300,$EK2,COLUMNS($GF$2:GW2)),"")</f>
        <v>B</v>
      </c>
      <c r="GY3" s="1110" t="str">
        <f>IFERROR(INDEX($DE$2:$EC$300,$EK2,COLUMNS($GF$2:GX2)),"")</f>
        <v>6.4.1</v>
      </c>
      <c r="GZ3" s="1110">
        <f>IFERROR(INDEX($DE$2:$EC$300,$EK2,COLUMNS($GF$2:GY2)),"")</f>
        <v>10</v>
      </c>
      <c r="HA3" s="1110" t="str">
        <f>IFERROR(INDEX($DE$2:$EC$300,$EK2,COLUMNS($GF$2:GZ2)),"")</f>
        <v>16mm Cutter Replacement Standard</v>
      </c>
      <c r="HB3" s="1110" t="str">
        <f>IFERROR(INDEX($DE$2:$EC$300,$EK2,COLUMNS($GF$2:HA2)),"")</f>
        <v>16mm</v>
      </c>
      <c r="HC3" s="1110">
        <f>IFERROR(INDEX($DE$2:$EC$300,$EK2,COLUMNS($GF$2:HB2)),"")</f>
        <v>1</v>
      </c>
      <c r="HD3" s="1110" t="str">
        <f>IFERROR(INDEX($DE$2:$EC$300,$EK2,COLUMNS($GF$2:HC2)),"")</f>
        <v>EA</v>
      </c>
      <c r="HE3" s="1110">
        <f>IFERROR(INDEX($DE$2:$EC$300,$EK2,COLUMNS($GF$2:HD2)),"")</f>
        <v>490</v>
      </c>
    </row>
    <row r="4" spans="1:217" ht="15" customHeight="1" thickBot="1" x14ac:dyDescent="0.4">
      <c r="A4" s="128" t="s">
        <v>7</v>
      </c>
      <c r="B4" s="1" t="s">
        <v>2098</v>
      </c>
      <c r="D4" s="559" t="str">
        <f>IF(F4="","",IF(MAX(BI46:BI62)&lt;&gt;0,MAX(BI46:BI62)+1,""))</f>
        <v/>
      </c>
      <c r="E4" s="560"/>
      <c r="F4" s="967"/>
      <c r="G4" s="561"/>
      <c r="I4" s="1233" t="s">
        <v>1189</v>
      </c>
      <c r="J4" s="1234"/>
      <c r="K4" s="1235"/>
      <c r="L4" s="92"/>
      <c r="N4" s="138" t="s">
        <v>794</v>
      </c>
      <c r="O4" s="138" t="str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/>
      </c>
      <c r="R4" s="26"/>
      <c r="DB4" s="37">
        <v>1039060</v>
      </c>
      <c r="DD4" s="75">
        <v>0</v>
      </c>
      <c r="DE4" s="37">
        <v>1163818</v>
      </c>
      <c r="DF4" s="37" t="s">
        <v>2129</v>
      </c>
      <c r="DG4" s="37" t="s">
        <v>2129</v>
      </c>
      <c r="DH4" s="37">
        <v>13</v>
      </c>
      <c r="DI4" s="37">
        <v>1313</v>
      </c>
      <c r="DJ4" s="37" t="s">
        <v>1994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10">
        <f>IFERROR(INDEX($DE$2:$DR$500,$EN2,COLUMNS($GF$2:GF2)),"")</f>
        <v>418525</v>
      </c>
      <c r="GH4" s="1110" t="str">
        <f>IFERROR(INDEX($DE$2:$DR$500,$EN2,COLUMNS($GF$2:GG2)),"")</f>
        <v>1308 CT31 Drop in</v>
      </c>
      <c r="GI4" s="1110" t="str">
        <f>IFERROR(INDEX($DE$2:$DR$500,$EN2,COLUMNS($GF$2:GH2)),"")</f>
        <v xml:space="preserve">1308 CT31 Drop in </v>
      </c>
      <c r="GJ4" s="1110">
        <f>IFERROR(INDEX($DE$2:$DR$500,$EN2,COLUMNS($GF$2:GI2)),"")</f>
        <v>13</v>
      </c>
      <c r="GK4" s="1110">
        <f>IFERROR(INDEX($DE$2:$DR$500,$EN2,COLUMNS($GF$2:GJ2)),"")</f>
        <v>1308</v>
      </c>
      <c r="GL4" s="1110" t="str">
        <f>IFERROR(INDEX($DE$2:$DR$500,$EN2,COLUMNS($GF$2:GK2)),"")</f>
        <v>CT31</v>
      </c>
      <c r="GM4" s="1110" t="str">
        <f>IFERROR(INDEX($DE$2:$DR$500,$EN2,COLUMNS($GF$2:GL2)),"")</f>
        <v>Drop in</v>
      </c>
      <c r="GN4" s="1110">
        <f>IFERROR(INDEX($DE$2:$DR$500,$EN2,COLUMNS($GF$2:GM2)),"")</f>
        <v>0</v>
      </c>
      <c r="GO4" s="1110">
        <f>IFERROR(INDEX($DE$2:$DR$500,$EN2,COLUMNS($GF$2:GN2)),"")</f>
        <v>381</v>
      </c>
      <c r="GP4" s="1110">
        <f>IFERROR(INDEX($DE$2:$DR$500,$EN2,COLUMNS($GF$2:GO2)),"")</f>
        <v>0</v>
      </c>
      <c r="GQ4" s="1110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>100</v>
      </c>
      <c r="GR4" s="1110">
        <f>IFERROR(INDEX($DE$2:$DR$500,$EN2,COLUMNS($GF$2:GQ2)),"")</f>
        <v>0</v>
      </c>
      <c r="GS4" s="1110">
        <f>IFERROR(INDEX($DE$2:$DR$500,$EN2,COLUMNS($GF$2:GR2)),"")</f>
        <v>0</v>
      </c>
      <c r="GT4" s="1110" t="str">
        <f>IFERROR(INDEX($DE$2:$EC$300,$EN2,COLUMNS($GF$2:GS2)),"")</f>
        <v>1308 CT31 Drop in</v>
      </c>
      <c r="GU4" s="1110">
        <f>IFERROR(INDEX($DE$2:$EC$300,$EN2,COLUMNS($GF$2:GT2)),"")</f>
        <v>26.981066666666667</v>
      </c>
      <c r="GV4" s="1110">
        <f>IFERROR(INDEX($DE$2:$EC$300,$EN2,COLUMNS($GF$2:GU2)),"")</f>
        <v>20.754666666666665</v>
      </c>
      <c r="GW4" s="1110">
        <f>IFERROR(INDEX($DE$2:$EC$300,$EN2,COLUMNS($GF$2:GV2)),"")</f>
        <v>100</v>
      </c>
      <c r="GX4" s="1110" t="str">
        <f>IFERROR(INDEX($DE$2:$EC$300,$EN2,COLUMNS($GF$2:GW2)),"")</f>
        <v>B</v>
      </c>
      <c r="GY4" s="1110" t="str">
        <f>IFERROR(INDEX($DE$2:$EC$300,$EN2,COLUMNS($GF$2:GX2)),"")</f>
        <v>6.3.1</v>
      </c>
      <c r="GZ4" s="1110">
        <f>IFERROR(INDEX($DE$2:$EC$300,$EN2,COLUMNS($GF$2:GY2)),"")</f>
        <v>10</v>
      </c>
      <c r="HA4" s="1110" t="str">
        <f>IFERROR(INDEX($DE$2:$EC$300,$EN2,COLUMNS($GF$2:GZ2)),"")</f>
        <v>13mm Cutter Replacement Standard</v>
      </c>
      <c r="HB4" s="1110" t="str">
        <f>IFERROR(INDEX($DE$2:$EC$300,$EN2,COLUMNS($GF$2:HA2)),"")</f>
        <v>13mm</v>
      </c>
      <c r="HC4" s="1110">
        <f>IFERROR(INDEX($DE$2:$EC$300,$EN2,COLUMNS($GF$2:HB2)),"")</f>
        <v>1</v>
      </c>
      <c r="HD4" s="1110" t="str">
        <f>IFERROR(INDEX($DE$2:$EC$300,$EN2,COLUMNS($GF$2:HC2)),"")</f>
        <v>EA</v>
      </c>
      <c r="HE4" s="1110">
        <f>IFERROR(INDEX($DE$2:$EC$300,$EN2,COLUMNS($GF$2:HD2)),"")</f>
        <v>345</v>
      </c>
    </row>
    <row r="5" spans="1:217" ht="15" customHeight="1" thickBot="1" x14ac:dyDescent="0.5">
      <c r="A5" s="128" t="s">
        <v>2226</v>
      </c>
      <c r="B5" s="1005">
        <v>1080537</v>
      </c>
      <c r="C5" s="1006" t="str">
        <f>IF(F4&lt;&gt;"",IF(COUNTIF(B5,"*M*"),"","Add M"),"")</f>
        <v/>
      </c>
      <c r="D5" s="109" t="str">
        <f>IF(F5="","",IFERROR(D4+1,""))</f>
        <v/>
      </c>
      <c r="E5" s="341"/>
      <c r="F5" s="966"/>
      <c r="G5" s="343"/>
      <c r="I5" s="1233" t="s">
        <v>1203</v>
      </c>
      <c r="J5" s="1234"/>
      <c r="K5" s="1235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2130</v>
      </c>
      <c r="DG5" s="37" t="s">
        <v>2130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10" t="str">
        <f>IFERROR(INDEX($DE$2:$DR$500,$EQ2,COLUMNS($GF$2:GF2)),"")</f>
        <v/>
      </c>
      <c r="GH5" s="1110" t="str">
        <f>IFERROR(INDEX($DE$2:$DR$500,$EQ2,COLUMNS($GF$2:GG2)),"")</f>
        <v/>
      </c>
      <c r="GI5" s="1110" t="str">
        <f>IFERROR(INDEX($DE$2:$DR$500,$EQ2,COLUMNS($GF$2:GH2)),"")</f>
        <v/>
      </c>
      <c r="GJ5" s="1110" t="str">
        <f>IFERROR(INDEX($DE$2:$DR$500,$EQ2,COLUMNS($GF$2:GI2)),"")</f>
        <v/>
      </c>
      <c r="GK5" s="1110" t="str">
        <f>IFERROR(INDEX($DE$2:$DR$500,$EQ2,COLUMNS($GF$2:GJ2)),"")</f>
        <v/>
      </c>
      <c r="GL5" s="1110" t="str">
        <f>IFERROR(INDEX($DE$2:$DR$500,$EQ2,COLUMNS($GF$2:GK2)),"")</f>
        <v/>
      </c>
      <c r="GM5" s="1110" t="str">
        <f>IFERROR(INDEX($DE$2:$DR$500,$EQ2,COLUMNS($GF$2:GL2)),"")</f>
        <v/>
      </c>
      <c r="GN5" s="1110" t="str">
        <f>IFERROR(INDEX($DE$2:$DR$500,$EQ2,COLUMNS($GF$2:GM2)),"")</f>
        <v/>
      </c>
      <c r="GO5" s="1110" t="str">
        <f>IFERROR(INDEX($DE$2:$DR$500,$EQ2,COLUMNS($GF$2:GN2)),"")</f>
        <v/>
      </c>
      <c r="GP5" s="1110" t="str">
        <f>IFERROR(INDEX($DE$2:$DR$500,$EQ2,COLUMNS($GF$2:GO2)),"")</f>
        <v/>
      </c>
      <c r="GQ5" s="1110" t="str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/>
      </c>
      <c r="GR5" s="1110" t="str">
        <f>IFERROR(INDEX($DE$2:$DR$500,$EQ2,COLUMNS($GF$2:GQ2)),"")</f>
        <v/>
      </c>
      <c r="GS5" s="1110" t="str">
        <f>IFERROR(INDEX($DE$2:$DR$500,$EQ2,COLUMNS($GF$2:GR2)),"")</f>
        <v/>
      </c>
      <c r="GT5" s="1110" t="str">
        <f>IFERROR(INDEX($DE$2:$EC$300,$EQ2,COLUMNS($GF$2:GS2)),"")</f>
        <v/>
      </c>
      <c r="GU5" s="1110" t="str">
        <f>IFERROR(INDEX($DE$2:$EC$300,$EQ2,COLUMNS($GF$2:GT2)),"")</f>
        <v/>
      </c>
      <c r="GV5" s="1110" t="str">
        <f>IFERROR(INDEX($DE$2:$EC$300,$EQ2,COLUMNS($GF$2:GU2)),"")</f>
        <v/>
      </c>
      <c r="GW5" s="1110" t="str">
        <f>IFERROR(INDEX($DE$2:$EC$300,$EQ2,COLUMNS($GF$2:GV2)),"")</f>
        <v/>
      </c>
      <c r="GX5" s="1110" t="str">
        <f>IFERROR(INDEX($DE$2:$EC$300,$EQ2,COLUMNS($GF$2:GW2)),"")</f>
        <v/>
      </c>
      <c r="GY5" s="1110" t="str">
        <f>IFERROR(INDEX($DE$2:$EC$300,$EQ2,COLUMNS($GF$2:GX2)),"")</f>
        <v/>
      </c>
      <c r="GZ5" s="1110" t="str">
        <f>IFERROR(INDEX($DE$2:$EC$300,$EQ2,COLUMNS($GF$2:GY2)),"")</f>
        <v/>
      </c>
      <c r="HA5" s="1110" t="str">
        <f>IFERROR(INDEX($DE$2:$EC$300,$EQ2,COLUMNS($GF$2:GZ2)),"")</f>
        <v/>
      </c>
      <c r="HB5" s="1110" t="str">
        <f>IFERROR(INDEX($DE$2:$EC$300,$EQ2,COLUMNS($GF$2:HA2)),"")</f>
        <v/>
      </c>
      <c r="HC5" s="1110" t="str">
        <f>IFERROR(INDEX($DE$2:$EC$300,$EQ2,COLUMNS($GF$2:HB2)),"")</f>
        <v/>
      </c>
      <c r="HD5" s="1110" t="str">
        <f>IFERROR(INDEX($DE$2:$EC$300,$EQ2,COLUMNS($GF$2:HC2)),"")</f>
        <v/>
      </c>
      <c r="HE5" s="1110" t="str">
        <f>IFERROR(INDEX($DE$2:$EC$300,$EQ2,COLUMNS($GF$2:HD2)),"")</f>
        <v/>
      </c>
    </row>
    <row r="6" spans="1:217" ht="15" customHeight="1" thickBot="1" x14ac:dyDescent="0.4">
      <c r="A6" s="128" t="s">
        <v>940</v>
      </c>
      <c r="B6" s="2">
        <v>46002</v>
      </c>
      <c r="D6" s="109" t="str">
        <f>IF(F6="","",IFERROR(D5+1,""))</f>
        <v/>
      </c>
      <c r="E6" s="341"/>
      <c r="F6" s="342"/>
      <c r="G6" s="343"/>
      <c r="I6" s="1233" t="s">
        <v>1520</v>
      </c>
      <c r="J6" s="1234"/>
      <c r="K6" s="1235"/>
      <c r="L6" s="92"/>
      <c r="R6" s="26"/>
      <c r="DB6" s="37">
        <v>177778</v>
      </c>
      <c r="DD6" s="75">
        <v>0</v>
      </c>
      <c r="DE6" s="37">
        <v>1217967</v>
      </c>
      <c r="DF6" s="37" t="s">
        <v>2131</v>
      </c>
      <c r="DG6" s="37" t="s">
        <v>2131</v>
      </c>
      <c r="DH6" s="37">
        <v>13</v>
      </c>
      <c r="DI6" s="37">
        <v>1308</v>
      </c>
      <c r="DJ6" s="37" t="s">
        <v>2133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10" t="str">
        <f>IFERROR(INDEX($DE$2:$DR$500,$ET2,COLUMNS($GF$2:GF2)),"")</f>
        <v/>
      </c>
      <c r="GH6" s="1110" t="str">
        <f>IFERROR(INDEX($DE$2:$DR$500,$ET2,COLUMNS($GF$2:GG2)),"")</f>
        <v/>
      </c>
      <c r="GI6" s="1110" t="str">
        <f>IFERROR(INDEX($DE$2:$DR$500,$ET2,COLUMNS($GF$2:GH2)),"")</f>
        <v/>
      </c>
      <c r="GJ6" s="1110" t="str">
        <f>IFERROR(INDEX($DE$2:$DR$500,$ET2,COLUMNS($GF$2:GI2)),"")</f>
        <v/>
      </c>
      <c r="GK6" s="1110" t="str">
        <f>IFERROR(INDEX($DE$2:$DR$500,$ET2,COLUMNS($GF$2:GJ2)),"")</f>
        <v/>
      </c>
      <c r="GL6" s="1110" t="str">
        <f>IFERROR(INDEX($DE$2:$DR$500,$ET2,COLUMNS($GF$2:GK2)),"")</f>
        <v/>
      </c>
      <c r="GM6" s="1110" t="str">
        <f>IFERROR(INDEX($DE$2:$DR$500,$ET2,COLUMNS($GF$2:GL2)),"")</f>
        <v/>
      </c>
      <c r="GN6" s="1110" t="str">
        <f>IFERROR(INDEX($DE$2:$DR$500,$ET2,COLUMNS($GF$2:GM2)),"")</f>
        <v/>
      </c>
      <c r="GO6" s="1110" t="str">
        <f>IFERROR(INDEX($DE$2:$DR$500,$ET2,COLUMNS($GF$2:GN2)),"")</f>
        <v/>
      </c>
      <c r="GP6" s="1110" t="str">
        <f>IFERROR(INDEX($DE$2:$DR$500,$ET2,COLUMNS($GF$2:GO2)),"")</f>
        <v/>
      </c>
      <c r="GQ6" s="1110" t="str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/>
      </c>
      <c r="GR6" s="1110" t="str">
        <f>IFERROR(INDEX($DE$2:$DR$500,$ET2,COLUMNS($GF$2:GQ2)),"")</f>
        <v/>
      </c>
      <c r="GS6" s="1110" t="str">
        <f>IFERROR(INDEX($DE$2:$DR$500,$ET2,COLUMNS($GF$2:GR2)),"")</f>
        <v/>
      </c>
      <c r="GT6" s="1110" t="str">
        <f>IFERROR(INDEX($DE$2:$EC$300,$ET2,COLUMNS($GF$2:GS2)),"")</f>
        <v/>
      </c>
      <c r="GU6" s="1110" t="str">
        <f>IFERROR(INDEX($DE$2:$EC$300,$ET2,COLUMNS($GF$2:GT2)),"")</f>
        <v/>
      </c>
      <c r="GV6" s="1110" t="str">
        <f>IFERROR(INDEX($DE$2:$EC$300,$ET2,COLUMNS($GF$2:GU2)),"")</f>
        <v/>
      </c>
      <c r="GW6" s="1110" t="str">
        <f>IFERROR(INDEX($DE$2:$EC$300,$ET2,COLUMNS($GF$2:GV2)),"")</f>
        <v/>
      </c>
      <c r="GX6" s="1110" t="str">
        <f>IFERROR(INDEX($DE$2:$EC$300,$ET2,COLUMNS($GF$2:GW2)),"")</f>
        <v/>
      </c>
      <c r="GY6" s="1110" t="str">
        <f>IFERROR(INDEX($DE$2:$EC$300,$ET2,COLUMNS($GF$2:GX2)),"")</f>
        <v/>
      </c>
      <c r="GZ6" s="1110" t="str">
        <f>IFERROR(INDEX($DE$2:$EC$300,$ET2,COLUMNS($GF$2:GY2)),"")</f>
        <v/>
      </c>
      <c r="HA6" s="1110" t="str">
        <f>IFERROR(INDEX($DE$2:$EC$300,$ET2,COLUMNS($GF$2:GZ2)),"")</f>
        <v/>
      </c>
      <c r="HB6" s="1110" t="str">
        <f>IFERROR(INDEX($DE$2:$EC$300,$ET2,COLUMNS($GF$2:HA2)),"")</f>
        <v/>
      </c>
      <c r="HC6" s="1110" t="str">
        <f>IFERROR(INDEX($DE$2:$EC$300,$ET2,COLUMNS($GF$2:HB2)),"")</f>
        <v/>
      </c>
      <c r="HD6" s="1110" t="str">
        <f>IFERROR(INDEX($DE$2:$EC$300,$ET2,COLUMNS($GF$2:HC2)),"")</f>
        <v/>
      </c>
      <c r="HE6" s="1110" t="str">
        <f>IFERROR(INDEX($DE$2:$EC$300,$ET2,COLUMNS($GF$2:HD2)),"")</f>
        <v/>
      </c>
    </row>
    <row r="7" spans="1:217" ht="15" customHeight="1" thickBot="1" x14ac:dyDescent="0.4">
      <c r="A7" s="131" t="s">
        <v>11</v>
      </c>
      <c r="B7" s="104" t="s">
        <v>1516</v>
      </c>
      <c r="D7" s="109" t="str">
        <f>IF(F7="","",IFERROR(D6+1,""))</f>
        <v/>
      </c>
      <c r="E7" s="341"/>
      <c r="F7" s="342"/>
      <c r="G7" s="343"/>
      <c r="I7" s="1233" t="str">
        <f>IF(COUNTIF(Data!B4,"S*"),"ARDT Hardfacing","ARDT Matrix Build up")</f>
        <v>ARDT Matrix Build up</v>
      </c>
      <c r="J7" s="1234"/>
      <c r="K7" s="1235"/>
      <c r="L7" s="92"/>
      <c r="M7" s="1258" t="s">
        <v>1534</v>
      </c>
      <c r="N7" s="1259"/>
      <c r="O7" s="895" t="s">
        <v>1691</v>
      </c>
      <c r="R7" s="26"/>
      <c r="DB7" s="37">
        <v>375538</v>
      </c>
      <c r="DD7" s="75">
        <v>0</v>
      </c>
      <c r="DE7" s="37">
        <v>107348</v>
      </c>
      <c r="DF7" s="37" t="s">
        <v>2132</v>
      </c>
      <c r="DG7" s="37" t="s">
        <v>2132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10" t="str">
        <f>IFERROR(INDEX($DE$2:$DR$500,$EW2,COLUMNS($GF$2:GF2)),"")</f>
        <v/>
      </c>
      <c r="GH7" s="1110" t="str">
        <f>IFERROR(INDEX($DE$2:$DR$500,$EW2,COLUMNS($GF$2:GG2)),"")</f>
        <v/>
      </c>
      <c r="GI7" s="1110" t="str">
        <f>IFERROR(INDEX($DE$2:$DR$500,$EW2,COLUMNS($GF$2:GH2)),"")</f>
        <v/>
      </c>
      <c r="GJ7" s="1110" t="str">
        <f>IFERROR(INDEX($DE$2:$DR$500,$EW2,COLUMNS($GF$2:GI2)),"")</f>
        <v/>
      </c>
      <c r="GK7" s="1110" t="str">
        <f>IFERROR(INDEX($DE$2:$DR$500,$EW2,COLUMNS($GF$2:GJ2)),"")</f>
        <v/>
      </c>
      <c r="GL7" s="1110" t="str">
        <f>IFERROR(INDEX($DE$2:$DR$500,$EW2,COLUMNS($GF$2:GK2)),"")</f>
        <v/>
      </c>
      <c r="GM7" s="1110" t="str">
        <f>IFERROR(INDEX($DE$2:$DR$500,$EW2,COLUMNS($GF$2:GL2)),"")</f>
        <v/>
      </c>
      <c r="GN7" s="1110" t="str">
        <f>IFERROR(INDEX($DE$2:$DR$500,$EW2,COLUMNS($GF$2:GM2)),"")</f>
        <v/>
      </c>
      <c r="GO7" s="1110" t="str">
        <f>IFERROR(INDEX($DE$2:$DR$500,$EW2,COLUMNS($GF$2:GN2)),"")</f>
        <v/>
      </c>
      <c r="GP7" s="1110" t="str">
        <f>IFERROR(INDEX($DE$2:$DR$500,$EW2,COLUMNS($GF$2:GO2)),"")</f>
        <v/>
      </c>
      <c r="GQ7" s="1110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10" t="str">
        <f>IFERROR(INDEX($DE$2:$DR$500,$EW2,COLUMNS($GF$2:GQ2)),"")</f>
        <v/>
      </c>
      <c r="GS7" s="1110" t="str">
        <f>IFERROR(INDEX($DE$2:$DR$500,$EW2,COLUMNS($GF$2:GR2)),"")</f>
        <v/>
      </c>
      <c r="GT7" s="1110" t="str">
        <f>IFERROR(INDEX($DE$2:$EC$300,$EW2,COLUMNS($GF$2:GS2)),"")</f>
        <v/>
      </c>
      <c r="GU7" s="1110" t="str">
        <f>IFERROR(INDEX($DE$2:$EC$300,$EW2,COLUMNS($GF$2:GT2)),"")</f>
        <v/>
      </c>
      <c r="GV7" s="1110" t="str">
        <f>IFERROR(INDEX($DE$2:$EC$300,$EW2,COLUMNS($GF$2:GU2)),"")</f>
        <v/>
      </c>
      <c r="GW7" s="1110" t="str">
        <f>IFERROR(INDEX($DE$2:$EC$300,$EW2,COLUMNS($GF$2:GV2)),"")</f>
        <v/>
      </c>
      <c r="GX7" s="1110" t="str">
        <f>IFERROR(INDEX($DE$2:$EC$300,$EW2,COLUMNS($GF$2:GW2)),"")</f>
        <v/>
      </c>
      <c r="GY7" s="1110" t="str">
        <f>IFERROR(INDEX($DE$2:$EC$300,$EW2,COLUMNS($GF$2:GX2)),"")</f>
        <v/>
      </c>
      <c r="GZ7" s="1110" t="str">
        <f>IFERROR(INDEX($DE$2:$EC$300,$EW2,COLUMNS($GF$2:GY2)),"")</f>
        <v/>
      </c>
      <c r="HA7" s="1110" t="str">
        <f>IFERROR(INDEX($DE$2:$EC$300,$EW2,COLUMNS($GF$2:GZ2)),"")</f>
        <v/>
      </c>
      <c r="HB7" s="1110" t="str">
        <f>IFERROR(INDEX($DE$2:$EC$300,$EW2,COLUMNS($GF$2:HA2)),"")</f>
        <v/>
      </c>
      <c r="HC7" s="1110" t="str">
        <f>IFERROR(INDEX($DE$2:$EC$300,$EW2,COLUMNS($GF$2:HB2)),"")</f>
        <v/>
      </c>
      <c r="HD7" s="1110" t="str">
        <f>IFERROR(INDEX($DE$2:$EC$300,$EW2,COLUMNS($GF$2:HC2)),"")</f>
        <v/>
      </c>
      <c r="HE7" s="1110" t="str">
        <f>IFERROR(INDEX($DE$2:$EC$300,$EW2,COLUMNS($GF$2:HD2)),"")</f>
        <v/>
      </c>
    </row>
    <row r="8" spans="1:217" ht="15" customHeight="1" thickBot="1" x14ac:dyDescent="0.4">
      <c r="A8" s="1009" t="s">
        <v>2227</v>
      </c>
      <c r="B8" s="1"/>
      <c r="D8" s="109" t="str">
        <f>IF(F8="","",IFERROR(D7+1,""))</f>
        <v/>
      </c>
      <c r="E8" s="341"/>
      <c r="F8" s="342"/>
      <c r="G8" s="343"/>
      <c r="I8" s="1233" t="str">
        <f>IF(COUNTIF(Data!B4,"S*"),"Engineer Hardfacing","Engineer Matrix Build up")</f>
        <v>Engineer Matrix Build up</v>
      </c>
      <c r="J8" s="1234"/>
      <c r="K8" s="1235"/>
      <c r="L8" s="92"/>
      <c r="M8" s="1256" t="s">
        <v>1521</v>
      </c>
      <c r="N8" s="1252"/>
      <c r="O8" s="1253"/>
      <c r="R8" s="26"/>
      <c r="DB8" s="37">
        <v>376826</v>
      </c>
      <c r="DD8" s="75">
        <v>0</v>
      </c>
      <c r="DE8" s="37">
        <v>1165788</v>
      </c>
      <c r="DF8" s="37" t="s">
        <v>2126</v>
      </c>
      <c r="DG8" s="37" t="s">
        <v>2126</v>
      </c>
      <c r="DH8" s="37">
        <v>19</v>
      </c>
      <c r="DI8" s="37">
        <v>1913</v>
      </c>
      <c r="DJ8" s="37" t="s">
        <v>2119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10" t="str">
        <f>IFERROR(INDEX($DE$2:$DR$500,$EZ2,COLUMNS($GF$2:GF2)),"")</f>
        <v/>
      </c>
      <c r="GH8" s="1110" t="str">
        <f>IFERROR(INDEX($DE$2:$DR$500,$EZ2,COLUMNS($GF$2:GG2)),"")</f>
        <v/>
      </c>
      <c r="GI8" s="1110" t="str">
        <f>IFERROR(INDEX($DE$2:$DR$500,$EZ2,COLUMNS($GF$2:GH2)),"")</f>
        <v/>
      </c>
      <c r="GJ8" s="1110" t="str">
        <f>IFERROR(INDEX($DE$2:$DR$500,$EZ2,COLUMNS($GF$2:GI2)),"")</f>
        <v/>
      </c>
      <c r="GK8" s="1110" t="str">
        <f>IFERROR(INDEX($DE$2:$DR$500,$EZ2,COLUMNS($GF$2:GJ2)),"")</f>
        <v/>
      </c>
      <c r="GL8" s="1110" t="str">
        <f>IFERROR(INDEX($DE$2:$DR$500,$EZ2,COLUMNS($GF$2:GK2)),"")</f>
        <v/>
      </c>
      <c r="GM8" s="1110" t="str">
        <f>IFERROR(INDEX($DE$2:$DR$500,$EZ2,COLUMNS($GF$2:GL2)),"")</f>
        <v/>
      </c>
      <c r="GN8" s="1110" t="str">
        <f>IFERROR(INDEX($DE$2:$DR$500,$EZ2,COLUMNS($GF$2:GM2)),"")</f>
        <v/>
      </c>
      <c r="GO8" s="1110" t="str">
        <f>IFERROR(INDEX($DE$2:$DR$500,$EZ2,COLUMNS($GF$2:GN2)),"")</f>
        <v/>
      </c>
      <c r="GP8" s="1110" t="str">
        <f>IFERROR(INDEX($DE$2:$DR$500,$EZ2,COLUMNS($GF$2:GO2)),"")</f>
        <v/>
      </c>
      <c r="GQ8" s="1110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10" t="str">
        <f>IFERROR(INDEX($DE$2:$DR$500,$EZ2,COLUMNS($GF$2:GQ2)),"")</f>
        <v/>
      </c>
      <c r="GS8" s="1110" t="str">
        <f>IFERROR(INDEX($DE$2:$DR$500,$EZ2,COLUMNS($GF$2:GR2)),"")</f>
        <v/>
      </c>
      <c r="GT8" s="1110" t="str">
        <f>IFERROR(INDEX($DE$2:$EC$300,$EZ2,COLUMNS($GF$2:GS2)),"")</f>
        <v/>
      </c>
      <c r="GU8" s="1110" t="str">
        <f>IFERROR(INDEX($DE$2:$EC$300,$EZ2,COLUMNS($GF$2:GT2)),"")</f>
        <v/>
      </c>
      <c r="GV8" s="1110" t="str">
        <f>IFERROR(INDEX($DE$2:$EC$300,$EZ2,COLUMNS($GF$2:GU2)),"")</f>
        <v/>
      </c>
      <c r="GW8" s="1110" t="str">
        <f>IFERROR(INDEX($DE$2:$EC$300,$EZ2,COLUMNS($GF$2:GV2)),"")</f>
        <v/>
      </c>
      <c r="GX8" s="1110" t="str">
        <f>IFERROR(INDEX($DE$2:$EC$300,$EZ2,COLUMNS($GF$2:GW2)),"")</f>
        <v/>
      </c>
      <c r="GY8" s="1110" t="str">
        <f>IFERROR(INDEX($DE$2:$EC$300,$EZ2,COLUMNS($GF$2:GX2)),"")</f>
        <v/>
      </c>
      <c r="GZ8" s="1110" t="str">
        <f>IFERROR(INDEX($DE$2:$EC$300,$EZ2,COLUMNS($GF$2:GY2)),"")</f>
        <v/>
      </c>
      <c r="HA8" s="1110" t="str">
        <f>IFERROR(INDEX($DE$2:$EC$300,$EZ2,COLUMNS($GF$2:GZ2)),"")</f>
        <v/>
      </c>
      <c r="HB8" s="1110" t="str">
        <f>IFERROR(INDEX($DE$2:$EC$300,$EZ2,COLUMNS($GF$2:HA2)),"")</f>
        <v/>
      </c>
      <c r="HC8" s="1110" t="str">
        <f>IFERROR(INDEX($DE$2:$EC$300,$EZ2,COLUMNS($GF$2:HB2)),"")</f>
        <v/>
      </c>
      <c r="HD8" s="1110" t="str">
        <f>IFERROR(INDEX($DE$2:$EC$300,$EZ2,COLUMNS($GF$2:HC2)),"")</f>
        <v/>
      </c>
      <c r="HE8" s="1110" t="str">
        <f>IFERROR(INDEX($DE$2:$EC$300,$EZ2,COLUMNS($GF$2:HD2)),"")</f>
        <v/>
      </c>
    </row>
    <row r="9" spans="1:217" ht="15.75" customHeight="1" thickBot="1" x14ac:dyDescent="0.4">
      <c r="A9" s="128" t="s">
        <v>2228</v>
      </c>
      <c r="B9" s="1"/>
      <c r="I9" s="1233" t="s">
        <v>842</v>
      </c>
      <c r="J9" s="1234"/>
      <c r="K9" s="1235"/>
      <c r="L9" s="92"/>
      <c r="M9" s="1257"/>
      <c r="N9" s="1254"/>
      <c r="O9" s="1255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10" t="str">
        <f>IFERROR(INDEX($DE$2:$DR$500,$FC2,COLUMNS($GF$2:GF2)),"")</f>
        <v/>
      </c>
      <c r="GH9" s="1110" t="str">
        <f>IFERROR(INDEX($DE$2:$DR$500,$FC2,COLUMNS($GF$2:GG2)),"")</f>
        <v/>
      </c>
      <c r="GI9" s="1110" t="str">
        <f>IFERROR(INDEX($DE$2:$DR$500,$FC2,COLUMNS($GF$2:GH2)),"")</f>
        <v/>
      </c>
      <c r="GJ9" s="1110" t="str">
        <f>IFERROR(INDEX($DE$2:$DR$500,$FC2,COLUMNS($GF$2:GI2)),"")</f>
        <v/>
      </c>
      <c r="GK9" s="1110" t="str">
        <f>IFERROR(INDEX($DE$2:$DR$500,$FC2,COLUMNS($GF$2:GJ2)),"")</f>
        <v/>
      </c>
      <c r="GL9" s="1110" t="str">
        <f>IFERROR(INDEX($DE$2:$DR$500,$FC2,COLUMNS($GF$2:GK2)),"")</f>
        <v/>
      </c>
      <c r="GM9" s="1110" t="str">
        <f>IFERROR(INDEX($DE$2:$DR$500,$FC2,COLUMNS($GF$2:GL2)),"")</f>
        <v/>
      </c>
      <c r="GN9" s="1110" t="str">
        <f>IFERROR(INDEX($DE$2:$DR$500,$FC2,COLUMNS($GF$2:GM2)),"")</f>
        <v/>
      </c>
      <c r="GO9" s="1110" t="str">
        <f>IFERROR(INDEX($DE$2:$DR$500,$FC2,COLUMNS($GF$2:GN2)),"")</f>
        <v/>
      </c>
      <c r="GP9" s="1110" t="str">
        <f>IFERROR(INDEX($DE$2:$DR$500,$FC2,COLUMNS($GF$2:GO2)),"")</f>
        <v/>
      </c>
      <c r="GQ9" s="1110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10" t="str">
        <f>IFERROR(INDEX($DE$2:$DR$500,$FC2,COLUMNS($GF$2:GQ2)),"")</f>
        <v/>
      </c>
      <c r="GS9" s="1110" t="str">
        <f>IFERROR(INDEX($DE$2:$DR$500,$FC2,COLUMNS($GF$2:GR2)),"")</f>
        <v/>
      </c>
      <c r="GT9" s="1110" t="str">
        <f>IFERROR(INDEX($DE$2:$EC$300,$FC2,COLUMNS($GF$2:GS2)),"")</f>
        <v/>
      </c>
      <c r="GU9" s="1110" t="str">
        <f>IFERROR(INDEX($DE$2:$EC$300,$FC2,COLUMNS($GF$2:GT2)),"")</f>
        <v/>
      </c>
      <c r="GV9" s="1110" t="str">
        <f>IFERROR(INDEX($DE$2:$EC$300,$FC2,COLUMNS($GF$2:GU2)),"")</f>
        <v/>
      </c>
      <c r="GW9" s="1110" t="str">
        <f>IFERROR(INDEX($DE$2:$EC$300,$FC2,COLUMNS($GF$2:GV2)),"")</f>
        <v/>
      </c>
      <c r="GX9" s="1110" t="str">
        <f>IFERROR(INDEX($DE$2:$EC$300,$FC2,COLUMNS($GF$2:GW2)),"")</f>
        <v/>
      </c>
      <c r="GY9" s="1110" t="str">
        <f>IFERROR(INDEX($DE$2:$EC$300,$FC2,COLUMNS($GF$2:GX2)),"")</f>
        <v/>
      </c>
      <c r="GZ9" s="1110" t="str">
        <f>IFERROR(INDEX($DE$2:$EC$300,$FC2,COLUMNS($GF$2:GY2)),"")</f>
        <v/>
      </c>
      <c r="HA9" s="1110" t="str">
        <f>IFERROR(INDEX($DE$2:$EC$300,$FC2,COLUMNS($GF$2:GZ2)),"")</f>
        <v/>
      </c>
      <c r="HB9" s="1110" t="str">
        <f>IFERROR(INDEX($DE$2:$EC$300,$FC2,COLUMNS($GF$2:HA2)),"")</f>
        <v/>
      </c>
      <c r="HC9" s="1110" t="str">
        <f>IFERROR(INDEX($DE$2:$EC$300,$FC2,COLUMNS($GF$2:HB2)),"")</f>
        <v/>
      </c>
      <c r="HD9" s="1110" t="str">
        <f>IFERROR(INDEX($DE$2:$EC$300,$FC2,COLUMNS($GF$2:HC2)),"")</f>
        <v/>
      </c>
      <c r="HE9" s="1110" t="str">
        <f>IFERROR(INDEX($DE$2:$EC$300,$FC2,COLUMNS($GF$2:HD2)),"")</f>
        <v/>
      </c>
    </row>
    <row r="10" spans="1:217" ht="17.25" customHeight="1" thickBot="1" x14ac:dyDescent="0.4">
      <c r="A10" s="131" t="s">
        <v>1960</v>
      </c>
      <c r="B10" s="104" t="s">
        <v>2535</v>
      </c>
      <c r="D10" s="1241" t="s">
        <v>953</v>
      </c>
      <c r="E10" s="1242"/>
      <c r="F10" s="1242"/>
      <c r="G10" s="1242"/>
      <c r="H10" s="1242"/>
      <c r="I10" s="1242"/>
      <c r="J10" s="1243"/>
      <c r="K10" s="1236" t="s">
        <v>44</v>
      </c>
      <c r="L10" s="1237"/>
      <c r="M10" s="620"/>
      <c r="N10" s="1231" t="s">
        <v>964</v>
      </c>
      <c r="O10" s="1232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0</v>
      </c>
      <c r="EF10">
        <f>ROWS($DE$2:DE10)</f>
        <v>9</v>
      </c>
      <c r="EG10" t="str">
        <f t="shared" si="0"/>
        <v/>
      </c>
      <c r="EJ10" t="str">
        <f t="shared" si="1"/>
        <v/>
      </c>
      <c r="EM10" t="str">
        <f t="shared" si="2"/>
        <v/>
      </c>
      <c r="EP10" t="str">
        <f t="shared" si="3"/>
        <v/>
      </c>
      <c r="ES10" t="str">
        <f t="shared" si="4"/>
        <v/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10" t="str">
        <f>IFERROR(INDEX($DE$2:$DR$500,$FF2,COLUMNS($GF$2:GF2)),"")</f>
        <v/>
      </c>
      <c r="GH10" s="1110" t="str">
        <f>IFERROR(INDEX($DE$2:$DR$500,$FF2,COLUMNS($GF$2:GG2)),"")</f>
        <v/>
      </c>
      <c r="GI10" s="1110" t="str">
        <f>IFERROR(INDEX($DE$2:$DR$500,$FF2,COLUMNS($GF$2:GH2)),"")</f>
        <v/>
      </c>
      <c r="GJ10" s="1110" t="str">
        <f>IFERROR(INDEX($DE$2:$DR$500,$FF2,COLUMNS($GF$2:GI2)),"")</f>
        <v/>
      </c>
      <c r="GK10" s="1110" t="str">
        <f>IFERROR(INDEX($DE$2:$DR$500,$FF2,COLUMNS($GF$2:GJ2)),"")</f>
        <v/>
      </c>
      <c r="GL10" s="1110" t="str">
        <f>IFERROR(INDEX($DE$2:$DR$500,$FF2,COLUMNS($GF$2:GK2)),"")</f>
        <v/>
      </c>
      <c r="GM10" s="1110" t="str">
        <f>IFERROR(INDEX($DE$2:$DR$500,$FF2,COLUMNS($GF$2:GL2)),"")</f>
        <v/>
      </c>
      <c r="GN10" s="1110" t="str">
        <f>IFERROR(INDEX($DE$2:$DR$500,$FF2,COLUMNS($GF$2:GM2)),"")</f>
        <v/>
      </c>
      <c r="GO10" s="1110" t="str">
        <f>IFERROR(INDEX($DE$2:$DR$500,$FF2,COLUMNS($GF$2:GN2)),"")</f>
        <v/>
      </c>
      <c r="GP10" s="1110" t="str">
        <f>IFERROR(INDEX($DE$2:$DR$500,$FF2,COLUMNS($GF$2:GO2)),"")</f>
        <v/>
      </c>
      <c r="GQ10" s="1110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10" t="str">
        <f>IFERROR(INDEX($DE$2:$DR$500,$FF2,COLUMNS($GF$2:GQ2)),"")</f>
        <v/>
      </c>
      <c r="GS10" s="1110" t="str">
        <f>IFERROR(INDEX($DE$2:$DR$500,$FF2,COLUMNS($GF$2:GR2)),"")</f>
        <v/>
      </c>
      <c r="GT10" s="1110" t="str">
        <f>IFERROR(INDEX($DE$2:$EC$300,$FF2,COLUMNS($GF$2:GS2)),"")</f>
        <v/>
      </c>
      <c r="GU10" s="1110" t="str">
        <f>IFERROR(INDEX($DE$2:$EC$300,$FF2,COLUMNS($GF$2:GT2)),"")</f>
        <v/>
      </c>
      <c r="GV10" s="1110" t="str">
        <f>IFERROR(INDEX($DE$2:$EC$300,$FF2,COLUMNS($GF$2:GU2)),"")</f>
        <v/>
      </c>
      <c r="GW10" s="1110" t="str">
        <f>IFERROR(INDEX($DE$2:$EC$300,$FF2,COLUMNS($GF$2:GV2)),"")</f>
        <v/>
      </c>
      <c r="GX10" s="1110" t="str">
        <f>IFERROR(INDEX($DE$2:$EC$300,$FF2,COLUMNS($GF$2:GW2)),"")</f>
        <v/>
      </c>
      <c r="GY10" s="1110" t="str">
        <f>IFERROR(INDEX($DE$2:$EC$300,$FF2,COLUMNS($GF$2:GX2)),"")</f>
        <v/>
      </c>
      <c r="GZ10" s="1110" t="str">
        <f>IFERROR(INDEX($DE$2:$EC$300,$FF2,COLUMNS($GF$2:GY2)),"")</f>
        <v/>
      </c>
      <c r="HA10" s="1110" t="str">
        <f>IFERROR(INDEX($DE$2:$EC$300,$FF2,COLUMNS($GF$2:GZ2)),"")</f>
        <v/>
      </c>
      <c r="HB10" s="1110" t="str">
        <f>IFERROR(INDEX($DE$2:$EC$300,$FF2,COLUMNS($GF$2:HA2)),"")</f>
        <v/>
      </c>
      <c r="HC10" s="1110" t="str">
        <f>IFERROR(INDEX($DE$2:$EC$300,$FF2,COLUMNS($GF$2:HB2)),"")</f>
        <v/>
      </c>
      <c r="HD10" s="1110" t="str">
        <f>IFERROR(INDEX($DE$2:$EC$300,$FF2,COLUMNS($GF$2:HC2)),"")</f>
        <v/>
      </c>
      <c r="HE10" s="1110" t="str">
        <f>IFERROR(INDEX($DE$2:$EC$300,$FF2,COLUMNS($GF$2:HD2)),"")</f>
        <v/>
      </c>
    </row>
    <row r="11" spans="1:217" ht="21" customHeight="1" thickBot="1" x14ac:dyDescent="0.4">
      <c r="A11" s="131" t="s">
        <v>13</v>
      </c>
      <c r="B11" s="104" t="s">
        <v>2335</v>
      </c>
      <c r="D11" s="550" t="s">
        <v>108</v>
      </c>
      <c r="E11" s="550" t="s">
        <v>40</v>
      </c>
      <c r="F11" s="550" t="s">
        <v>778</v>
      </c>
      <c r="G11" s="550" t="s">
        <v>42</v>
      </c>
      <c r="H11" s="1244" t="s">
        <v>43</v>
      </c>
      <c r="I11" s="1244"/>
      <c r="J11" s="1244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10" t="str">
        <f>IFERROR(INDEX($DE$2:$DR$500,$FI2,COLUMNS($GF$2:GF2)),"")</f>
        <v/>
      </c>
      <c r="GH11" s="1110" t="str">
        <f>IFERROR(INDEX($DE$2:$DR$500,$FI2,COLUMNS($GF$2:GG2)),"")</f>
        <v/>
      </c>
      <c r="GI11" s="1110" t="str">
        <f>IFERROR(INDEX($DE$2:$DR$500,$FI2,COLUMNS($GF$2:GH2)),"")</f>
        <v/>
      </c>
      <c r="GJ11" s="1110" t="str">
        <f>IFERROR(INDEX($DE$2:$DR$500,$FI2,COLUMNS($GF$2:GI2)),"")</f>
        <v/>
      </c>
      <c r="GK11" s="1110" t="str">
        <f>IFERROR(INDEX($DE$2:$DR$500,$FI2,COLUMNS($GF$2:GJ2)),"")</f>
        <v/>
      </c>
      <c r="GL11" s="1110" t="str">
        <f>IFERROR(INDEX($DE$2:$DR$500,$FI2,COLUMNS($GF$2:GK2)),"")</f>
        <v/>
      </c>
      <c r="GM11" s="1110" t="str">
        <f>IFERROR(INDEX($DE$2:$DR$500,$FI2,COLUMNS($GF$2:GL2)),"")</f>
        <v/>
      </c>
      <c r="GN11" s="1110" t="str">
        <f>IFERROR(INDEX($DE$2:$DR$500,$FI2,COLUMNS($GF$2:GM2)),"")</f>
        <v/>
      </c>
      <c r="GO11" s="1110" t="str">
        <f>IFERROR(INDEX($DE$2:$DR$500,$FI2,COLUMNS($GF$2:GN2)),"")</f>
        <v/>
      </c>
      <c r="GP11" s="1110" t="str">
        <f>IFERROR(INDEX($DE$2:$DR$500,$FI2,COLUMNS($GF$2:GO2)),"")</f>
        <v/>
      </c>
      <c r="GQ11" s="1110" t="str">
        <f>IFERROR(INDEX($DE$2:$DR$500,$FI2,COLUMNS($GF$2:GP2)),"")</f>
        <v/>
      </c>
      <c r="GR11" s="1110" t="str">
        <f>IFERROR(INDEX($DE$2:$DR$500,$FI2,COLUMNS($GF$2:GQ2)),"")</f>
        <v/>
      </c>
      <c r="GS11" s="1110" t="str">
        <f>IFERROR(INDEX($DE$2:$DR$500,$FI2,COLUMNS($GF$2:GR2)),"")</f>
        <v/>
      </c>
      <c r="GT11" s="1110" t="str">
        <f>IFERROR(INDEX($DE$2:$DR$500,$FI2,COLUMNS($GF$2:GS2)),"")</f>
        <v/>
      </c>
      <c r="GU11" s="1110" t="str">
        <f>IFERROR(INDEX($DE$2:EC$200,$FI2,COLUMNS($GF$2:GT2)),"")</f>
        <v/>
      </c>
      <c r="GV11" s="1110" t="str">
        <f>IFERROR(INDEX($DE$2:EC$200,$FI2,COLUMNS($GF$2:GU2)),"")</f>
        <v/>
      </c>
      <c r="GW11" s="1110" t="str">
        <f>IFERROR(INDEX($DE$2:EC$200,$FI2,COLUMNS($GF$2:GV2)),"")</f>
        <v/>
      </c>
      <c r="GX11" s="1110" t="str">
        <f>IFERROR(INDEX($DE$2:EC$200,$FI2,COLUMNS($GF$2:GW2)),"")</f>
        <v/>
      </c>
      <c r="GY11" s="1110" t="str">
        <f>IFERROR(INDEX($DE$2:EC$200,$FI2,COLUMNS($GF$2:GX2)),"")</f>
        <v/>
      </c>
      <c r="GZ11" s="1110" t="str">
        <f>IFERROR(INDEX($DE$2:EC$200,$FI2,COLUMNS($GF$2:GY2)),"")</f>
        <v/>
      </c>
      <c r="HA11" s="1110" t="str">
        <f>IFERROR(INDEX($DE$2:EC$200,$FI2,COLUMNS($GF$2:GZ2)),"")</f>
        <v/>
      </c>
      <c r="HB11" s="1110" t="str">
        <f>IFERROR(INDEX($DE$2:$EC$300,$FI2,COLUMNS($GF$2:HA2)),"")</f>
        <v/>
      </c>
      <c r="HC11" s="1110" t="str">
        <f>IFERROR(INDEX($DE$2:$EC$300,$FI2,COLUMNS($GF$2:HB2)),"")</f>
        <v/>
      </c>
      <c r="HD11" s="1110" t="str">
        <f>IFERROR(INDEX($DE$2:$EC$300,$FI2,COLUMNS($GF$2:HC2)),"")</f>
        <v/>
      </c>
      <c r="HE11" s="1110" t="str">
        <f>IFERROR(INDEX($DE$2:$EC$300,$FI2,COLUMNS($GF$2:HD2)),"")</f>
        <v/>
      </c>
    </row>
    <row r="12" spans="1:217" ht="15" customHeight="1" thickBot="1" x14ac:dyDescent="0.4">
      <c r="A12" s="128" t="s">
        <v>14</v>
      </c>
      <c r="B12" s="106" t="s">
        <v>2229</v>
      </c>
      <c r="D12" s="142">
        <f>IF(G12="","",IF(CX60&gt;0,IF(CX60&lt;&gt;"", CX60, ""),""))</f>
        <v>1</v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8</v>
      </c>
      <c r="F12" s="574">
        <f t="shared" ref="F12:F24" si="20">IF(GK2&gt;0,IF(GK2&lt;&gt;"",GK2," ")," ")</f>
        <v>1613</v>
      </c>
      <c r="G12" s="574">
        <f>IF(B5&lt;&gt;"",IF(GG2&gt;0,IF(GG2&lt;&gt;"",IF(GG2&lt;&gt;"Add the cutter in list",GG2,"Add the cutter"),""),""),"")</f>
        <v>1130198</v>
      </c>
      <c r="H12" s="1214" t="str">
        <f t="shared" ref="H12:H21" si="21">IF(AND(GM2&lt;&gt;"",GM2&lt;&gt;0),GM2,"")&amp;IF(AND(GL2&lt;&gt;"",GL2&lt;&gt;0)," "&amp;GL2,"")&amp;IF(AND(GN2&lt;&gt;"",GN2&lt;&gt;0)," "&amp;GN2,"")</f>
        <v xml:space="preserve"> CT182 0.018"</v>
      </c>
      <c r="I12" s="1214"/>
      <c r="J12" s="141" t="str">
        <f t="shared" ref="J12:J21" si="22">IF(AND(GR2&lt;&gt;"",GR2&lt;&gt;0),GR2,"")</f>
        <v/>
      </c>
      <c r="K12" s="574">
        <f t="shared" ref="K12:K21" si="23">IF(IFERROR(E12-L12,E12)=0,"",IFERROR(E12-L12,E12))</f>
        <v>8</v>
      </c>
      <c r="L12" s="1121"/>
      <c r="M12" s="893" t="s">
        <v>2538</v>
      </c>
      <c r="N12" s="135">
        <f t="shared" ref="N12:N21" si="24">BJ46</f>
        <v>1130198</v>
      </c>
      <c r="O12" s="136">
        <f t="shared" ref="O12:O21" si="25">BO46</f>
        <v>33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10" t="str">
        <f>IFERROR(INDEX($DE$2:$DR$500,$FL2,COLUMNS($GF$2:GF2)),"")</f>
        <v/>
      </c>
      <c r="GH12" s="1110" t="str">
        <f>IFERROR(INDEX($DE$2:$DR$500,$FL2,COLUMNS($GF$2:GG2)),"")</f>
        <v/>
      </c>
      <c r="GI12" s="1110" t="str">
        <f>IFERROR(INDEX($DE$2:$DR$500,$FL2,COLUMNS($GF$2:GH2)),"")</f>
        <v/>
      </c>
      <c r="GJ12" s="1110" t="str">
        <f>IFERROR(INDEX($DE$2:$DR$500,$FL2,COLUMNS($GF$2:GI2)),"")</f>
        <v/>
      </c>
      <c r="GK12" s="1110" t="str">
        <f>IFERROR(INDEX($DE$2:$DR$500,$FL2,COLUMNS($GF$2:GJ2)),"")</f>
        <v/>
      </c>
      <c r="GL12" s="1110" t="str">
        <f>IFERROR(INDEX($DE$2:$DR$500,$FL2,COLUMNS($GF$2:GK2)),"")</f>
        <v/>
      </c>
      <c r="GM12" s="1110" t="str">
        <f>IFERROR(INDEX($DE$2:$DR$500,$FL2,COLUMNS($GF$2:GL2)),"")</f>
        <v/>
      </c>
      <c r="GN12" s="1110" t="str">
        <f>IFERROR(INDEX($DE$2:$DR$500,$FL2,COLUMNS($GF$2:GM2)),"")</f>
        <v/>
      </c>
      <c r="GO12" s="1110" t="str">
        <f>IFERROR(INDEX($DE$2:$DR$500,$FL2,COLUMNS($GF$2:GN2)),"")</f>
        <v/>
      </c>
      <c r="GP12" s="1110" t="str">
        <f>IFERROR(INDEX($DE$2:$DR$500,$FL2,COLUMNS($GF$2:GO2)),"")</f>
        <v/>
      </c>
      <c r="GQ12" s="1110" t="str">
        <f>IFERROR(INDEX($DE$2:$DR$500,$FL2,COLUMNS($GF$2:GP2)),"")</f>
        <v/>
      </c>
      <c r="GR12" s="1110" t="str">
        <f>IFERROR(INDEX($DE$2:$DR$500,$FL2,COLUMNS($GF$2:GQ2)),"")</f>
        <v/>
      </c>
      <c r="GS12" s="1110" t="str">
        <f>IFERROR(INDEX($DE$2:$DR$500,$FL2,COLUMNS($GF$2:GR2)),"")</f>
        <v/>
      </c>
      <c r="GT12" s="1110" t="str">
        <f>IFERROR(INDEX($DE$2:$DR$500,$FL2,COLUMNS($GF$2:GS2)),"")</f>
        <v/>
      </c>
      <c r="GU12" s="1110" t="str">
        <f>IFERROR(INDEX($DE$2:$DR$500,$FL2,COLUMNS($GF$2:GT2)),"")</f>
        <v/>
      </c>
      <c r="GV12" s="1110" t="str">
        <f>IFERROR(INDEX($DE$2:$DR$500,$FL2,COLUMNS($GF$2:GU2)),"")</f>
        <v/>
      </c>
      <c r="GW12" s="1110" t="str">
        <f>IFERROR(INDEX($DE$2:$DR$500,$FL2,COLUMNS($GF$2:GV2)),"")</f>
        <v/>
      </c>
      <c r="GX12" s="1110" t="str">
        <f>IFERROR(INDEX($DE$2:$DR$500,$FL2,COLUMNS($GF$2:GW2)),"")</f>
        <v/>
      </c>
      <c r="GY12" s="1110" t="str">
        <f>IFERROR(INDEX($DE$2:$DR$500,$FL2,COLUMNS($GF$2:GX2)),"")</f>
        <v/>
      </c>
      <c r="GZ12" s="1110" t="str">
        <f>IFERROR(INDEX($DE$2:$DR$500,$FL2,COLUMNS($GF$2:GY2)),"")</f>
        <v/>
      </c>
      <c r="HA12" s="1110" t="str">
        <f>IFERROR(INDEX($DE$2:$DR$500,$FL2,COLUMNS($GF$2:GZ2)),"")</f>
        <v/>
      </c>
      <c r="HB12" s="1110" t="str">
        <f>IFERROR(INDEX($DE$2:$DR$500,$FL2,COLUMNS($GF$2:HA2)),"")</f>
        <v/>
      </c>
      <c r="HC12" s="1110" t="str">
        <f>IFERROR(INDEX($DE$2:$DR$500,$FL2,COLUMNS($GF$2:HB2)),"")</f>
        <v/>
      </c>
      <c r="HD12" s="1110" t="str">
        <f>IFERROR(INDEX($DE$2:$DR$500,$FL2,COLUMNS($GF$2:HC2)),"")</f>
        <v/>
      </c>
      <c r="HE12" s="1110" t="str">
        <f>IFERROR(INDEX($DE$2:$DR$500,$FL2,COLUMNS($GF$2:HD2)),"")</f>
        <v/>
      </c>
    </row>
    <row r="13" spans="1:217" ht="15" customHeight="1" thickBot="1" x14ac:dyDescent="0.4">
      <c r="A13" s="132" t="s">
        <v>941</v>
      </c>
      <c r="B13" s="105">
        <v>46029</v>
      </c>
      <c r="D13" s="143">
        <f>IF(G13="","",IF(CX61&gt;0,IF(CX61&lt;&gt;"", CX61, ""),""))</f>
        <v>2</v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3</v>
      </c>
      <c r="F13" s="574">
        <f t="shared" si="20"/>
        <v>1608</v>
      </c>
      <c r="G13" s="574">
        <f>IF(B5&lt;&gt;"",IF(GG3&gt;0,IF(GG3&lt;&gt;"",IF(GG3&lt;&gt;"Add the cutter in list",GG3,"Add the cutter"),""),""),"")</f>
        <v>647435</v>
      </c>
      <c r="H13" s="1214" t="str">
        <f t="shared" si="21"/>
        <v xml:space="preserve"> CT200 0.018"</v>
      </c>
      <c r="I13" s="1214"/>
      <c r="J13" s="141" t="str">
        <f t="shared" si="22"/>
        <v/>
      </c>
      <c r="K13" s="574">
        <f t="shared" si="23"/>
        <v>3</v>
      </c>
      <c r="L13" s="904"/>
      <c r="M13" s="893" t="s">
        <v>2537</v>
      </c>
      <c r="N13" s="135">
        <f t="shared" si="24"/>
        <v>647435</v>
      </c>
      <c r="O13" s="136">
        <f t="shared" si="25"/>
        <v>23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10" t="str">
        <f>IFERROR(INDEX($DE$2:$DR$500,$FO2,COLUMNS($GF$2:GF2)),"")</f>
        <v/>
      </c>
      <c r="GH13" s="1110" t="str">
        <f>IFERROR(INDEX($DE$2:$DR$500,$FO2,COLUMNS($GF$2:GG2)),"")</f>
        <v/>
      </c>
      <c r="GI13" s="1110" t="str">
        <f>IFERROR(INDEX($DE$2:$DR$500,$FO2,COLUMNS($GF$2:GH2)),"")</f>
        <v/>
      </c>
      <c r="GJ13" s="1110" t="str">
        <f>IFERROR(INDEX($DE$2:$DR$500,$FO2,COLUMNS($GF$2:GI2)),"")</f>
        <v/>
      </c>
      <c r="GK13" s="1110" t="str">
        <f>IFERROR(INDEX($DE$2:$DR$500,$FO2,COLUMNS($GF$2:GJ2)),"")</f>
        <v/>
      </c>
      <c r="GL13" s="1110" t="str">
        <f>IFERROR(INDEX($DE$2:$DR$500,$FO2,COLUMNS($GF$2:GK2)),"")</f>
        <v/>
      </c>
      <c r="GM13" s="1110" t="str">
        <f>IFERROR(INDEX($DE$2:$DR$500,$FO2,COLUMNS($GF$2:GL2)),"")</f>
        <v/>
      </c>
      <c r="GN13" s="1110" t="str">
        <f>IFERROR(INDEX($DE$2:$DR$500,$FO2,COLUMNS($GF$2:GM2)),"")</f>
        <v/>
      </c>
      <c r="GO13" s="1110" t="str">
        <f>IFERROR(INDEX($DE$2:$DR$500,$FO2,COLUMNS($GF$2:GN2)),"")</f>
        <v/>
      </c>
      <c r="GP13" s="1110" t="str">
        <f>IFERROR(INDEX($DE$2:$DR$500,$FO2,COLUMNS($GF$2:GO2)),"")</f>
        <v/>
      </c>
      <c r="GQ13" s="1110" t="str">
        <f>IFERROR(INDEX($DE$2:$DR$500,$FO2,COLUMNS($GF$2:GP2)),"")</f>
        <v/>
      </c>
      <c r="GR13" s="1110" t="str">
        <f>IFERROR(INDEX($DE$2:$DR$500,$FO2,COLUMNS($GF$2:GQ2)),"")</f>
        <v/>
      </c>
      <c r="GS13" s="1110" t="str">
        <f>IFERROR(INDEX($DE$2:$DR$500,$FO2,COLUMNS($GF$2:GR2)),"")</f>
        <v/>
      </c>
      <c r="GT13" s="1110" t="str">
        <f>IFERROR(INDEX($DE$2:$DR$500,$FO2,COLUMNS($GF$2:GS2)),"")</f>
        <v/>
      </c>
      <c r="GU13" s="1110" t="str">
        <f>IFERROR(INDEX($DE$2:$DR$500,$FO2,COLUMNS($GF$2:GT2)),"")</f>
        <v/>
      </c>
      <c r="GV13" s="1110" t="str">
        <f>IFERROR(INDEX($DE$2:$DR$500,$FO2,COLUMNS($GF$2:GU2)),"")</f>
        <v/>
      </c>
      <c r="GW13" s="1110" t="str">
        <f>IFERROR(INDEX($DE$2:$DR$500,$FO2,COLUMNS($GF$2:GV2)),"")</f>
        <v/>
      </c>
      <c r="GX13" s="1110" t="str">
        <f>IFERROR(INDEX($DE$2:$DR$500,$FO2,COLUMNS($GF$2:GW2)),"")</f>
        <v/>
      </c>
      <c r="GY13" s="1110" t="str">
        <f>IFERROR(INDEX($DE$2:$DR$500,$FO2,COLUMNS($GF$2:GX2)),"")</f>
        <v/>
      </c>
      <c r="GZ13" s="1110" t="str">
        <f>IFERROR(INDEX($DE$2:$DR$500,$FO2,COLUMNS($GF$2:GY2)),"")</f>
        <v/>
      </c>
      <c r="HA13" s="1110" t="str">
        <f>IFERROR(INDEX($DE$2:$DR$500,$FO2,COLUMNS($GF$2:GZ2)),"")</f>
        <v/>
      </c>
      <c r="HB13" s="1110" t="str">
        <f>IFERROR(INDEX($DE$2:$DR$500,$FO2,COLUMNS($GF$2:HA2)),"")</f>
        <v/>
      </c>
      <c r="HC13" s="1110" t="str">
        <f>IFERROR(INDEX($DE$2:$DR$500,$FO2,COLUMNS($GF$2:HB2)),"")</f>
        <v/>
      </c>
      <c r="HD13" s="1110" t="str">
        <f>IFERROR(INDEX($DE$2:$DR$500,$FO2,COLUMNS($GF$2:HC2)),"")</f>
        <v/>
      </c>
      <c r="HE13" s="1110" t="str">
        <f>IFERROR(INDEX($DE$2:$DR$500,$FO2,COLUMNS($GF$2:HD2)),"")</f>
        <v/>
      </c>
    </row>
    <row r="14" spans="1:217" ht="15" customHeight="1" thickBot="1" x14ac:dyDescent="0.4">
      <c r="A14" s="131" t="str">
        <f>IF(Data!B7="SAUDI ARAMCO","DTD/TSSD:","Reviewed by Eng.:")</f>
        <v>DTD/TSSD:</v>
      </c>
      <c r="B14" s="532"/>
      <c r="D14" s="144">
        <f>IF(G14="","",IF(CX62&gt;0,IF(CX62&lt;&gt;"", CX62, ""),""))</f>
        <v>3</v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6</v>
      </c>
      <c r="F14" s="574">
        <f t="shared" si="20"/>
        <v>1308</v>
      </c>
      <c r="G14" s="574">
        <f>IF(B5&lt;&gt;"",IF(GG4&gt;0,IF(GG4&lt;&gt;"",IF(GG4&lt;&gt;"Add the cutter in list",GG4,"Add the cutter"),""),""),"")</f>
        <v>418525</v>
      </c>
      <c r="H14" s="1214" t="str">
        <f t="shared" si="21"/>
        <v>Drop in CT31</v>
      </c>
      <c r="I14" s="1214"/>
      <c r="J14" s="141" t="str">
        <f t="shared" si="22"/>
        <v/>
      </c>
      <c r="K14" s="574">
        <f t="shared" si="23"/>
        <v>6</v>
      </c>
      <c r="L14" s="904"/>
      <c r="M14" s="893"/>
      <c r="N14" s="135">
        <f t="shared" si="24"/>
        <v>418525</v>
      </c>
      <c r="O14" s="136">
        <f t="shared" si="25"/>
        <v>6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10" t="str">
        <f>IFERROR(INDEX($DE$2:$DR$500,$FR2,COLUMNS($GF$2:GF2)),"")</f>
        <v/>
      </c>
      <c r="GH14" s="1110" t="str">
        <f>IFERROR(INDEX($DE$2:$DR$500,$FR2,COLUMNS($GF$2:GG2)),"")</f>
        <v/>
      </c>
      <c r="GI14" s="1110" t="str">
        <f>IFERROR(INDEX($DE$2:$DR$500,$FR2,COLUMNS($GF$2:GH2)),"")</f>
        <v/>
      </c>
      <c r="GJ14" s="1110" t="str">
        <f>IFERROR(INDEX($DE$2:$DR$500,$FR2,COLUMNS($GF$2:GI2)),"")</f>
        <v/>
      </c>
      <c r="GK14" s="1110" t="str">
        <f>IFERROR(INDEX($DE$2:$DR$500,$FR2,COLUMNS($GF$2:GJ2)),"")</f>
        <v/>
      </c>
      <c r="GL14" s="1110" t="str">
        <f>IFERROR(INDEX($DE$2:$DR$500,$FR2,COLUMNS($GF$2:GK2)),"")</f>
        <v/>
      </c>
      <c r="GM14" s="1110" t="str">
        <f>IFERROR(INDEX($DE$2:$DR$500,$FR2,COLUMNS($GF$2:GL2)),"")</f>
        <v/>
      </c>
      <c r="GN14" s="1110" t="str">
        <f>IFERROR(INDEX($DE$2:$DR$500,$FR2,COLUMNS($GF$2:GM2)),"")</f>
        <v/>
      </c>
      <c r="GO14" s="1110" t="str">
        <f>IFERROR(INDEX($DE$2:$DR$500,$FR2,COLUMNS($GF$2:GN2)),"")</f>
        <v/>
      </c>
      <c r="GP14" s="1110" t="str">
        <f>IFERROR(INDEX($DE$2:$DR$500,$FR2,COLUMNS($GF$2:GO2)),"")</f>
        <v/>
      </c>
      <c r="GQ14" s="1110" t="str">
        <f>IFERROR(INDEX($DE$2:$DR$500,$FR2,COLUMNS($GF$2:GP2)),"")</f>
        <v/>
      </c>
      <c r="GR14" s="1110" t="str">
        <f>IFERROR(INDEX($DE$2:$DR$500,$FR2,COLUMNS($GF$2:GQ2)),"")</f>
        <v/>
      </c>
      <c r="GS14" s="1110" t="str">
        <f>IFERROR(INDEX($DE$2:$DR$500,$FR2,COLUMNS($GF$2:GR2)),"")</f>
        <v/>
      </c>
      <c r="GT14" s="1110" t="str">
        <f>IFERROR(INDEX($DE$2:$DR$500,$FR2,COLUMNS($GF$2:GS2)),"")</f>
        <v/>
      </c>
      <c r="GU14" s="1110" t="str">
        <f>IFERROR(INDEX($DE$2:$DR$500,$FR2,COLUMNS($GF$2:GT2)),"")</f>
        <v/>
      </c>
      <c r="GV14" s="1110" t="str">
        <f>IFERROR(INDEX($DE$2:$DR$500,$FR2,COLUMNS($GF$2:GU2)),"")</f>
        <v/>
      </c>
      <c r="GW14" s="1110" t="str">
        <f>IFERROR(INDEX($DE$2:$DR$500,$FR2,COLUMNS($GF$2:GV2)),"")</f>
        <v/>
      </c>
      <c r="GX14" s="1110" t="str">
        <f>IFERROR(INDEX($DE$2:$DR$500,$FR2,COLUMNS($GF$2:GW2)),"")</f>
        <v/>
      </c>
      <c r="GY14" s="1110" t="str">
        <f>IFERROR(INDEX($DE$2:$DR$500,$FR2,COLUMNS($GF$2:GX2)),"")</f>
        <v/>
      </c>
      <c r="GZ14" s="1110" t="str">
        <f>IFERROR(INDEX($DE$2:$DR$500,$FR2,COLUMNS($GF$2:GY2)),"")</f>
        <v/>
      </c>
      <c r="HA14" s="1110" t="str">
        <f>IFERROR(INDEX($DE$2:$DR$500,$FR2,COLUMNS($GF$2:GZ2)),"")</f>
        <v/>
      </c>
      <c r="HB14" s="1110" t="str">
        <f>IFERROR(INDEX($DE$2:$DR$500,$FR2,COLUMNS($GF$2:HA2)),"")</f>
        <v/>
      </c>
      <c r="HC14" s="1110" t="str">
        <f>IFERROR(INDEX($DE$2:$DR$500,$FR2,COLUMNS($GF$2:HB2)),"")</f>
        <v/>
      </c>
      <c r="HD14" s="1110" t="str">
        <f>IFERROR(INDEX($DE$2:$DR$500,$FR2,COLUMNS($GF$2:HC2)),"")</f>
        <v/>
      </c>
      <c r="HE14" s="1110" t="str">
        <f>IFERROR(INDEX($DE$2:$DR$500,$FR2,COLUMNS($GF$2:HD2)),"")</f>
        <v/>
      </c>
    </row>
    <row r="15" spans="1:217" ht="15" customHeight="1" thickBot="1" x14ac:dyDescent="0.4">
      <c r="A15" s="132" t="s">
        <v>942</v>
      </c>
      <c r="B15" s="105"/>
      <c r="D15" s="145" t="str">
        <f t="shared" ref="D15:D21" si="44">IF(TRIM(G15)="","",IF(CX63&gt;0,IF(CX63&lt;&gt;"", CX63, ""),""))</f>
        <v/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0</v>
      </c>
      <c r="F15" s="574" t="str">
        <f t="shared" si="20"/>
        <v xml:space="preserve"> </v>
      </c>
      <c r="G15" s="574" t="str">
        <f>IF(B5&lt;&gt;"",IF(GG5&gt;0,IF(GG5&lt;&gt;"",IF(GG5&lt;&gt;"Add the cutter in list",GG5,"Add the cutter"),""),""),"")</f>
        <v/>
      </c>
      <c r="H15" s="1214" t="str">
        <f t="shared" si="21"/>
        <v/>
      </c>
      <c r="I15" s="1214"/>
      <c r="J15" s="141" t="str">
        <f t="shared" si="22"/>
        <v/>
      </c>
      <c r="K15" s="574" t="str">
        <f t="shared" si="23"/>
        <v/>
      </c>
      <c r="L15" s="904"/>
      <c r="M15" s="893"/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10" t="str">
        <f>IFERROR(INDEX($DE$2:$DR$500,$FU2,COLUMNS($GF$2:GF2)),"")</f>
        <v/>
      </c>
      <c r="GH15" s="1110" t="str">
        <f>IFERROR(INDEX($DE$2:$DR$500,$FU2,COLUMNS($GF$2:GG2)),"")</f>
        <v/>
      </c>
      <c r="GI15" s="1110" t="str">
        <f>IFERROR(INDEX($DE$2:$DR$500,$FU2,COLUMNS($GF$2:GH2)),"")</f>
        <v/>
      </c>
      <c r="GJ15" s="1110" t="str">
        <f>IFERROR(INDEX($DE$2:$DR$500,$FU2,COLUMNS($GF$2:GI2)),"")</f>
        <v/>
      </c>
      <c r="GK15" s="1110" t="str">
        <f>IFERROR(INDEX($DE$2:$DR$500,$FU2,COLUMNS($GF$2:GJ2)),"")</f>
        <v/>
      </c>
      <c r="GL15" s="1110" t="str">
        <f>IFERROR(INDEX($DE$2:$DR$500,$FU2,COLUMNS($GF$2:GK2)),"")</f>
        <v/>
      </c>
      <c r="GM15" s="1110" t="str">
        <f>IFERROR(INDEX($DE$2:$DR$500,$FU2,COLUMNS($GF$2:GL2)),"")</f>
        <v/>
      </c>
      <c r="GN15" s="1110" t="str">
        <f>IFERROR(INDEX($DE$2:$DR$500,$FU2,COLUMNS($GF$2:GM2)),"")</f>
        <v/>
      </c>
      <c r="GO15" s="1110" t="str">
        <f>IFERROR(INDEX($DE$2:$DR$500,$FU2,COLUMNS($GF$2:GN2)),"")</f>
        <v/>
      </c>
      <c r="GP15" s="1110" t="str">
        <f>IFERROR(INDEX($DE$2:$DR$500,$FU2,COLUMNS($GF$2:GO2)),"")</f>
        <v/>
      </c>
      <c r="GQ15" s="1110" t="str">
        <f>IFERROR(INDEX($DE$2:$DR$500,$FU2,COLUMNS($GF$2:GP2)),"")</f>
        <v/>
      </c>
      <c r="GR15" s="1110" t="str">
        <f>IFERROR(INDEX($DE$2:$DR$500,$FU2,COLUMNS($GF$2:GQ2)),"")</f>
        <v/>
      </c>
      <c r="GS15" s="1110" t="str">
        <f>IFERROR(INDEX($DE$2:$DR$500,$FU2,COLUMNS($GF$2:GR2)),"")</f>
        <v/>
      </c>
      <c r="GT15" s="1110" t="str">
        <f>IFERROR(INDEX($DE$2:$DR$500,$FU2,COLUMNS($GF$2:GS2)),"")</f>
        <v/>
      </c>
      <c r="GU15" s="1110" t="str">
        <f>IFERROR(INDEX($DE$2:$DR$500,$FU2,COLUMNS($GF$2:GT2)),"")</f>
        <v/>
      </c>
      <c r="GV15" s="1110" t="str">
        <f>IFERROR(INDEX($DE$2:$DR$500,$FU2,COLUMNS($GF$2:GU2)),"")</f>
        <v/>
      </c>
      <c r="GW15" s="1110" t="str">
        <f>IFERROR(INDEX($DE$2:$DR$500,$FU2,COLUMNS($GF$2:GV2)),"")</f>
        <v/>
      </c>
      <c r="GX15" s="1110" t="str">
        <f>IFERROR(INDEX($DE$2:$DR$500,$FU2,COLUMNS($GF$2:GW2)),"")</f>
        <v/>
      </c>
      <c r="GY15" s="1110" t="str">
        <f>IFERROR(INDEX($DE$2:$DR$500,$FU2,COLUMNS($GF$2:GX2)),"")</f>
        <v/>
      </c>
      <c r="GZ15" s="1110" t="str">
        <f>IFERROR(INDEX($DE$2:$DR$500,$FU2,COLUMNS($GF$2:GY2)),"")</f>
        <v/>
      </c>
      <c r="HA15" s="1110" t="str">
        <f>IFERROR(INDEX($DE$2:$DR$500,$FU2,COLUMNS($GF$2:GZ2)),"")</f>
        <v/>
      </c>
      <c r="HB15" s="1110" t="str">
        <f>IFERROR(INDEX($DE$2:$DR$500,$FU2,COLUMNS($GF$2:HA2)),"")</f>
        <v/>
      </c>
      <c r="HC15" s="1110" t="str">
        <f>IFERROR(INDEX($DE$2:$DR$500,$FU2,COLUMNS($GF$2:HB2)),"")</f>
        <v/>
      </c>
      <c r="HD15" s="1110" t="str">
        <f>IFERROR(INDEX($DE$2:$DR$500,$FU2,COLUMNS($GF$2:HC2)),"")</f>
        <v/>
      </c>
      <c r="HE15" s="1110" t="str">
        <f>IFERROR(INDEX($DE$2:$DR$500,$FU2,COLUMNS($GF$2:HD2)),"")</f>
        <v/>
      </c>
    </row>
    <row r="16" spans="1:217" ht="15" customHeight="1" thickBot="1" x14ac:dyDescent="0.4">
      <c r="A16" s="130" t="s">
        <v>12</v>
      </c>
      <c r="B16" s="1021" t="str">
        <f>IF(Data!B7&lt;&gt;"", Data!B7, " ")</f>
        <v>SAUDI ARAMCO</v>
      </c>
      <c r="D16" s="146" t="str">
        <f t="shared" si="44"/>
        <v/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0</v>
      </c>
      <c r="F16" s="574" t="str">
        <f t="shared" si="20"/>
        <v xml:space="preserve"> </v>
      </c>
      <c r="G16" s="574" t="str">
        <f>IF(B5&lt;&gt;"",IF(GG6&gt;0,IF(GG6&lt;&gt;"",IF(GG6&lt;&gt;"Add the cutter in list",GG6,"Add the cutter"),""),""),"")</f>
        <v/>
      </c>
      <c r="H16" s="1214" t="str">
        <f t="shared" si="21"/>
        <v/>
      </c>
      <c r="I16" s="1214"/>
      <c r="J16" s="141" t="str">
        <f t="shared" si="22"/>
        <v/>
      </c>
      <c r="K16" s="574" t="str">
        <f t="shared" si="23"/>
        <v/>
      </c>
      <c r="L16" s="904"/>
      <c r="M16" s="893"/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6</v>
      </c>
      <c r="EF16">
        <f>ROWS($DE$2:DE16)</f>
        <v>15</v>
      </c>
      <c r="EG16" t="str">
        <f t="shared" si="26"/>
        <v/>
      </c>
      <c r="EJ16" t="str">
        <f t="shared" si="27"/>
        <v/>
      </c>
      <c r="EM16">
        <f t="shared" si="28"/>
        <v>15</v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10" t="str">
        <f>IFERROR(INDEX($DE$2:$DR$500,$FX2,COLUMNS($GF$2:GF2)),"")</f>
        <v/>
      </c>
      <c r="GH16" s="1110" t="str">
        <f>IFERROR(INDEX($DE$2:$DR$500,$FX2,COLUMNS($GF$2:GG2)),"")</f>
        <v/>
      </c>
      <c r="GI16" s="1110" t="str">
        <f>IFERROR(INDEX($DE$2:$DR$500,$FX2,COLUMNS($GF$2:GH2)),"")</f>
        <v/>
      </c>
      <c r="GJ16" s="1110" t="str">
        <f>IFERROR(INDEX($DE$2:$DR$500,$FX2,COLUMNS($GF$2:GI2)),"")</f>
        <v/>
      </c>
      <c r="GK16" s="1110" t="str">
        <f>IFERROR(INDEX($DE$2:$DR$500,$FX2,COLUMNS($GF$2:GJ2)),"")</f>
        <v/>
      </c>
      <c r="GL16" s="1110" t="str">
        <f>IFERROR(INDEX($DE$2:$DR$500,$FX2,COLUMNS($GF$2:GK2)),"")</f>
        <v/>
      </c>
      <c r="GM16" s="1110" t="str">
        <f>IFERROR(INDEX($DE$2:$DR$500,$FX2,COLUMNS($GF$2:GL2)),"")</f>
        <v/>
      </c>
      <c r="GN16" s="1110" t="str">
        <f>IFERROR(INDEX($DE$2:$DR$500,$FX2,COLUMNS($GF$2:GM2)),"")</f>
        <v/>
      </c>
      <c r="GO16" s="1110" t="str">
        <f>IFERROR(INDEX($DE$2:$DR$500,$FX2,COLUMNS($GF$2:GN2)),"")</f>
        <v/>
      </c>
      <c r="GP16" s="1110" t="str">
        <f>IFERROR(INDEX($DE$2:$DR$500,$FX2,COLUMNS($GF$2:GO2)),"")</f>
        <v/>
      </c>
      <c r="GQ16" s="1110" t="str">
        <f>IFERROR(INDEX($DE$2:$DR$500,$FX2,COLUMNS($GF$2:GP2)),"")</f>
        <v/>
      </c>
      <c r="GR16" s="1110" t="str">
        <f>IFERROR(INDEX($DE$2:$DR$500,$FX2,COLUMNS($GF$2:GQ2)),"")</f>
        <v/>
      </c>
      <c r="GS16" s="1110" t="str">
        <f>IFERROR(INDEX($DE$2:$DR$500,$FX2,COLUMNS($GF$2:GR2)),"")</f>
        <v/>
      </c>
      <c r="GT16" s="1110" t="str">
        <f>IFERROR(INDEX($DE$2:$DR$500,$FX2,COLUMNS($GF$2:GS2)),"")</f>
        <v/>
      </c>
      <c r="GU16" s="1110" t="str">
        <f>IFERROR(INDEX($DE$2:$DR$500,$FX2,COLUMNS($GF$2:GT2)),"")</f>
        <v/>
      </c>
      <c r="GV16" s="1110" t="str">
        <f>IFERROR(INDEX($DE$2:$DR$500,$FX2,COLUMNS($GF$2:GU2)),"")</f>
        <v/>
      </c>
      <c r="GW16" s="1110" t="str">
        <f>IFERROR(INDEX($DE$2:$DR$500,$FX2,COLUMNS($GF$2:GV2)),"")</f>
        <v/>
      </c>
      <c r="GX16" s="1110" t="str">
        <f>IFERROR(INDEX($DE$2:$DR$500,$FX2,COLUMNS($GF$2:GW2)),"")</f>
        <v/>
      </c>
      <c r="GY16" s="1110" t="str">
        <f>IFERROR(INDEX($DE$2:$DR$500,$FX2,COLUMNS($GF$2:GX2)),"")</f>
        <v/>
      </c>
      <c r="GZ16" s="1110" t="str">
        <f>IFERROR(INDEX($DE$2:$DR$500,$FX2,COLUMNS($GF$2:GY2)),"")</f>
        <v/>
      </c>
      <c r="HA16" s="1110" t="str">
        <f>IFERROR(INDEX($DE$2:$DR$500,$FX2,COLUMNS($GF$2:GZ2)),"")</f>
        <v/>
      </c>
      <c r="HB16" s="1110" t="str">
        <f>IFERROR(INDEX($DE$2:$DR$500,$FX2,COLUMNS($GF$2:HA2)),"")</f>
        <v/>
      </c>
      <c r="HC16" s="1110" t="str">
        <f>IFERROR(INDEX($DE$2:$DR$500,$FX2,COLUMNS($GF$2:HB2)),"")</f>
        <v/>
      </c>
      <c r="HD16" s="1110" t="str">
        <f>IFERROR(INDEX($DE$2:$DR$500,$FX2,COLUMNS($GF$2:HC2)),"")</f>
        <v/>
      </c>
      <c r="HE16" s="1110" t="str">
        <f>IFERROR(INDEX($DE$2:$DR$500,$FX2,COLUMNS($GF$2:HD2)),"")</f>
        <v/>
      </c>
    </row>
    <row r="17" spans="1:215" ht="15" customHeight="1" thickBot="1" x14ac:dyDescent="0.4">
      <c r="A17" s="131" t="s">
        <v>838</v>
      </c>
      <c r="B17" s="104" t="s">
        <v>2237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214" t="str">
        <f t="shared" si="21"/>
        <v/>
      </c>
      <c r="I17" s="1214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10" t="str">
        <f>IFERROR(INDEX($DE$2:$DR$500,$GA2,COLUMNS($GF$2:GF2)),"")</f>
        <v/>
      </c>
      <c r="GH17" s="1110" t="str">
        <f>IFERROR(INDEX($DE$2:$DR$500,$GA2,COLUMNS($GF$2:GG2)),"")</f>
        <v/>
      </c>
      <c r="GI17" s="1110" t="str">
        <f>IFERROR(INDEX($DE$2:$DR$500,$GA2,COLUMNS($GF$2:GH2)),"")</f>
        <v/>
      </c>
      <c r="GJ17" s="1110" t="str">
        <f>IFERROR(INDEX($DE$2:$DR$500,$GA2,COLUMNS($GF$2:GI2)),"")</f>
        <v/>
      </c>
      <c r="GK17" s="1110" t="str">
        <f>IFERROR(INDEX($DE$2:$DR$500,$GA2,COLUMNS($GF$2:GJ2)),"")</f>
        <v/>
      </c>
      <c r="GL17" s="1110" t="str">
        <f>IFERROR(INDEX($DE$2:$DR$500,$GA2,COLUMNS($GF$2:GK2)),"")</f>
        <v/>
      </c>
      <c r="GM17" s="1110" t="str">
        <f>IFERROR(INDEX($DE$2:$DR$500,$GA2,COLUMNS($GF$2:GL2)),"")</f>
        <v/>
      </c>
      <c r="GN17" s="1110" t="str">
        <f>IFERROR(INDEX($DE$2:$DR$500,$GA2,COLUMNS($GF$2:GM2)),"")</f>
        <v/>
      </c>
      <c r="GO17" s="1110" t="str">
        <f>IFERROR(INDEX($DE$2:$DR$500,$GA2,COLUMNS($GF$2:GN2)),"")</f>
        <v/>
      </c>
      <c r="GP17" s="1110" t="str">
        <f>IFERROR(INDEX($DE$2:$DR$500,$GA2,COLUMNS($GF$2:GO2)),"")</f>
        <v/>
      </c>
      <c r="GQ17" s="1110" t="str">
        <f>IFERROR(INDEX($DE$2:$DR$500,$GA2,COLUMNS($GF$2:GP2)),"")</f>
        <v/>
      </c>
      <c r="GR17" s="1110" t="str">
        <f>IFERROR(INDEX($DE$2:$DR$500,$GA2,COLUMNS($GF$2:GQ2)),"")</f>
        <v/>
      </c>
      <c r="GS17" s="1110" t="str">
        <f>IFERROR(INDEX($DE$2:$DR$500,$GA2,COLUMNS($GF$2:GR2)),"")</f>
        <v/>
      </c>
      <c r="GT17" s="1110" t="str">
        <f>IFERROR(INDEX($DE$2:$DR$500,$GA2,COLUMNS($GF$2:GS2)),"")</f>
        <v/>
      </c>
      <c r="GU17" s="1110" t="str">
        <f>IFERROR(INDEX($DE$2:$DR$500,$GA2,COLUMNS($GF$2:GT2)),"")</f>
        <v/>
      </c>
      <c r="GV17" s="1110" t="str">
        <f>IFERROR(INDEX($DE$2:$DR$500,$GA2,COLUMNS($GF$2:GU2)),"")</f>
        <v/>
      </c>
      <c r="GW17" s="1110" t="str">
        <f>IFERROR(INDEX($DE$2:$DR$500,$GA2,COLUMNS($GF$2:GV2)),"")</f>
        <v/>
      </c>
      <c r="GX17" s="1110" t="str">
        <f>IFERROR(INDEX($DE$2:$DR$500,$GA2,COLUMNS($GF$2:GW2)),"")</f>
        <v/>
      </c>
      <c r="GY17" s="1110" t="str">
        <f>IFERROR(INDEX($DE$2:$DR$500,$GA2,COLUMNS($GF$2:GX2)),"")</f>
        <v/>
      </c>
      <c r="GZ17" s="1110" t="str">
        <f>IFERROR(INDEX($DE$2:$DR$500,$GA2,COLUMNS($GF$2:GY2)),"")</f>
        <v/>
      </c>
      <c r="HA17" s="1110" t="str">
        <f>IFERROR(INDEX($DE$2:$DR$500,$GA2,COLUMNS($GF$2:GZ2)),"")</f>
        <v/>
      </c>
      <c r="HB17" s="1110" t="str">
        <f>IFERROR(INDEX($DE$2:$DR$500,$GA2,COLUMNS($GF$2:HA2)),"")</f>
        <v/>
      </c>
      <c r="HC17" s="1110" t="str">
        <f>IFERROR(INDEX($DE$2:$DR$500,$GA2,COLUMNS($GF$2:HB2)),"")</f>
        <v/>
      </c>
      <c r="HD17" s="1110" t="str">
        <f>IFERROR(INDEX($DE$2:$DR$500,$GA2,COLUMNS($GF$2:HC2)),"")</f>
        <v/>
      </c>
      <c r="HE17" s="1110" t="str">
        <f>IFERROR(INDEX($DE$2:$DR$500,$GA2,COLUMNS($GF$2:HD2)),"")</f>
        <v/>
      </c>
    </row>
    <row r="18" spans="1:215" ht="15" customHeight="1" thickBot="1" x14ac:dyDescent="0.4">
      <c r="A18" s="132" t="str">
        <f>IF('Eval-LSTK'!D64&lt;&gt;"","Repair Date",IF('Eval-LSTK'!D66&lt;&gt;"","Scrap Date","Rerun Date"))</f>
        <v>Repair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214" t="str">
        <f t="shared" si="21"/>
        <v/>
      </c>
      <c r="I18" s="1214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10" t="str">
        <f>IFERROR(INDEX($DE$2:$DR$500,$GD2,COLUMNS($GF$2:GF2)),"")</f>
        <v/>
      </c>
      <c r="GH18" s="1110" t="str">
        <f>IFERROR(INDEX($DE$2:$DR$500,$GD2,COLUMNS($GF$2:GG2)),"")</f>
        <v/>
      </c>
      <c r="GI18" s="1110" t="str">
        <f>IFERROR(INDEX($DE$2:$DR$500,$GD2,COLUMNS($GF$2:GH2)),"")</f>
        <v/>
      </c>
      <c r="GJ18" s="1110" t="str">
        <f>IFERROR(INDEX($DE$2:$DR$500,$GD2,COLUMNS($GF$2:GI2)),"")</f>
        <v/>
      </c>
      <c r="GK18" s="1110" t="str">
        <f>IFERROR(INDEX($DE$2:$DR$500,$GD2,COLUMNS($GF$2:GJ2)),"")</f>
        <v/>
      </c>
      <c r="GL18" s="1110" t="str">
        <f>IFERROR(INDEX($DE$2:$DR$500,$GD2,COLUMNS($GF$2:GK2)),"")</f>
        <v/>
      </c>
      <c r="GM18" s="1110" t="str">
        <f>IFERROR(INDEX($DE$2:$DR$500,$GD2,COLUMNS($GF$2:GL2)),"")</f>
        <v/>
      </c>
      <c r="GN18" s="1110" t="str">
        <f>IFERROR(INDEX($DE$2:$DR$500,$GD2,COLUMNS($GF$2:GM2)),"")</f>
        <v/>
      </c>
      <c r="GO18" s="1110" t="str">
        <f>IFERROR(INDEX($DE$2:$DR$500,$GD2,COLUMNS($GF$2:GN2)),"")</f>
        <v/>
      </c>
      <c r="GP18" s="1110" t="str">
        <f>IFERROR(INDEX($DE$2:$DR$500,$GD2,COLUMNS($GF$2:GO2)),"")</f>
        <v/>
      </c>
      <c r="GQ18" s="1110" t="str">
        <f>IFERROR(INDEX($DE$2:$DR$500,$GD2,COLUMNS($GF$2:GP2)),"")</f>
        <v/>
      </c>
      <c r="GR18" s="1110" t="str">
        <f>IFERROR(INDEX($DE$2:$DR$500,$GD2,COLUMNS($GF$2:GQ2)),"")</f>
        <v/>
      </c>
      <c r="GS18" s="1110" t="str">
        <f>IFERROR(INDEX($DE$2:$DR$500,$GD2,COLUMNS($GF$2:GR2)),"")</f>
        <v/>
      </c>
      <c r="GT18" s="1110" t="str">
        <f>IFERROR(INDEX($DE$2:$DR$500,$GD2,COLUMNS($GF$2:GS2)),"")</f>
        <v/>
      </c>
      <c r="GU18" s="1110" t="str">
        <f>IFERROR(INDEX($DE$2:$DR$500,$GD2,COLUMNS($GF$2:GT2)),"")</f>
        <v/>
      </c>
      <c r="GV18" s="1110" t="str">
        <f>IFERROR(INDEX($DE$2:$DR$500,$GD2,COLUMNS($GF$2:GU2)),"")</f>
        <v/>
      </c>
      <c r="GW18" s="1110" t="str">
        <f>IFERROR(INDEX($DE$2:$DR$500,$GD2,COLUMNS($GF$2:GV2)),"")</f>
        <v/>
      </c>
      <c r="GX18" s="1110" t="str">
        <f>IFERROR(INDEX($DE$2:$DR$500,$GD2,COLUMNS($GF$2:GW2)),"")</f>
        <v/>
      </c>
      <c r="GY18" s="1110" t="str">
        <f>IFERROR(INDEX($DE$2:$DR$500,$GD2,COLUMNS($GF$2:GX2)),"")</f>
        <v/>
      </c>
      <c r="GZ18" s="1110" t="str">
        <f>IFERROR(INDEX($DE$2:$DR$500,$GD2,COLUMNS($GF$2:GY2)),"")</f>
        <v/>
      </c>
      <c r="HA18" s="1110" t="str">
        <f>IFERROR(INDEX($DE$2:$DR$500,$GD2,COLUMNS($GF$2:GZ2)),"")</f>
        <v/>
      </c>
      <c r="HB18" s="1110" t="str">
        <f>IFERROR(INDEX($DE$2:$DR$500,$GD2,COLUMNS($GF$2:HA2)),"")</f>
        <v/>
      </c>
      <c r="HC18" s="1110" t="str">
        <f>IFERROR(INDEX($DE$2:$DR$500,$GD2,COLUMNS($GF$2:HB2)),"")</f>
        <v/>
      </c>
      <c r="HD18" s="1110" t="str">
        <f>IFERROR(INDEX($DE$2:$DR$500,$GD2,COLUMNS($GF$2:HC2)),"")</f>
        <v/>
      </c>
      <c r="HE18" s="1110" t="str">
        <f>IFERROR(INDEX($DE$2:$DR$500,$GD2,COLUMNS($GF$2:HD2)),"")</f>
        <v/>
      </c>
    </row>
    <row r="19" spans="1:215" ht="15" customHeight="1" thickBot="1" x14ac:dyDescent="0.4">
      <c r="A19" s="131" t="s">
        <v>839</v>
      </c>
      <c r="B19" s="104"/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214" t="str">
        <f t="shared" si="21"/>
        <v/>
      </c>
      <c r="I19" s="1214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9" t="s">
        <v>1776</v>
      </c>
      <c r="GW19" s="1109" t="s">
        <v>1750</v>
      </c>
      <c r="GX19" s="1109" t="s">
        <v>1584</v>
      </c>
      <c r="GY19" s="1109" t="s">
        <v>1687</v>
      </c>
      <c r="GZ19" s="1109" t="s">
        <v>1688</v>
      </c>
      <c r="HA19" s="1109" t="s">
        <v>6</v>
      </c>
      <c r="HB19" s="1109" t="s">
        <v>1582</v>
      </c>
      <c r="HC19" s="1109" t="s">
        <v>71</v>
      </c>
      <c r="HD19" s="1109" t="s">
        <v>1689</v>
      </c>
      <c r="HE19" s="1109" t="s">
        <v>40</v>
      </c>
      <c r="HF19" s="33" t="s">
        <v>1774</v>
      </c>
      <c r="HG19" s="33" t="s">
        <v>1775</v>
      </c>
    </row>
    <row r="20" spans="1:215" ht="15" customHeight="1" thickBot="1" x14ac:dyDescent="0.4">
      <c r="A20" s="132" t="s">
        <v>840</v>
      </c>
      <c r="B20" s="105"/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214" t="str">
        <f t="shared" si="21"/>
        <v/>
      </c>
      <c r="I20" s="1214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>
        <f>IF(COUNTIF(B7,"SAUDI ARAMCO"),$GS$20,"")</f>
        <v>1</v>
      </c>
      <c r="GU20" s="814">
        <f>IFERROR(SMALL($GT$20:$GT$83,ROWS($GT20:GT$20)),"")</f>
        <v>1</v>
      </c>
      <c r="GV20" s="814" t="str">
        <f>IFERROR(INDEX($GF$20:$GR$83,$GU20,COLUMNS(GO20)),"")</f>
        <v>01 - 10</v>
      </c>
      <c r="GW20" s="814" t="str">
        <f>IFERROR(INDEX($GF$20:$GR$83,$GU20,COLUMNS(GP20:GQ20)),"")</f>
        <v>1 10</v>
      </c>
      <c r="GX20" s="805">
        <f>IFERROR(INDEX($GF$20:$GR$83,$GU20,COLUMNS($GP20:GR20)),"")</f>
        <v>1</v>
      </c>
      <c r="GY20" s="805">
        <f>IFERROR(INDEX($GF$20:$GR$83,$GU20,COLUMNS($GP20:GS20)),"")</f>
        <v>10</v>
      </c>
      <c r="GZ20" s="805" t="str">
        <f>IFERROR(INDEX($GF$20:$GR$83,$GU20,COLUMNS($GP20:GT20)),"")</f>
        <v>Drill bits Services-Initial Inspection</v>
      </c>
      <c r="HA20" s="805">
        <f>IFERROR(INDEX($GF$20:$GR$83,$GU20,COLUMNS($GP20:GU20)),"")</f>
        <v>0</v>
      </c>
      <c r="HB20" s="805">
        <f>IFERROR(INDEX($GF$20:$GR$83,$GU20,COLUMNS($GP20:GV20)),"")</f>
        <v>1</v>
      </c>
      <c r="HC20" s="805" t="str">
        <f>IFERROR(INDEX($GF$20:$GR$83,$GU20,COLUMNS($GP20:GW20)),"")</f>
        <v>EA</v>
      </c>
      <c r="HD20" s="805">
        <f>IFERROR(INDEX($GF$20:$GR$83,$GU20,COLUMNS($GP20:GX20)),"")</f>
        <v>800</v>
      </c>
      <c r="HE20" s="805">
        <f>IFERROR(INDEX($GF$20:$GR$83,$GU20,COLUMNS($GP20:GY20)),"")</f>
        <v>1</v>
      </c>
      <c r="HF20" s="805">
        <f>IFERROR(INDEX($GF$20:$GR$83,$GU20,COLUMNS($GP20:GZ20)),"")</f>
        <v>0</v>
      </c>
      <c r="HG20" s="805">
        <f>IFERROR(INDEX($GF$20:$GR$83,$GU20,COLUMNS($GP20:HA20)),"")</f>
        <v>0</v>
      </c>
    </row>
    <row r="21" spans="1:215" ht="15.75" customHeight="1" thickBot="1" x14ac:dyDescent="0.4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214" t="str">
        <f t="shared" si="21"/>
        <v/>
      </c>
      <c r="I21" s="1214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 t="str">
        <f>IF($O$7&lt;&gt;"",           IF($O$7=$GJ21,$GS21,""),IF(AND($D$53=$GK21,NOT(COUNTIF($B$4,"S*"))),$GS21,""))</f>
        <v/>
      </c>
      <c r="GU21" s="805">
        <f>IFERROR(SMALL($GT$20:$GT$83,ROWS($GT$20:GT21)),"")</f>
        <v>3</v>
      </c>
      <c r="GV21" s="814" t="str">
        <f t="shared" ref="GV21:GV28" si="47">IFERROR(INDEX($GF$20:$GR$83,$GU21,COLUMNS(GO21)),"")</f>
        <v>02 - 20</v>
      </c>
      <c r="GW21" s="814" t="str">
        <f t="shared" ref="GW21:GW28" si="48">IFERROR(INDEX($GF$20:$GR$83,$GU21,COLUMNS(GP21:GQ21)),"")</f>
        <v>2 20</v>
      </c>
      <c r="GX21" s="805">
        <f>IFERROR(INDEX($GF$20:$GR$83,$GU21,COLUMNS($GP21:GR21)),"")</f>
        <v>2</v>
      </c>
      <c r="GY21" s="805">
        <f>IFERROR(INDEX($GF$20:$GR$83,$GU21,COLUMNS($GP21:GS21)),"")</f>
        <v>20</v>
      </c>
      <c r="GZ21" s="805" t="str">
        <f>IFERROR(INDEX($GF$20:$GR$83,$GU21,COLUMNS($GP21:GT21)),"")</f>
        <v>7"-8 7/8" Matrix Body PDC Bit Set-up Charge</v>
      </c>
      <c r="HA21" s="805">
        <f>IFERROR(INDEX($GF$20:$GR$83,$GU21,COLUMNS($GP21:GU21)),"")</f>
        <v>2</v>
      </c>
      <c r="HB21" s="805">
        <f>IFERROR(INDEX($GF$20:$GR$83,$GU21,COLUMNS($GP21:GV21)),"")</f>
        <v>1</v>
      </c>
      <c r="HC21" s="805" t="str">
        <f>IFERROR(INDEX($GF$20:$GR$83,$GU21,COLUMNS($GP21:GW21)),"")</f>
        <v>EA</v>
      </c>
      <c r="HD21" s="805">
        <f>IFERROR(INDEX($GF$20:$GR$83,$GU21,COLUMNS($GP21:GX21)),"")</f>
        <v>8350</v>
      </c>
      <c r="HE21" s="805">
        <f>IFERROR(INDEX($GF$20:$GR$83,$GU21,COLUMNS($GP21:GY21)),"")</f>
        <v>1</v>
      </c>
      <c r="HF21" s="805" t="str">
        <f>IFERROR(INDEX($GF$20:$GR$83,$GU21,COLUMNS($GP21:GZ21)),"")</f>
        <v>7"-8 7/8"</v>
      </c>
      <c r="HG21" s="805" t="str">
        <f>IFERROR(INDEX($GF$20:$GR$83,$GU21,COLUMNS($GP21:HA21)),"")</f>
        <v>Matrix Body PDC Bit Set-up Charge</v>
      </c>
    </row>
    <row r="22" spans="1:215" ht="13.5" customHeight="1" thickBot="1" x14ac:dyDescent="0.4">
      <c r="A22" s="129" t="s">
        <v>1515</v>
      </c>
      <c r="B22" s="958"/>
      <c r="D22" s="1111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214" t="str">
        <f t="shared" ref="H22:H28" si="51">IF(AND(GM12&lt;&gt;"",GM12&lt;&gt;0),GM12,"")&amp;IF(AND(GL12&lt;&gt;"",GL12&lt;&gt;0)," "&amp;GL12,"")&amp;IF(AND(GN12&lt;&gt;"",GN12&lt;&gt;0)," "&amp;GN12,"")</f>
        <v/>
      </c>
      <c r="I22" s="1214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>
        <f>IF($O$7&lt;&gt;"",           IF($O$7=$GJ22,$GS22,""),IF(AND($D$53=$GK22,NOT(COUNTIF($B$4,"S*"))),$GS22,""))</f>
        <v>3</v>
      </c>
      <c r="GU22" s="805">
        <f>IFERROR(SMALL($GT$20:$GT$83,ROWS($GT$20:GT22)),"")</f>
        <v>26</v>
      </c>
      <c r="GV22" s="814" t="str">
        <f t="shared" si="47"/>
        <v>06.3.1 - 10</v>
      </c>
      <c r="GW22" s="814" t="str">
        <f t="shared" si="48"/>
        <v>6.3.1 10</v>
      </c>
      <c r="GX22" s="805" t="str">
        <f>IFERROR(INDEX($GF$20:$GR$83,$GU22,COLUMNS($GP22:GR22)),"")</f>
        <v>6.3.1</v>
      </c>
      <c r="GY22" s="805">
        <f>IFERROR(INDEX($GF$20:$GR$83,$GU22,COLUMNS($GP22:GS22)),"")</f>
        <v>10</v>
      </c>
      <c r="GZ22" s="805" t="str">
        <f>IFERROR(INDEX($GF$20:$GR$83,$GU22,COLUMNS($GP22:GT22)),"")</f>
        <v>13mm Cutter Replacement Standard</v>
      </c>
      <c r="HA22" s="805" t="str">
        <f>IFERROR(INDEX($GF$20:$GR$83,$GU22,COLUMNS($GP22:GU22)),"")</f>
        <v>13mm</v>
      </c>
      <c r="HB22" s="805">
        <f>IFERROR(INDEX($GF$20:$GR$83,$GU22,COLUMNS($GP22:GV22)),"")</f>
        <v>1</v>
      </c>
      <c r="HC22" s="805" t="str">
        <f>IFERROR(INDEX($GF$20:$GR$83,$GU22,COLUMNS($GP22:GW22)),"")</f>
        <v>EA</v>
      </c>
      <c r="HD22" s="805">
        <f>IFERROR(INDEX($GF$20:$GR$83,$GU22,COLUMNS($GP22:GX22)),"")</f>
        <v>345</v>
      </c>
      <c r="HE22" s="805">
        <f>IFERROR(INDEX($GF$20:$GR$83,$GU22,COLUMNS($GP22:GY22)),"")</f>
        <v>6</v>
      </c>
      <c r="HF22" s="805" t="str">
        <f>IFERROR(INDEX($GF$20:$GR$83,$GU22,COLUMNS($GP22:GZ22)),"")</f>
        <v>13mm</v>
      </c>
      <c r="HG22" s="805" t="str">
        <f>IFERROR(INDEX($GF$20:$GR$83,$GU22,COLUMNS($GP22:HA22)),"")</f>
        <v>Cutter Replacement Standard</v>
      </c>
    </row>
    <row r="23" spans="1:215" ht="17.25" customHeight="1" thickBot="1" x14ac:dyDescent="0.4">
      <c r="A23" s="129" t="s">
        <v>1517</v>
      </c>
      <c r="B23" s="105"/>
      <c r="D23" s="1112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214" t="str">
        <f t="shared" si="51"/>
        <v/>
      </c>
      <c r="I23" s="1214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 t="str">
        <f>IF($O$7&lt;&gt;"",           IF($O$7=$GJ23,$GS23,""),IF(AND($D$53=$GK23,NOT(COUNTIF($B$4,"S*"))),$GS23,""))</f>
        <v/>
      </c>
      <c r="GU23" s="805">
        <f>IFERROR(SMALL($GT$20:$GT$83,ROWS($GT$20:GT23)),"")</f>
        <v>32</v>
      </c>
      <c r="GV23" s="814" t="str">
        <f t="shared" si="47"/>
        <v>06.4.1 - 10</v>
      </c>
      <c r="GW23" s="814" t="str">
        <f t="shared" si="48"/>
        <v>6.4.1 10</v>
      </c>
      <c r="GX23" s="805" t="str">
        <f>IFERROR(INDEX($GF$20:$GR$83,$GU23,COLUMNS($GP23:GR23)),"")</f>
        <v>6.4.1</v>
      </c>
      <c r="GY23" s="805">
        <f>IFERROR(INDEX($GF$20:$GR$83,$GU23,COLUMNS($GP23:GS23)),"")</f>
        <v>10</v>
      </c>
      <c r="GZ23" s="805" t="str">
        <f>IFERROR(INDEX($GF$20:$GR$83,$GU23,COLUMNS($GP23:GT23)),"")</f>
        <v>16mm Cutter Replacement Standard</v>
      </c>
      <c r="HA23" s="805" t="str">
        <f>IFERROR(INDEX($GF$20:$GR$83,$GU23,COLUMNS($GP23:GU23)),"")</f>
        <v>16mm</v>
      </c>
      <c r="HB23" s="805">
        <f>IFERROR(INDEX($GF$20:$GR$83,$GU23,COLUMNS($GP23:GV23)),"")</f>
        <v>1</v>
      </c>
      <c r="HC23" s="805" t="str">
        <f>IFERROR(INDEX($GF$20:$GR$83,$GU23,COLUMNS($GP23:GW23)),"")</f>
        <v>EA</v>
      </c>
      <c r="HD23" s="805">
        <f>IFERROR(INDEX($GF$20:$GR$83,$GU23,COLUMNS($GP23:GX23)),"")</f>
        <v>490</v>
      </c>
      <c r="HE23" s="805">
        <f>IFERROR(INDEX($GF$20:$GR$83,$GU23,COLUMNS($GP23:GY23)),"")</f>
        <v>3</v>
      </c>
      <c r="HF23" s="805" t="str">
        <f>IFERROR(INDEX($GF$20:$GR$83,$GU23,COLUMNS($GP23:GZ23)),"")</f>
        <v>16mm</v>
      </c>
      <c r="HG23" s="805" t="str">
        <f>IFERROR(INDEX($GF$20:$GR$83,$GU23,COLUMNS($GP23:HA23)),"")</f>
        <v>Cutter Replacement Standard</v>
      </c>
    </row>
    <row r="24" spans="1:215" ht="20.25" customHeight="1" thickBot="1" x14ac:dyDescent="0.4">
      <c r="A24" s="129" t="s">
        <v>1518</v>
      </c>
      <c r="B24" s="91">
        <f>IF($B$7="LSTK",960031408,IF($B$7="SAUDI ARAMCO",6600048646,""))</f>
        <v>6600048646</v>
      </c>
      <c r="C24" s="58"/>
      <c r="D24" s="1113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214" t="str">
        <f t="shared" si="51"/>
        <v/>
      </c>
      <c r="I24" s="1214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 t="str">
        <f>IF($O$7&lt;&gt;"",           IF($O$7=$GJ24,$GS24,""),IF(AND($D$53=$GK24,NOT(COUNTIF($B$4,"S*"))),$GS24,""))</f>
        <v/>
      </c>
      <c r="GU24" s="805">
        <f>IFERROR(SMALL($GT$20:$GT$83,ROWS($GT$20:GT24)),"")</f>
        <v>34</v>
      </c>
      <c r="GV24" s="814" t="str">
        <f t="shared" si="47"/>
        <v>06.4.1 - 30</v>
      </c>
      <c r="GW24" s="814" t="str">
        <f t="shared" si="48"/>
        <v>6.4.1 30</v>
      </c>
      <c r="GX24" s="805" t="str">
        <f>IFERROR(INDEX($GF$20:$GR$83,$GU24,COLUMNS($GP24:GR24)),"")</f>
        <v>6.4.1</v>
      </c>
      <c r="GY24" s="805">
        <f>IFERROR(INDEX($GF$20:$GR$83,$GU24,COLUMNS($GP24:GS24)),"")</f>
        <v>30</v>
      </c>
      <c r="GZ24" s="805" t="str">
        <f>IFERROR(INDEX($GF$20:$GR$83,$GU24,COLUMNS($GP24:GT24)),"")</f>
        <v>16mm Cutter Replacement Super Premium</v>
      </c>
      <c r="HA24" s="805" t="str">
        <f>IFERROR(INDEX($GF$20:$GR$83,$GU24,COLUMNS($GP24:GU24)),"")</f>
        <v>16mm</v>
      </c>
      <c r="HB24" s="805">
        <f>IFERROR(INDEX($GF$20:$GR$83,$GU24,COLUMNS($GP24:GV24)),"")</f>
        <v>1</v>
      </c>
      <c r="HC24" s="805" t="str">
        <f>IFERROR(INDEX($GF$20:$GR$83,$GU24,COLUMNS($GP24:GW24)),"")</f>
        <v>EA</v>
      </c>
      <c r="HD24" s="805">
        <f>IFERROR(INDEX($GF$20:$GR$83,$GU24,COLUMNS($GP24:GX24)),"")</f>
        <v>662</v>
      </c>
      <c r="HE24" s="805">
        <f>IFERROR(INDEX($GF$20:$GR$83,$GU24,COLUMNS($GP24:GY24)),"")</f>
        <v>8</v>
      </c>
      <c r="HF24" s="805" t="str">
        <f>IFERROR(INDEX($GF$20:$GR$83,$GU24,COLUMNS($GP24:GZ24)),"")</f>
        <v>16mm</v>
      </c>
      <c r="HG24" s="805" t="str">
        <f>IFERROR(INDEX($GF$20:$GR$83,$GU24,COLUMNS($GP24:HA24)),"")</f>
        <v>Cutter Replacement Super Premium</v>
      </c>
    </row>
    <row r="25" spans="1:215" ht="15" customHeight="1" thickBot="1" x14ac:dyDescent="0.4">
      <c r="A25" s="129" t="s">
        <v>1519</v>
      </c>
      <c r="B25" s="90">
        <v>10012130</v>
      </c>
      <c r="D25" s="1114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214" t="str">
        <f t="shared" si="51"/>
        <v/>
      </c>
      <c r="I25" s="1214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" thickBot="1" x14ac:dyDescent="0.4">
      <c r="A26" s="131" t="s">
        <v>1099</v>
      </c>
      <c r="B26" s="104"/>
      <c r="D26" s="1115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214" t="str">
        <f t="shared" si="51"/>
        <v/>
      </c>
      <c r="I26" s="1214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" thickBot="1" x14ac:dyDescent="0.4">
      <c r="A27" s="131" t="s">
        <v>1102</v>
      </c>
      <c r="B27" s="104"/>
      <c r="D27" s="1116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214" t="str">
        <f t="shared" si="51"/>
        <v/>
      </c>
      <c r="I27" s="1214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4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214" t="str">
        <f t="shared" si="51"/>
        <v/>
      </c>
      <c r="I28" s="1214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8" thickBot="1" x14ac:dyDescent="0.4">
      <c r="A29" s="619" t="s">
        <v>2114</v>
      </c>
      <c r="B29" s="104"/>
      <c r="D29" s="574" t="s">
        <v>21</v>
      </c>
      <c r="E29" s="574">
        <f>SUM(E12:E28)</f>
        <v>17</v>
      </c>
      <c r="F29" s="1214"/>
      <c r="G29" s="1214"/>
      <c r="H29" s="1214"/>
      <c r="I29" s="1214"/>
      <c r="J29" s="574"/>
      <c r="K29" s="574">
        <f>SUM(K12:K28)</f>
        <v>17</v>
      </c>
      <c r="L29" s="905">
        <f>SUM(L12:L21)</f>
        <v>0</v>
      </c>
      <c r="M29" s="716"/>
      <c r="N29" s="572" t="s">
        <v>21</v>
      </c>
      <c r="O29" s="573">
        <f>SUMIF(N12:N28, "&lt;&gt;1228501", O12:O28)</f>
        <v>62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4">
      <c r="A30" s="1107"/>
      <c r="B30" s="1108"/>
      <c r="D30" s="1269" t="s">
        <v>954</v>
      </c>
      <c r="E30" s="626" t="s">
        <v>15</v>
      </c>
      <c r="F30" s="625" t="s">
        <v>1452</v>
      </c>
      <c r="G30" s="625" t="s">
        <v>16</v>
      </c>
      <c r="H30" s="1221" t="s">
        <v>965</v>
      </c>
      <c r="I30" s="1222"/>
      <c r="J30" s="1222"/>
      <c r="K30" s="1223"/>
      <c r="L30" s="1220"/>
      <c r="M30" s="1227" t="s">
        <v>1269</v>
      </c>
      <c r="N30" s="1227"/>
      <c r="O30" s="1227"/>
      <c r="P30" s="1227"/>
      <c r="Q30" s="1227"/>
      <c r="R30" s="1227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4">
      <c r="A31" s="1107"/>
      <c r="B31" s="1108"/>
      <c r="D31" s="1270"/>
      <c r="E31" s="551"/>
      <c r="F31" s="551"/>
      <c r="G31" s="981">
        <f>IF(F31&lt;&gt;"",IF($B$7="SAUDI ARAMCO",$F$52,IFERROR(INDEX($A$207:$B$228, MATCH($F$31, A207:A228, 0),2),0)),0)</f>
        <v>0</v>
      </c>
      <c r="H31" s="1224"/>
      <c r="I31" s="1225"/>
      <c r="J31" s="1225"/>
      <c r="K31" s="1226"/>
      <c r="L31" s="1220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4">
      <c r="A32" s="1107"/>
      <c r="B32" s="1108"/>
      <c r="D32" s="1264" t="s">
        <v>1434</v>
      </c>
      <c r="E32" s="1265"/>
      <c r="F32" s="1266"/>
      <c r="G32" s="891"/>
      <c r="H32" s="1267" t="s">
        <v>1202</v>
      </c>
      <c r="I32" s="1268"/>
      <c r="J32" s="1268"/>
      <c r="K32" s="1268"/>
      <c r="L32" s="892">
        <v>1</v>
      </c>
      <c r="M32" s="138">
        <f>L29</f>
        <v>0</v>
      </c>
      <c r="N32" s="138">
        <f>E29</f>
        <v>17</v>
      </c>
      <c r="O32" s="138">
        <f>Quotation!AN58</f>
        <v>0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1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4">
      <c r="A33" s="1107"/>
      <c r="B33" s="1108"/>
      <c r="D33" s="1228" t="s">
        <v>2146</v>
      </c>
      <c r="E33" s="1229"/>
      <c r="F33" s="1230"/>
      <c r="G33" s="977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35">
      <c r="A34" s="1107"/>
      <c r="B34" s="1108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35">
      <c r="A35" s="1107"/>
      <c r="B35" s="1108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0</v>
      </c>
      <c r="EF35">
        <f>ROWS($DE$2:DE35)</f>
        <v>34</v>
      </c>
      <c r="EG35" t="str">
        <f t="shared" si="26"/>
        <v/>
      </c>
      <c r="EJ35" t="str">
        <f t="shared" si="27"/>
        <v/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35">
      <c r="A36" s="1107"/>
      <c r="B36" s="1108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35">
      <c r="A37" s="1107"/>
      <c r="B37" s="1108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35">
      <c r="A38" s="1107"/>
      <c r="B38" s="1108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35">
      <c r="A39" s="1107"/>
      <c r="B39" s="1108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0</v>
      </c>
      <c r="GP39" t="s">
        <v>1671</v>
      </c>
      <c r="GQ39" s="26" t="s">
        <v>1766</v>
      </c>
      <c r="GS39">
        <f>ROWS($GJ$20:GJ39)</f>
        <v>20</v>
      </c>
      <c r="GT39" s="63" t="str">
        <f t="shared" si="57"/>
        <v/>
      </c>
      <c r="GU39"/>
      <c r="HC39" s="805"/>
      <c r="HD39" s="805"/>
    </row>
    <row r="40" spans="1:212" ht="16.5" customHeight="1" thickBot="1" x14ac:dyDescent="0.4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35">
      <c r="A41" s="982"/>
      <c r="B41" s="983" t="str">
        <f>IF(NOT(COUNTIF(B3,"*x*")),IF(B3&lt;&gt;"",TEXT(SUBSTITUTE(SUBSTITUTE(SUBSTITUTE(B3,"-"," "),"""",""),"''",""),"0 0/00")&amp;"""",""),B3)</f>
        <v>8 3/08"</v>
      </c>
      <c r="BR41" t="str">
        <f>IF(BR44=BR43,BR43&amp;"a",BR43&amp;"b")</f>
        <v>1a</v>
      </c>
      <c r="BS41" t="str">
        <f t="shared" ref="BS41:CZ41" si="59">IF(BS44=BS43,BS43&amp;"a",BS44&amp;"b")</f>
        <v>2a</v>
      </c>
      <c r="BT41" t="str">
        <f t="shared" si="59"/>
        <v>3a</v>
      </c>
      <c r="BU41" t="str">
        <f t="shared" si="59"/>
        <v>4a</v>
      </c>
      <c r="BV41" t="str">
        <f t="shared" si="59"/>
        <v>5a</v>
      </c>
      <c r="BW41" t="str">
        <f t="shared" si="59"/>
        <v>6a</v>
      </c>
      <c r="BX41" t="str">
        <f t="shared" si="59"/>
        <v>7a</v>
      </c>
      <c r="BY41" t="str">
        <f t="shared" si="59"/>
        <v>8a</v>
      </c>
      <c r="BZ41" t="str">
        <f t="shared" si="59"/>
        <v>0a</v>
      </c>
      <c r="CA41" t="str">
        <f t="shared" si="59"/>
        <v>9b</v>
      </c>
      <c r="CB41" t="str">
        <f t="shared" si="59"/>
        <v>10b</v>
      </c>
      <c r="CC41" t="str">
        <f t="shared" si="59"/>
        <v>11b</v>
      </c>
      <c r="CD41" t="str">
        <f t="shared" si="59"/>
        <v>12b</v>
      </c>
      <c r="CE41" t="str">
        <f t="shared" si="59"/>
        <v>0a</v>
      </c>
      <c r="CF41" t="str">
        <f t="shared" si="59"/>
        <v>0a</v>
      </c>
      <c r="CG41" t="str">
        <f t="shared" si="59"/>
        <v>0a</v>
      </c>
      <c r="CH41" t="str">
        <f t="shared" si="59"/>
        <v>0a</v>
      </c>
      <c r="CI41" t="str">
        <f t="shared" si="59"/>
        <v>0a</v>
      </c>
      <c r="CJ41" t="str">
        <f t="shared" si="59"/>
        <v>0a</v>
      </c>
      <c r="CK41" t="str">
        <f t="shared" si="59"/>
        <v>0a</v>
      </c>
      <c r="CL41" t="str">
        <f t="shared" si="59"/>
        <v>0a</v>
      </c>
      <c r="CM41" t="str">
        <f t="shared" si="59"/>
        <v>0a</v>
      </c>
      <c r="CN41" t="str">
        <f t="shared" si="59"/>
        <v>0a</v>
      </c>
      <c r="CO41" t="str">
        <f t="shared" si="59"/>
        <v>0a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0</v>
      </c>
      <c r="EF41">
        <f>ROWS($DE$2:DE41)</f>
        <v>40</v>
      </c>
      <c r="EG41" t="str">
        <f t="shared" si="26"/>
        <v/>
      </c>
      <c r="EJ41" t="str">
        <f t="shared" si="27"/>
        <v/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0</v>
      </c>
      <c r="GP41" t="s">
        <v>1671</v>
      </c>
      <c r="GQ41" s="26" t="s">
        <v>1768</v>
      </c>
      <c r="GS41">
        <f>ROWS($GJ$20:GJ41)</f>
        <v>22</v>
      </c>
      <c r="GT41" s="63" t="str">
        <f t="shared" si="57"/>
        <v/>
      </c>
      <c r="GU41"/>
      <c r="HC41" s="805"/>
      <c r="HD41" s="805"/>
    </row>
    <row r="42" spans="1:212" ht="16.5" customHeight="1" thickBot="1" x14ac:dyDescent="0.4">
      <c r="A42" s="984"/>
      <c r="B42" s="985" t="str">
        <f>IF(NOT(COUNTIF(B3,"*x*")),IF(B3&lt;&gt;"",TEXT(SUBSTITUTE(SUBSTITUTE(SUBSTITUTE(B3,"-"," "),"""",""),"''",""),"0 0/0")&amp;"""",""),B3)</f>
        <v>8 3/8"</v>
      </c>
      <c r="BR42" t="str">
        <f t="shared" ref="BR42:CZ42" si="62">IF(BR44=BR43,BR43&amp;"a",BR43&amp;"b")</f>
        <v>1a</v>
      </c>
      <c r="BS42" t="str">
        <f t="shared" si="62"/>
        <v>2a</v>
      </c>
      <c r="BT42" t="str">
        <f t="shared" si="62"/>
        <v>3a</v>
      </c>
      <c r="BU42" t="str">
        <f t="shared" si="62"/>
        <v>4a</v>
      </c>
      <c r="BV42" t="str">
        <f t="shared" si="62"/>
        <v>5a</v>
      </c>
      <c r="BW42" t="str">
        <f t="shared" si="62"/>
        <v>6a</v>
      </c>
      <c r="BX42" t="str">
        <f t="shared" si="62"/>
        <v>7a</v>
      </c>
      <c r="BY42" t="str">
        <f t="shared" si="62"/>
        <v>8a</v>
      </c>
      <c r="BZ42" t="str">
        <f t="shared" si="62"/>
        <v>0a</v>
      </c>
      <c r="CA42" t="str">
        <f t="shared" si="62"/>
        <v>1b</v>
      </c>
      <c r="CB42" t="str">
        <f t="shared" si="62"/>
        <v>2b</v>
      </c>
      <c r="CC42" t="str">
        <f t="shared" si="62"/>
        <v>3b</v>
      </c>
      <c r="CD42" t="str">
        <f t="shared" si="62"/>
        <v>4b</v>
      </c>
      <c r="CE42" t="str">
        <f t="shared" si="62"/>
        <v>0a</v>
      </c>
      <c r="CF42" t="str">
        <f t="shared" si="62"/>
        <v>0a</v>
      </c>
      <c r="CG42" t="str">
        <f t="shared" si="62"/>
        <v>0a</v>
      </c>
      <c r="CH42" t="str">
        <f t="shared" si="62"/>
        <v>0a</v>
      </c>
      <c r="CI42" t="str">
        <f t="shared" si="62"/>
        <v>0a</v>
      </c>
      <c r="CJ42" t="str">
        <f t="shared" si="62"/>
        <v>0a</v>
      </c>
      <c r="CK42" t="str">
        <f t="shared" si="62"/>
        <v>0a</v>
      </c>
      <c r="CL42" t="str">
        <f t="shared" si="62"/>
        <v>0a</v>
      </c>
      <c r="CM42" t="str">
        <f t="shared" si="62"/>
        <v>0a</v>
      </c>
      <c r="CN42" t="str">
        <f t="shared" si="62"/>
        <v>0a</v>
      </c>
      <c r="CO42" t="str">
        <f t="shared" si="62"/>
        <v>0a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4">
      <c r="A43" s="984">
        <f>COUNTIF(B42,"*0/*")</f>
        <v>0</v>
      </c>
      <c r="B43" s="986" t="str">
        <f>IF(COUNTIF(B42,"*0/*"),B41,B42)</f>
        <v>8 3/8"</v>
      </c>
      <c r="C43" s="107">
        <f>IFERROR(VALUE(IF(OR(COUNTIF(B43,"*X*"),COUNTIF(B43,"*x*")),LEFT(B43,1),SUBSTITUTE(B43,"""",""))),"")</f>
        <v>8.375</v>
      </c>
      <c r="E43" s="320" t="s">
        <v>766</v>
      </c>
      <c r="F43" s="1218" t="s">
        <v>780</v>
      </c>
      <c r="G43" s="1219"/>
      <c r="BR43">
        <f>IF(SUM(BR46:BR57)=0,0,1)</f>
        <v>1</v>
      </c>
      <c r="BS43">
        <f t="shared" ref="BS43:CZ43" si="63">IF(SUM(BS46:BS57)=0,0,BR43+1)</f>
        <v>2</v>
      </c>
      <c r="BT43">
        <f t="shared" si="63"/>
        <v>3</v>
      </c>
      <c r="BU43">
        <f t="shared" si="63"/>
        <v>4</v>
      </c>
      <c r="BV43">
        <f t="shared" si="63"/>
        <v>5</v>
      </c>
      <c r="BW43">
        <f t="shared" si="63"/>
        <v>6</v>
      </c>
      <c r="BX43">
        <f t="shared" si="63"/>
        <v>7</v>
      </c>
      <c r="BY43">
        <f t="shared" si="63"/>
        <v>8</v>
      </c>
      <c r="BZ43">
        <f t="shared" si="63"/>
        <v>0</v>
      </c>
      <c r="CA43">
        <f t="shared" si="63"/>
        <v>1</v>
      </c>
      <c r="CB43">
        <f t="shared" si="63"/>
        <v>2</v>
      </c>
      <c r="CC43">
        <f t="shared" si="63"/>
        <v>3</v>
      </c>
      <c r="CD43">
        <f t="shared" si="63"/>
        <v>4</v>
      </c>
      <c r="CE43">
        <f t="shared" si="63"/>
        <v>0</v>
      </c>
      <c r="CF43">
        <f t="shared" si="63"/>
        <v>0</v>
      </c>
      <c r="CG43">
        <f t="shared" si="63"/>
        <v>0</v>
      </c>
      <c r="CH43">
        <f t="shared" si="63"/>
        <v>0</v>
      </c>
      <c r="CI43">
        <f t="shared" si="63"/>
        <v>0</v>
      </c>
      <c r="CJ43">
        <f t="shared" si="63"/>
        <v>0</v>
      </c>
      <c r="CK43">
        <f t="shared" si="63"/>
        <v>0</v>
      </c>
      <c r="CL43">
        <f t="shared" si="63"/>
        <v>0</v>
      </c>
      <c r="CM43">
        <f t="shared" si="63"/>
        <v>0</v>
      </c>
      <c r="CN43">
        <f t="shared" si="63"/>
        <v>0</v>
      </c>
      <c r="CO43">
        <f t="shared" si="63"/>
        <v>0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4">
      <c r="A44" s="987"/>
      <c r="B44" s="988">
        <f>B6</f>
        <v>46002</v>
      </c>
      <c r="G44" t="s">
        <v>1526</v>
      </c>
      <c r="BF44" s="1215" t="s">
        <v>109</v>
      </c>
      <c r="BG44" s="1216"/>
      <c r="BH44" s="1216"/>
      <c r="BI44" s="1216"/>
      <c r="BJ44" s="1216"/>
      <c r="BK44" s="1216"/>
      <c r="BL44" s="1216"/>
      <c r="BM44" s="1217"/>
      <c r="BQ44">
        <f>MAX(BR44:DA44)</f>
        <v>12</v>
      </c>
      <c r="BR44">
        <f>IF(SUM(BR46:BR57)=0,0,1)</f>
        <v>1</v>
      </c>
      <c r="BS44">
        <f t="shared" ref="BS44:CZ44" si="64">IF(SUM(BS46:BS57)=0,0,IF(BR44=0,BQ44+1,BR44+1))</f>
        <v>2</v>
      </c>
      <c r="BT44">
        <f t="shared" si="64"/>
        <v>3</v>
      </c>
      <c r="BU44">
        <f t="shared" si="64"/>
        <v>4</v>
      </c>
      <c r="BV44">
        <f t="shared" si="64"/>
        <v>5</v>
      </c>
      <c r="BW44">
        <f t="shared" si="64"/>
        <v>6</v>
      </c>
      <c r="BX44">
        <f t="shared" si="64"/>
        <v>7</v>
      </c>
      <c r="BY44">
        <f t="shared" si="64"/>
        <v>8</v>
      </c>
      <c r="BZ44">
        <f t="shared" si="64"/>
        <v>0</v>
      </c>
      <c r="CA44">
        <f t="shared" si="64"/>
        <v>9</v>
      </c>
      <c r="CB44">
        <f t="shared" si="64"/>
        <v>10</v>
      </c>
      <c r="CC44">
        <f t="shared" si="64"/>
        <v>11</v>
      </c>
      <c r="CD44">
        <f t="shared" si="64"/>
        <v>12</v>
      </c>
      <c r="CE44">
        <f t="shared" si="64"/>
        <v>0</v>
      </c>
      <c r="CF44">
        <f t="shared" si="64"/>
        <v>0</v>
      </c>
      <c r="CG44">
        <f t="shared" si="64"/>
        <v>0</v>
      </c>
      <c r="CH44">
        <f t="shared" si="64"/>
        <v>0</v>
      </c>
      <c r="CI44">
        <f t="shared" si="64"/>
        <v>0</v>
      </c>
      <c r="CJ44">
        <f t="shared" si="64"/>
        <v>0</v>
      </c>
      <c r="CK44">
        <f t="shared" si="64"/>
        <v>0</v>
      </c>
      <c r="CL44">
        <f t="shared" si="64"/>
        <v>0</v>
      </c>
      <c r="CM44">
        <f t="shared" si="64"/>
        <v>0</v>
      </c>
      <c r="CN44">
        <f t="shared" si="64"/>
        <v>0</v>
      </c>
      <c r="CO44">
        <f t="shared" si="64"/>
        <v>0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6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>C1</v>
      </c>
      <c r="BS45" s="140" t="str">
        <f t="shared" si="65"/>
        <v>C2</v>
      </c>
      <c r="BT45" s="140" t="str">
        <f t="shared" si="65"/>
        <v>C3</v>
      </c>
      <c r="BU45" s="140" t="str">
        <f t="shared" si="65"/>
        <v>C4</v>
      </c>
      <c r="BV45" s="140" t="str">
        <f t="shared" si="65"/>
        <v>C5</v>
      </c>
      <c r="BW45" s="140" t="str">
        <f t="shared" si="65"/>
        <v>C6</v>
      </c>
      <c r="BX45" s="140" t="str">
        <f t="shared" si="65"/>
        <v>C7</v>
      </c>
      <c r="BY45" s="140" t="str">
        <f t="shared" si="65"/>
        <v>C8</v>
      </c>
      <c r="BZ45" s="140" t="str">
        <f t="shared" si="65"/>
        <v/>
      </c>
      <c r="CA45" s="140" t="str">
        <f t="shared" si="65"/>
        <v>C9</v>
      </c>
      <c r="CB45" s="140" t="str">
        <f t="shared" si="65"/>
        <v>C10</v>
      </c>
      <c r="CC45" s="140" t="str">
        <f t="shared" si="65"/>
        <v>C11</v>
      </c>
      <c r="CD45" s="140" t="str">
        <f t="shared" si="65"/>
        <v>C12</v>
      </c>
      <c r="CE45" s="140" t="str">
        <f t="shared" si="65"/>
        <v/>
      </c>
      <c r="CF45" s="140" t="str">
        <f t="shared" si="65"/>
        <v/>
      </c>
      <c r="CG45" s="140" t="str">
        <f t="shared" si="65"/>
        <v/>
      </c>
      <c r="CH45" s="140" t="str">
        <f t="shared" si="65"/>
        <v/>
      </c>
      <c r="CI45" s="140" t="str">
        <f t="shared" si="65"/>
        <v/>
      </c>
      <c r="CJ45" s="140" t="str">
        <f t="shared" si="65"/>
        <v/>
      </c>
      <c r="CK45" s="140" t="str">
        <f t="shared" si="65"/>
        <v/>
      </c>
      <c r="CL45" s="140" t="str">
        <f t="shared" si="65"/>
        <v/>
      </c>
      <c r="CM45" s="140" t="str">
        <f t="shared" si="65"/>
        <v/>
      </c>
      <c r="CN45" s="140" t="str">
        <f t="shared" si="65"/>
        <v/>
      </c>
      <c r="CO45" s="140" t="str">
        <f t="shared" si="65"/>
        <v/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6</v>
      </c>
      <c r="GP45" t="s">
        <v>1670</v>
      </c>
      <c r="GQ45" s="26" t="s">
        <v>1766</v>
      </c>
      <c r="GS45">
        <f>ROWS($GJ$20:GJ45)</f>
        <v>26</v>
      </c>
      <c r="GT45" s="63">
        <f t="shared" si="57"/>
        <v>26</v>
      </c>
      <c r="GU45"/>
      <c r="HC45" s="805"/>
      <c r="HD45" s="805"/>
    </row>
    <row r="46" spans="1:212" ht="15.75" customHeight="1" x14ac:dyDescent="0.3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str">
        <f>IF(VALUE(SUBSTITUTE($B$5,"M",""))=U46,BF46,"")</f>
        <v/>
      </c>
      <c r="BH46">
        <f>IFERROR(SMALL($BG$46:$BG$3014,ROWS($BG$46:BG46)),"")</f>
        <v>676</v>
      </c>
      <c r="BI46" s="170">
        <f>IFERROR(INDEX($O$46:$T$3015,$BH46:$BH57,COLUMNS($BE$46:BE46)),0)</f>
        <v>1</v>
      </c>
      <c r="BJ46" s="170">
        <f>IFERROR(INDEX($O$46:$T$3015,$BH46:$BH57,COLUMNS($BE$46:BF46)),0)</f>
        <v>1130198</v>
      </c>
      <c r="BK46" s="170">
        <f>IFERROR(INDEX($O$46:$T$3015,$BH46:$BH57,COLUMNS($BE$46:BG46)),0)</f>
        <v>33</v>
      </c>
      <c r="BL46" s="170">
        <f>IFERROR(INDEX($O$46:$T$3015,$BH46:$BH57,COLUMNS($BE$46:BH46)),0)</f>
        <v>0</v>
      </c>
      <c r="BM46" s="170" t="str">
        <f>IFERROR(INDEX($O$46:$T$3015,$BH46:$BH57,COLUMNS($BE$46:BI46)),0)</f>
        <v>8 3/8"</v>
      </c>
      <c r="BN46" s="170" t="str">
        <f>IFERROR(INDEX($O$46:$T$3015,$BH46:$BH57,COLUMNS($BE$46:BJ46)),0)</f>
        <v>MM65DH</v>
      </c>
      <c r="BO46" s="170">
        <f>IFERROR(INDEX($O$46:$T$3015,$BH46:$BH57,COLUMNS($BE$46:BG46)),0)</f>
        <v>33</v>
      </c>
      <c r="BP46" s="44"/>
      <c r="BQ46" s="140" t="s">
        <v>87</v>
      </c>
      <c r="BR46" s="40">
        <f>IFERROR(INDEX($W$46:$BE$3014,$BH46:$BH56,COLUMNS($BE$46:BE46)),"")</f>
        <v>1</v>
      </c>
      <c r="BS46" s="40">
        <f>IFERROR(INDEX($W$46:$BE$3014,$BH46:$BH56,COLUMNS($BE$46:BF46)),"")</f>
        <v>1</v>
      </c>
      <c r="BT46" s="40">
        <f>IFERROR(INDEX($W$46:$BE$3014,$BH46:$BH56,COLUMNS($BE$46:BG46)),"")</f>
        <v>1</v>
      </c>
      <c r="BU46" s="40">
        <f>IFERROR(INDEX($W$46:$BE$3014,$BH46:$BH56,COLUMNS($BE$46:BH46)),"")</f>
        <v>1</v>
      </c>
      <c r="BV46" s="40">
        <f>IFERROR(INDEX($W$46:$BE$3014,$BH46:$BH56,COLUMNS($BE$46:BI46)),"")</f>
        <v>1</v>
      </c>
      <c r="BW46" s="40">
        <f>IFERROR(INDEX($W$46:$BE$3014,$BH46:$BH56,COLUMNS($BE$46:BJ46)),"")</f>
        <v>1</v>
      </c>
      <c r="BX46" s="40">
        <f>IFERROR(INDEX($W$46:$BE$3014,$BH46:$BH56,COLUMNS($BE$46:BK46)),"")</f>
        <v>1</v>
      </c>
      <c r="BY46" s="40">
        <f>IFERROR(INDEX($W$46:$BE$3014,$BH46:$BH56,COLUMNS($BE$46:BL46)),"")</f>
        <v>3</v>
      </c>
      <c r="BZ46" s="40">
        <f>IFERROR(INDEX($W$46:$BE$3014,$BH46:$BH56,COLUMNS($BE$46:BM46)),"")</f>
        <v>0</v>
      </c>
      <c r="CA46" s="40">
        <f>IFERROR(INDEX($W$46:$BE$3014,$BH46:$BH56,COLUMNS($BE$46:BN46)),"")</f>
        <v>2</v>
      </c>
      <c r="CB46" s="40">
        <f>IFERROR(INDEX($W$46:$BE$3014,$BH46:$BH56,COLUMNS($BE$46:BO46)),"")</f>
        <v>2</v>
      </c>
      <c r="CC46" s="40">
        <f>IFERROR(INDEX($W$46:$BE$3014,$BH46:$BH56,COLUMNS($BE$46:BP46)),"")</f>
        <v>2</v>
      </c>
      <c r="CD46" s="40">
        <f>IFERROR(INDEX($W$46:$BE$3014,$BH46:$BH56,COLUMNS($BE$46:BQ46)),"")</f>
        <v>2</v>
      </c>
      <c r="CE46" s="40">
        <f>IFERROR(INDEX($W$46:$BE$3014,$BH46:$BH56,COLUMNS($BE$46:BR46)),"")</f>
        <v>0</v>
      </c>
      <c r="CF46" s="40">
        <f>IFERROR(INDEX($W$46:$BE$3014,$BH46:$BH56,COLUMNS($BE$46:BS46)),"")</f>
        <v>0</v>
      </c>
      <c r="CG46" s="40">
        <f>IFERROR(INDEX($W$46:$BE$3014,$BH46:$BH56,COLUMNS($BE$46:BT46)),"")</f>
        <v>0</v>
      </c>
      <c r="CH46" s="40">
        <f>IFERROR(INDEX($W$46:$BE$3014,$BH46:$BH56,COLUMNS($BE$46:BU46)),"")</f>
        <v>0</v>
      </c>
      <c r="CI46" s="40">
        <f>IFERROR(INDEX($W$46:$BE$3014,$BH46:$BH56,COLUMNS($BE$46:BV46)),"")</f>
        <v>0</v>
      </c>
      <c r="CJ46" s="40">
        <f>IFERROR(INDEX($W$46:$BE$3014,$BH46:$BH56,COLUMNS($BE$46:BW46)),"")</f>
        <v>0</v>
      </c>
      <c r="CK46" s="40">
        <f>IFERROR(INDEX($W$46:$BE$3014,$BH46:$BH56,COLUMNS($BE$46:BX46)),"")</f>
        <v>0</v>
      </c>
      <c r="CL46" s="40">
        <f>IFERROR(INDEX($W$46:$BE$3014,$BH46:$BH56,COLUMNS($BE$46:BY46)),"")</f>
        <v>0</v>
      </c>
      <c r="CM46" s="40">
        <f>IFERROR(INDEX($W$46:$BE$3014,$BH46:$BH56,COLUMNS($BE$46:BZ46)),"")</f>
        <v>0</v>
      </c>
      <c r="CN46" s="40">
        <f>IFERROR(INDEX($W$46:$BE$3014,$BH46:$BH56,COLUMNS($BE$46:CA46)),"")</f>
        <v>0</v>
      </c>
      <c r="CO46" s="40">
        <f>IFERROR(INDEX($W$46:$BE$3014,$BH46:$BH56,COLUMNS($BE$46:CB46)),"")</f>
        <v>0</v>
      </c>
      <c r="CP46" s="40">
        <f>IFERROR(INDEX($W$46:$BE$3014,$BH46:$BH56,COLUMNS($BE$46:CC46)),"")</f>
        <v>0</v>
      </c>
      <c r="CQ46" s="40">
        <f>IFERROR(INDEX($W$46:$BE$3014,$BH46:$BH56,COLUMNS($BE$46:CD46)),"")</f>
        <v>0</v>
      </c>
      <c r="CR46" s="40">
        <f>IFERROR(INDEX($W$46:$BE$3014,$BH46:$BH56,COLUMNS($BE$46:CE46)),"")</f>
        <v>0</v>
      </c>
      <c r="CS46" s="40">
        <f>IFERROR(INDEX($W$46:$BE$3014,$BH46:$BH56,COLUMNS($BE$46:CF46)),"")</f>
        <v>0</v>
      </c>
      <c r="CT46" s="40">
        <f>IFERROR(INDEX($W$46:$BE$3014,$BH46:$BH56,COLUMNS($BE$46:CG46)),"")</f>
        <v>0</v>
      </c>
      <c r="CU46" s="40">
        <f>IFERROR(INDEX($W$46:$BE$3014,$BH46:$BH56,COLUMNS($BE$46:CH46)),"")</f>
        <v>0</v>
      </c>
      <c r="CV46" s="40">
        <f>IFERROR(INDEX($W$46:$BE$3014,$BH46:$BH56,COLUMNS($BE$46:CI46)),"")</f>
        <v>0</v>
      </c>
      <c r="CW46" s="40">
        <f>IFERROR(INDEX($W$46:$BE$3014,$BH46:$BH56,COLUMNS($BE$46:CJ46)),"")</f>
        <v>0</v>
      </c>
      <c r="CX46" s="40">
        <f>IFERROR(INDEX($W$46:$BE$3014,$BH46:$BH56,COLUMNS($BE$46:CK46)),"")</f>
        <v>0</v>
      </c>
      <c r="CY46" s="40">
        <f>IFERROR(INDEX($W$46:$BE$3014,$BH46:$BH56,COLUMNS($BE$46:CL46)),"")</f>
        <v>0</v>
      </c>
      <c r="CZ46" s="40">
        <f>IFERROR(INDEX($W$46:$BE$3014,$BH46:$BH56,COLUMNS($BE$46:CM46)),"")</f>
        <v>0</v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3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str">
        <f t="shared" ref="BG47:BG110" si="66">IF(VALUE(SUBSTITUTE($B$5,"M",""))=U47,BF47,"")</f>
        <v/>
      </c>
      <c r="BH47">
        <f>IFERROR(SMALL($BG$46:$BG$3014,ROWS($BG$46:BG47)),"")</f>
        <v>677</v>
      </c>
      <c r="BI47" s="170">
        <f>IFERROR(INDEX($O$46:$T$3015,$BH47:$BH58,COLUMNS($BE$46:BE47)),0)</f>
        <v>2</v>
      </c>
      <c r="BJ47" s="170">
        <f>IFERROR(INDEX($O$46:$T$3015,$BH47:$BH58,COLUMNS($BE$46:BF47)),0)</f>
        <v>647435</v>
      </c>
      <c r="BK47" s="170">
        <f>IFERROR(INDEX($O$46:$T$3015,$BH47:$BH58,COLUMNS($BE$46:BG47)),0)</f>
        <v>23</v>
      </c>
      <c r="BL47" s="170">
        <f>IFERROR(INDEX($O$46:$T$3015,$BH47:$BH58,COLUMNS($BE$46:BH47)),0)</f>
        <v>0</v>
      </c>
      <c r="BM47" s="170" t="str">
        <f>IFERROR(INDEX($O$46:$T$3015,$BH47:$BH58,COLUMNS($BE$46:BI47)),0)</f>
        <v>8 3/8"</v>
      </c>
      <c r="BN47" s="170" t="str">
        <f>IFERROR(INDEX($O$46:$T$3015,$BH47:$BH58,COLUMNS($BE$46:BJ47)),0)</f>
        <v>MM65DH</v>
      </c>
      <c r="BO47" s="170">
        <f>IFERROR(INDEX($O$46:$T$3015,$BH47:$BH58,COLUMNS($BE$46:BG47)),0)</f>
        <v>23</v>
      </c>
      <c r="BP47" s="44"/>
      <c r="BQ47" s="140" t="s">
        <v>88</v>
      </c>
      <c r="BR47" s="40">
        <f>IFERROR(INDEX($W$46:$BE$3014,$BH47:$BH57,COLUMNS($BE$46:BE47)),"")</f>
        <v>1</v>
      </c>
      <c r="BS47" s="40">
        <f>IFERROR(INDEX($W$46:$BE$3014,$BH47:$BH57,COLUMNS($BE$46:BF47)),"")</f>
        <v>1</v>
      </c>
      <c r="BT47" s="40">
        <f>IFERROR(INDEX($W$46:$BE$3014,$BH47:$BH57,COLUMNS($BE$46:BG47)),"")</f>
        <v>1</v>
      </c>
      <c r="BU47" s="40">
        <f>IFERROR(INDEX($W$46:$BE$3014,$BH47:$BH57,COLUMNS($BE$46:BH47)),"")</f>
        <v>1</v>
      </c>
      <c r="BV47" s="40">
        <f>IFERROR(INDEX($W$46:$BE$3014,$BH47:$BH57,COLUMNS($BE$46:BI47)),"")</f>
        <v>3</v>
      </c>
      <c r="BW47" s="40">
        <f>IFERROR(INDEX($W$46:$BE$3014,$BH47:$BH57,COLUMNS($BE$46:BJ47)),"")</f>
        <v>0</v>
      </c>
      <c r="BX47" s="40">
        <f>IFERROR(INDEX($W$46:$BE$3014,$BH47:$BH57,COLUMNS($BE$46:BK47)),"")</f>
        <v>0</v>
      </c>
      <c r="BY47" s="40">
        <f>IFERROR(INDEX($W$46:$BE$3014,$BH47:$BH57,COLUMNS($BE$46:BL47)),"")</f>
        <v>0</v>
      </c>
      <c r="BZ47" s="40">
        <f>IFERROR(INDEX($W$46:$BE$3014,$BH47:$BH57,COLUMNS($BE$46:BM47)),"")</f>
        <v>0</v>
      </c>
      <c r="CA47" s="40">
        <f>IFERROR(INDEX($W$46:$BE$3014,$BH47:$BH57,COLUMNS($BE$46:BN47)),"")</f>
        <v>2</v>
      </c>
      <c r="CB47" s="40">
        <f>IFERROR(INDEX($W$46:$BE$3014,$BH47:$BH57,COLUMNS($BE$46:BO47)),"")</f>
        <v>2</v>
      </c>
      <c r="CC47" s="40">
        <f>IFERROR(INDEX($W$46:$BE$3014,$BH47:$BH57,COLUMNS($BE$46:BP47)),"")</f>
        <v>2</v>
      </c>
      <c r="CD47" s="40">
        <f>IFERROR(INDEX($W$46:$BE$3014,$BH47:$BH57,COLUMNS($BE$46:BQ47)),"")</f>
        <v>2</v>
      </c>
      <c r="CE47" s="40">
        <f>IFERROR(INDEX($W$46:$BE$3014,$BH47:$BH57,COLUMNS($BE$46:BR47)),"")</f>
        <v>0</v>
      </c>
      <c r="CF47" s="40">
        <f>IFERROR(INDEX($W$46:$BE$3014,$BH47:$BH57,COLUMNS($BE$46:BS47)),"")</f>
        <v>0</v>
      </c>
      <c r="CG47" s="40">
        <f>IFERROR(INDEX($W$46:$BE$3014,$BH47:$BH57,COLUMNS($BE$46:BT47)),"")</f>
        <v>0</v>
      </c>
      <c r="CH47" s="40">
        <f>IFERROR(INDEX($W$46:$BE$3014,$BH47:$BH57,COLUMNS($BE$46:BU47)),"")</f>
        <v>0</v>
      </c>
      <c r="CI47" s="40">
        <f>IFERROR(INDEX($W$46:$BE$3014,$BH47:$BH57,COLUMNS($BE$46:BV47)),"")</f>
        <v>0</v>
      </c>
      <c r="CJ47" s="40">
        <f>IFERROR(INDEX($W$46:$BE$3014,$BH47:$BH57,COLUMNS($BE$46:BW47)),"")</f>
        <v>0</v>
      </c>
      <c r="CK47" s="40">
        <f>IFERROR(INDEX($W$46:$BE$3014,$BH47:$BH57,COLUMNS($BE$46:BX47)),"")</f>
        <v>0</v>
      </c>
      <c r="CL47" s="40">
        <f>IFERROR(INDEX($W$46:$BE$3014,$BH47:$BH57,COLUMNS($BE$46:BY47)),"")</f>
        <v>0</v>
      </c>
      <c r="CM47" s="40">
        <f>IFERROR(INDEX($W$46:$BE$3014,$BH47:$BH57,COLUMNS($BE$46:BZ47)),"")</f>
        <v>0</v>
      </c>
      <c r="CN47" s="40">
        <f>IFERROR(INDEX($W$46:$BE$3014,$BH47:$BH57,COLUMNS($BE$46:CA47)),"")</f>
        <v>0</v>
      </c>
      <c r="CO47" s="40">
        <f>IFERROR(INDEX($W$46:$BE$3014,$BH47:$BH57,COLUMNS($BE$46:CB47)),"")</f>
        <v>0</v>
      </c>
      <c r="CP47" s="40">
        <f>IFERROR(INDEX($W$46:$BE$3014,$BH47:$BH57,COLUMNS($BE$46:CC47)),"")</f>
        <v>0</v>
      </c>
      <c r="CQ47" s="40">
        <f>IFERROR(INDEX($W$46:$BE$3014,$BH47:$BH57,COLUMNS($BE$46:CD47)),"")</f>
        <v>0</v>
      </c>
      <c r="CR47" s="40">
        <f>IFERROR(INDEX($W$46:$BE$3014,$BH47:$BH57,COLUMNS($BE$46:CE47)),"")</f>
        <v>0</v>
      </c>
      <c r="CS47" s="40">
        <f>IFERROR(INDEX($W$46:$BE$3014,$BH47:$BH57,COLUMNS($BE$46:CF47)),"")</f>
        <v>0</v>
      </c>
      <c r="CT47" s="40">
        <f>IFERROR(INDEX($W$46:$BE$3014,$BH47:$BH57,COLUMNS($BE$46:CG47)),"")</f>
        <v>0</v>
      </c>
      <c r="CU47" s="40">
        <f>IFERROR(INDEX($W$46:$BE$3014,$BH47:$BH57,COLUMNS($BE$46:CH47)),"")</f>
        <v>0</v>
      </c>
      <c r="CV47" s="40">
        <f>IFERROR(INDEX($W$46:$BE$3014,$BH47:$BH57,COLUMNS($BE$46:CI47)),"")</f>
        <v>0</v>
      </c>
      <c r="CW47" s="40">
        <f>IFERROR(INDEX($W$46:$BE$3014,$BH47:$BH57,COLUMNS($BE$46:CJ47)),"")</f>
        <v>0</v>
      </c>
      <c r="CX47" s="40">
        <f>IFERROR(INDEX($W$46:$BE$3014,$BH47:$BH57,COLUMNS($BE$46:CK47)),"")</f>
        <v>0</v>
      </c>
      <c r="CY47" s="40">
        <f>IFERROR(INDEX($W$46:$BE$3014,$BH47:$BH57,COLUMNS($BE$46:CL47)),"")</f>
        <v>0</v>
      </c>
      <c r="CZ47" s="40">
        <f>IFERROR(INDEX($W$46:$BE$3014,$BH47:$BH57,COLUMNS($BE$46:CM47)),"")</f>
        <v>0</v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3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str">
        <f t="shared" si="66"/>
        <v/>
      </c>
      <c r="BH48">
        <f>IFERROR(SMALL($BG$46:$BG$3014,ROWS($BG$46:BG48)),"")</f>
        <v>678</v>
      </c>
      <c r="BI48" s="170">
        <f>IFERROR(INDEX($O$46:$T$3015,$BH48:$BH59,COLUMNS($BE$46:BE48)),0)</f>
        <v>3</v>
      </c>
      <c r="BJ48" s="170">
        <f>IFERROR(INDEX($O$46:$T$3015,$BH48:$BH59,COLUMNS($BE$46:BF48)),0)</f>
        <v>418525</v>
      </c>
      <c r="BK48" s="170">
        <f>IFERROR(INDEX($O$46:$T$3015,$BH48:$BH59,COLUMNS($BE$46:BG48)),0)</f>
        <v>6</v>
      </c>
      <c r="BL48" s="170">
        <f>IFERROR(INDEX($O$46:$T$3015,$BH48:$BH59,COLUMNS($BE$46:BH48)),0)</f>
        <v>0</v>
      </c>
      <c r="BM48" s="170" t="str">
        <f>IFERROR(INDEX($O$46:$T$3015,$BH48:$BH59,COLUMNS($BE$46:BI48)),0)</f>
        <v>8 3/8"</v>
      </c>
      <c r="BN48" s="170" t="str">
        <f>IFERROR(INDEX($O$46:$T$3015,$BH48:$BH59,COLUMNS($BE$46:BJ48)),0)</f>
        <v>MM65DH</v>
      </c>
      <c r="BO48" s="170">
        <f>IFERROR(INDEX($O$46:$T$3015,$BH48:$BH59,COLUMNS($BE$46:BG48)),0)</f>
        <v>6</v>
      </c>
      <c r="BP48" s="44"/>
      <c r="BQ48" s="140" t="s">
        <v>89</v>
      </c>
      <c r="BR48" s="40">
        <f>IFERROR(INDEX($W$46:$BE$3014,$BH48:$BH58,COLUMNS($BE$46:BE48)),"")</f>
        <v>1</v>
      </c>
      <c r="BS48" s="40">
        <f>IFERROR(INDEX($W$46:$BE$3014,$BH48:$BH58,COLUMNS($BE$46:BF48)),"")</f>
        <v>1</v>
      </c>
      <c r="BT48" s="40">
        <f>IFERROR(INDEX($W$46:$BE$3014,$BH48:$BH58,COLUMNS($BE$46:BG48)),"")</f>
        <v>1</v>
      </c>
      <c r="BU48" s="40">
        <f>IFERROR(INDEX($W$46:$BE$3014,$BH48:$BH58,COLUMNS($BE$46:BH48)),"")</f>
        <v>1</v>
      </c>
      <c r="BV48" s="40">
        <f>IFERROR(INDEX($W$46:$BE$3014,$BH48:$BH58,COLUMNS($BE$46:BI48)),"")</f>
        <v>1</v>
      </c>
      <c r="BW48" s="40">
        <f>IFERROR(INDEX($W$46:$BE$3014,$BH48:$BH58,COLUMNS($BE$46:BJ48)),"")</f>
        <v>1</v>
      </c>
      <c r="BX48" s="40">
        <f>IFERROR(INDEX($W$46:$BE$3014,$BH48:$BH58,COLUMNS($BE$46:BK48)),"")</f>
        <v>3</v>
      </c>
      <c r="BY48" s="40">
        <f>IFERROR(INDEX($W$46:$BE$3014,$BH48:$BH58,COLUMNS($BE$46:BL48)),"")</f>
        <v>0</v>
      </c>
      <c r="BZ48" s="40">
        <f>IFERROR(INDEX($W$46:$BE$3014,$BH48:$BH58,COLUMNS($BE$46:BM48)),"")</f>
        <v>0</v>
      </c>
      <c r="CA48" s="40">
        <f>IFERROR(INDEX($W$46:$BE$3014,$BH48:$BH58,COLUMNS($BE$46:BN48)),"")</f>
        <v>2</v>
      </c>
      <c r="CB48" s="40">
        <f>IFERROR(INDEX($W$46:$BE$3014,$BH48:$BH58,COLUMNS($BE$46:BO48)),"")</f>
        <v>2</v>
      </c>
      <c r="CC48" s="40">
        <f>IFERROR(INDEX($W$46:$BE$3014,$BH48:$BH58,COLUMNS($BE$46:BP48)),"")</f>
        <v>2</v>
      </c>
      <c r="CD48" s="40">
        <f>IFERROR(INDEX($W$46:$BE$3014,$BH48:$BH58,COLUMNS($BE$46:BQ48)),"")</f>
        <v>0</v>
      </c>
      <c r="CE48" s="40">
        <f>IFERROR(INDEX($W$46:$BE$3014,$BH48:$BH58,COLUMNS($BE$46:BR48)),"")</f>
        <v>0</v>
      </c>
      <c r="CF48" s="40">
        <f>IFERROR(INDEX($W$46:$BE$3014,$BH48:$BH58,COLUMNS($BE$46:BS48)),"")</f>
        <v>0</v>
      </c>
      <c r="CG48" s="40">
        <f>IFERROR(INDEX($W$46:$BE$3014,$BH48:$BH58,COLUMNS($BE$46:BT48)),"")</f>
        <v>0</v>
      </c>
      <c r="CH48" s="40">
        <f>IFERROR(INDEX($W$46:$BE$3014,$BH48:$BH58,COLUMNS($BE$46:BU48)),"")</f>
        <v>0</v>
      </c>
      <c r="CI48" s="40">
        <f>IFERROR(INDEX($W$46:$BE$3014,$BH48:$BH58,COLUMNS($BE$46:BV48)),"")</f>
        <v>0</v>
      </c>
      <c r="CJ48" s="40">
        <f>IFERROR(INDEX($W$46:$BE$3014,$BH48:$BH58,COLUMNS($BE$46:BW48)),"")</f>
        <v>0</v>
      </c>
      <c r="CK48" s="40">
        <f>IFERROR(INDEX($W$46:$BE$3014,$BH48:$BH58,COLUMNS($BE$46:BX48)),"")</f>
        <v>0</v>
      </c>
      <c r="CL48" s="40">
        <f>IFERROR(INDEX($W$46:$BE$3014,$BH48:$BH58,COLUMNS($BE$46:BY48)),"")</f>
        <v>0</v>
      </c>
      <c r="CM48" s="40">
        <f>IFERROR(INDEX($W$46:$BE$3014,$BH48:$BH58,COLUMNS($BE$46:BZ48)),"")</f>
        <v>0</v>
      </c>
      <c r="CN48" s="40">
        <f>IFERROR(INDEX($W$46:$BE$3014,$BH48:$BH58,COLUMNS($BE$46:CA48)),"")</f>
        <v>0</v>
      </c>
      <c r="CO48" s="40">
        <f>IFERROR(INDEX($W$46:$BE$3014,$BH48:$BH58,COLUMNS($BE$46:CB48)),"")</f>
        <v>0</v>
      </c>
      <c r="CP48" s="40">
        <f>IFERROR(INDEX($W$46:$BE$3014,$BH48:$BH58,COLUMNS($BE$46:CC48)),"")</f>
        <v>0</v>
      </c>
      <c r="CQ48" s="40">
        <f>IFERROR(INDEX($W$46:$BE$3014,$BH48:$BH58,COLUMNS($BE$46:CD48)),"")</f>
        <v>0</v>
      </c>
      <c r="CR48" s="40">
        <f>IFERROR(INDEX($W$46:$BE$3014,$BH48:$BH58,COLUMNS($BE$46:CE48)),"")</f>
        <v>0</v>
      </c>
      <c r="CS48" s="40">
        <f>IFERROR(INDEX($W$46:$BE$3014,$BH48:$BH58,COLUMNS($BE$46:CF48)),"")</f>
        <v>0</v>
      </c>
      <c r="CT48" s="40">
        <f>IFERROR(INDEX($W$46:$BE$3014,$BH48:$BH58,COLUMNS($BE$46:CG48)),"")</f>
        <v>0</v>
      </c>
      <c r="CU48" s="40">
        <f>IFERROR(INDEX($W$46:$BE$3014,$BH48:$BH58,COLUMNS($BE$46:CH48)),"")</f>
        <v>0</v>
      </c>
      <c r="CV48" s="40">
        <f>IFERROR(INDEX($W$46:$BE$3014,$BH48:$BH58,COLUMNS($BE$46:CI48)),"")</f>
        <v>0</v>
      </c>
      <c r="CW48" s="40">
        <f>IFERROR(INDEX($W$46:$BE$3014,$BH48:$BH58,COLUMNS($BE$46:CJ48)),"")</f>
        <v>0</v>
      </c>
      <c r="CX48" s="40">
        <f>IFERROR(INDEX($W$46:$BE$3014,$BH48:$BH58,COLUMNS($BE$46:CK48)),"")</f>
        <v>0</v>
      </c>
      <c r="CY48" s="40">
        <f>IFERROR(INDEX($W$46:$BE$3014,$BH48:$BH58,COLUMNS($BE$46:CL48)),"")</f>
        <v>0</v>
      </c>
      <c r="CZ48" s="40">
        <f>IFERROR(INDEX($W$46:$BE$3014,$BH48:$BH58,COLUMNS($BE$46:CM48)),"")</f>
        <v>0</v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3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str">
        <f t="shared" si="66"/>
        <v/>
      </c>
      <c r="BH49">
        <f>IFERROR(SMALL($BG$46:$BG$3014,ROWS($BG$46:BG49)),"")</f>
        <v>679</v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 t="str">
        <f>IFERROR(INDEX($O$46:$T$3015,$BH49:$BH60,COLUMNS($BE$46:BI49)),0)</f>
        <v>8 3/8"</v>
      </c>
      <c r="BN49" s="170" t="str">
        <f>IFERROR(INDEX($O$46:$T$3015,$BH49:$BH60,COLUMNS($BE$46:BJ49)),0)</f>
        <v>MM65DH</v>
      </c>
      <c r="BO49" s="170">
        <f>IFERROR(INDEX($O$46:$T$3015,$BH49:$BH60,COLUMNS($BE$46:BG49)),0)</f>
        <v>0</v>
      </c>
      <c r="BP49" s="44"/>
      <c r="BQ49" s="140" t="s">
        <v>90</v>
      </c>
      <c r="BR49" s="40">
        <f>IFERROR(INDEX($W$46:$BE$3014,$BH49:$BH59,COLUMNS($BE$46:BE49)),"")</f>
        <v>1</v>
      </c>
      <c r="BS49" s="40">
        <f>IFERROR(INDEX($W$46:$BE$3014,$BH49:$BH59,COLUMNS($BE$46:BF49)),"")</f>
        <v>1</v>
      </c>
      <c r="BT49" s="40">
        <f>IFERROR(INDEX($W$46:$BE$3014,$BH49:$BH59,COLUMNS($BE$46:BG49)),"")</f>
        <v>1</v>
      </c>
      <c r="BU49" s="40">
        <f>IFERROR(INDEX($W$46:$BE$3014,$BH49:$BH59,COLUMNS($BE$46:BH49)),"")</f>
        <v>1</v>
      </c>
      <c r="BV49" s="40">
        <f>IFERROR(INDEX($W$46:$BE$3014,$BH49:$BH59,COLUMNS($BE$46:BI49)),"")</f>
        <v>1</v>
      </c>
      <c r="BW49" s="40">
        <f>IFERROR(INDEX($W$46:$BE$3014,$BH49:$BH59,COLUMNS($BE$46:BJ49)),"")</f>
        <v>3</v>
      </c>
      <c r="BX49" s="40">
        <f>IFERROR(INDEX($W$46:$BE$3014,$BH49:$BH59,COLUMNS($BE$46:BK49)),"")</f>
        <v>0</v>
      </c>
      <c r="BY49" s="40">
        <f>IFERROR(INDEX($W$46:$BE$3014,$BH49:$BH59,COLUMNS($BE$46:BL49)),"")</f>
        <v>0</v>
      </c>
      <c r="BZ49" s="40">
        <f>IFERROR(INDEX($W$46:$BE$3014,$BH49:$BH59,COLUMNS($BE$46:BM49)),"")</f>
        <v>0</v>
      </c>
      <c r="CA49" s="40">
        <f>IFERROR(INDEX($W$46:$BE$3014,$BH49:$BH59,COLUMNS($BE$46:BN49)),"")</f>
        <v>2</v>
      </c>
      <c r="CB49" s="40">
        <f>IFERROR(INDEX($W$46:$BE$3014,$BH49:$BH59,COLUMNS($BE$46:BO49)),"")</f>
        <v>2</v>
      </c>
      <c r="CC49" s="40">
        <f>IFERROR(INDEX($W$46:$BE$3014,$BH49:$BH59,COLUMNS($BE$46:BP49)),"")</f>
        <v>2</v>
      </c>
      <c r="CD49" s="40">
        <f>IFERROR(INDEX($W$46:$BE$3014,$BH49:$BH59,COLUMNS($BE$46:BQ49)),"")</f>
        <v>2</v>
      </c>
      <c r="CE49" s="40">
        <f>IFERROR(INDEX($W$46:$BE$3014,$BH49:$BH59,COLUMNS($BE$46:BR49)),"")</f>
        <v>0</v>
      </c>
      <c r="CF49" s="40">
        <f>IFERROR(INDEX($W$46:$BE$3014,$BH49:$BH59,COLUMNS($BE$46:BS49)),"")</f>
        <v>0</v>
      </c>
      <c r="CG49" s="40">
        <f>IFERROR(INDEX($W$46:$BE$3014,$BH49:$BH59,COLUMNS($BE$46:BT49)),"")</f>
        <v>0</v>
      </c>
      <c r="CH49" s="40">
        <f>IFERROR(INDEX($W$46:$BE$3014,$BH49:$BH59,COLUMNS($BE$46:BU49)),"")</f>
        <v>0</v>
      </c>
      <c r="CI49" s="40">
        <f>IFERROR(INDEX($W$46:$BE$3014,$BH49:$BH59,COLUMNS($BE$46:BV49)),"")</f>
        <v>0</v>
      </c>
      <c r="CJ49" s="40">
        <f>IFERROR(INDEX($W$46:$BE$3014,$BH49:$BH59,COLUMNS($BE$46:BW49)),"")</f>
        <v>0</v>
      </c>
      <c r="CK49" s="40">
        <f>IFERROR(INDEX($W$46:$BE$3014,$BH49:$BH59,COLUMNS($BE$46:BX49)),"")</f>
        <v>0</v>
      </c>
      <c r="CL49" s="40">
        <f>IFERROR(INDEX($W$46:$BE$3014,$BH49:$BH59,COLUMNS($BE$46:BY49)),"")</f>
        <v>0</v>
      </c>
      <c r="CM49" s="40">
        <f>IFERROR(INDEX($W$46:$BE$3014,$BH49:$BH59,COLUMNS($BE$46:BZ49)),"")</f>
        <v>0</v>
      </c>
      <c r="CN49" s="40">
        <f>IFERROR(INDEX($W$46:$BE$3014,$BH49:$BH59,COLUMNS($BE$46:CA49)),"")</f>
        <v>0</v>
      </c>
      <c r="CO49" s="40">
        <f>IFERROR(INDEX($W$46:$BE$3014,$BH49:$BH59,COLUMNS($BE$46:CB49)),"")</f>
        <v>0</v>
      </c>
      <c r="CP49" s="40">
        <f>IFERROR(INDEX($W$46:$BE$3014,$BH49:$BH59,COLUMNS($BE$46:CC49)),"")</f>
        <v>0</v>
      </c>
      <c r="CQ49" s="40">
        <f>IFERROR(INDEX($W$46:$BE$3014,$BH49:$BH59,COLUMNS($BE$46:CD49)),"")</f>
        <v>0</v>
      </c>
      <c r="CR49" s="40">
        <f>IFERROR(INDEX($W$46:$BE$3014,$BH49:$BH59,COLUMNS($BE$46:CE49)),"")</f>
        <v>0</v>
      </c>
      <c r="CS49" s="40">
        <f>IFERROR(INDEX($W$46:$BE$3014,$BH49:$BH59,COLUMNS($BE$46:CF49)),"")</f>
        <v>0</v>
      </c>
      <c r="CT49" s="40">
        <f>IFERROR(INDEX($W$46:$BE$3014,$BH49:$BH59,COLUMNS($BE$46:CG49)),"")</f>
        <v>0</v>
      </c>
      <c r="CU49" s="40">
        <f>IFERROR(INDEX($W$46:$BE$3014,$BH49:$BH59,COLUMNS($BE$46:CH49)),"")</f>
        <v>0</v>
      </c>
      <c r="CV49" s="40">
        <f>IFERROR(INDEX($W$46:$BE$3014,$BH49:$BH59,COLUMNS($BE$46:CI49)),"")</f>
        <v>0</v>
      </c>
      <c r="CW49" s="40">
        <f>IFERROR(INDEX($W$46:$BE$3014,$BH49:$BH59,COLUMNS($BE$46:CJ49)),"")</f>
        <v>0</v>
      </c>
      <c r="CX49" s="40">
        <f>IFERROR(INDEX($W$46:$BE$3014,$BH49:$BH59,COLUMNS($BE$46:CK49)),"")</f>
        <v>0</v>
      </c>
      <c r="CY49" s="40">
        <f>IFERROR(INDEX($W$46:$BE$3014,$BH49:$BH59,COLUMNS($BE$46:CL49)),"")</f>
        <v>0</v>
      </c>
      <c r="CZ49" s="40">
        <f>IFERROR(INDEX($W$46:$BE$3014,$BH49:$BH59,COLUMNS($BE$46:CM49)),"")</f>
        <v>0</v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4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str">
        <f t="shared" si="66"/>
        <v/>
      </c>
      <c r="BH50">
        <f>IFERROR(SMALL($BG$46:$BG$3014,ROWS($BG$46:BG50)),"")</f>
        <v>680</v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 t="str">
        <f>IFERROR(INDEX($O$46:$T$3015,$BH50:$BH61,COLUMNS($BE$46:BI50)),0)</f>
        <v>8 3/8"</v>
      </c>
      <c r="BN50" s="170" t="str">
        <f>IFERROR(INDEX($O$46:$T$3015,$BH50:$BH61,COLUMNS($BE$46:BJ50)),0)</f>
        <v>MM65DH</v>
      </c>
      <c r="BO50" s="170">
        <f>IFERROR(INDEX($O$46:$T$3015,$BH50:$BH61,COLUMNS($BE$46:BG50)),0)</f>
        <v>0</v>
      </c>
      <c r="BP50" s="44"/>
      <c r="BQ50" s="140" t="s">
        <v>91</v>
      </c>
      <c r="BR50" s="40">
        <f>IFERROR(INDEX($W$46:$BE$3014,$BH50:$BH60,COLUMNS($BE$46:BE50)),"")</f>
        <v>1</v>
      </c>
      <c r="BS50" s="40">
        <f>IFERROR(INDEX($W$46:$BE$3014,$BH50:$BH60,COLUMNS($BE$46:BF50)),"")</f>
        <v>1</v>
      </c>
      <c r="BT50" s="40">
        <f>IFERROR(INDEX($W$46:$BE$3014,$BH50:$BH60,COLUMNS($BE$46:BG50)),"")</f>
        <v>1</v>
      </c>
      <c r="BU50" s="40">
        <f>IFERROR(INDEX($W$46:$BE$3014,$BH50:$BH60,COLUMNS($BE$46:BH50)),"")</f>
        <v>1</v>
      </c>
      <c r="BV50" s="40">
        <f>IFERROR(INDEX($W$46:$BE$3014,$BH50:$BH60,COLUMNS($BE$46:BI50)),"")</f>
        <v>1</v>
      </c>
      <c r="BW50" s="40">
        <f>IFERROR(INDEX($W$46:$BE$3014,$BH50:$BH60,COLUMNS($BE$46:BJ50)),"")</f>
        <v>1</v>
      </c>
      <c r="BX50" s="40">
        <f>IFERROR(INDEX($W$46:$BE$3014,$BH50:$BH60,COLUMNS($BE$46:BK50)),"")</f>
        <v>1</v>
      </c>
      <c r="BY50" s="40">
        <f>IFERROR(INDEX($W$46:$BE$3014,$BH50:$BH60,COLUMNS($BE$46:BL50)),"")</f>
        <v>3</v>
      </c>
      <c r="BZ50" s="40">
        <f>IFERROR(INDEX($W$46:$BE$3014,$BH50:$BH60,COLUMNS($BE$46:BM50)),"")</f>
        <v>0</v>
      </c>
      <c r="CA50" s="40">
        <f>IFERROR(INDEX($W$46:$BE$3014,$BH50:$BH60,COLUMNS($BE$46:BN50)),"")</f>
        <v>2</v>
      </c>
      <c r="CB50" s="40">
        <f>IFERROR(INDEX($W$46:$BE$3014,$BH50:$BH60,COLUMNS($BE$46:BO50)),"")</f>
        <v>2</v>
      </c>
      <c r="CC50" s="40">
        <f>IFERROR(INDEX($W$46:$BE$3014,$BH50:$BH60,COLUMNS($BE$46:BP50)),"")</f>
        <v>2</v>
      </c>
      <c r="CD50" s="40">
        <f>IFERROR(INDEX($W$46:$BE$3014,$BH50:$BH60,COLUMNS($BE$46:BQ50)),"")</f>
        <v>2</v>
      </c>
      <c r="CE50" s="40">
        <f>IFERROR(INDEX($W$46:$BE$3014,$BH50:$BH60,COLUMNS($BE$46:BR50)),"")</f>
        <v>0</v>
      </c>
      <c r="CF50" s="40">
        <f>IFERROR(INDEX($W$46:$BE$3014,$BH50:$BH60,COLUMNS($BE$46:BS50)),"")</f>
        <v>0</v>
      </c>
      <c r="CG50" s="40">
        <f>IFERROR(INDEX($W$46:$BE$3014,$BH50:$BH60,COLUMNS($BE$46:BT50)),"")</f>
        <v>0</v>
      </c>
      <c r="CH50" s="40">
        <f>IFERROR(INDEX($W$46:$BE$3014,$BH50:$BH60,COLUMNS($BE$46:BU50)),"")</f>
        <v>0</v>
      </c>
      <c r="CI50" s="40">
        <f>IFERROR(INDEX($W$46:$BE$3014,$BH50:$BH60,COLUMNS($BE$46:BV50)),"")</f>
        <v>0</v>
      </c>
      <c r="CJ50" s="40">
        <f>IFERROR(INDEX($W$46:$BE$3014,$BH50:$BH60,COLUMNS($BE$46:BW50)),"")</f>
        <v>0</v>
      </c>
      <c r="CK50" s="40">
        <f>IFERROR(INDEX($W$46:$BE$3014,$BH50:$BH60,COLUMNS($BE$46:BX50)),"")</f>
        <v>0</v>
      </c>
      <c r="CL50" s="40">
        <f>IFERROR(INDEX($W$46:$BE$3014,$BH50:$BH60,COLUMNS($BE$46:BY50)),"")</f>
        <v>0</v>
      </c>
      <c r="CM50" s="40">
        <f>IFERROR(INDEX($W$46:$BE$3014,$BH50:$BH60,COLUMNS($BE$46:BZ50)),"")</f>
        <v>0</v>
      </c>
      <c r="CN50" s="40">
        <f>IFERROR(INDEX($W$46:$BE$3014,$BH50:$BH60,COLUMNS($BE$46:CA50)),"")</f>
        <v>0</v>
      </c>
      <c r="CO50" s="40">
        <f>IFERROR(INDEX($W$46:$BE$3014,$BH50:$BH60,COLUMNS($BE$46:CB50)),"")</f>
        <v>0</v>
      </c>
      <c r="CP50" s="40">
        <f>IFERROR(INDEX($W$46:$BE$3014,$BH50:$BH60,COLUMNS($BE$46:CC50)),"")</f>
        <v>0</v>
      </c>
      <c r="CQ50" s="40">
        <f>IFERROR(INDEX($W$46:$BE$3014,$BH50:$BH60,COLUMNS($BE$46:CD50)),"")</f>
        <v>0</v>
      </c>
      <c r="CR50" s="40">
        <f>IFERROR(INDEX($W$46:$BE$3014,$BH50:$BH60,COLUMNS($BE$46:CE50)),"")</f>
        <v>0</v>
      </c>
      <c r="CS50" s="40">
        <f>IFERROR(INDEX($W$46:$BE$3014,$BH50:$BH60,COLUMNS($BE$46:CF50)),"")</f>
        <v>0</v>
      </c>
      <c r="CT50" s="40">
        <f>IFERROR(INDEX($W$46:$BE$3014,$BH50:$BH60,COLUMNS($BE$46:CG50)),"")</f>
        <v>0</v>
      </c>
      <c r="CU50" s="40">
        <f>IFERROR(INDEX($W$46:$BE$3014,$BH50:$BH60,COLUMNS($BE$46:CH50)),"")</f>
        <v>0</v>
      </c>
      <c r="CV50" s="40">
        <f>IFERROR(INDEX($W$46:$BE$3014,$BH50:$BH60,COLUMNS($BE$46:CI50)),"")</f>
        <v>0</v>
      </c>
      <c r="CW50" s="40">
        <f>IFERROR(INDEX($W$46:$BE$3014,$BH50:$BH60,COLUMNS($BE$46:CJ50)),"")</f>
        <v>0</v>
      </c>
      <c r="CX50" s="40">
        <f>IFERROR(INDEX($W$46:$BE$3014,$BH50:$BH60,COLUMNS($BE$46:CK50)),"")</f>
        <v>0</v>
      </c>
      <c r="CY50" s="40">
        <f>IFERROR(INDEX($W$46:$BE$3014,$BH50:$BH60,COLUMNS($BE$46:CL50)),"")</f>
        <v>0</v>
      </c>
      <c r="CZ50" s="40">
        <f>IFERROR(INDEX($W$46:$BE$3014,$BH50:$BH60,COLUMNS($BE$46:CM50)),"")</f>
        <v>0</v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0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 t="str">
        <f t="shared" si="29"/>
        <v/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4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str">
        <f t="shared" si="66"/>
        <v/>
      </c>
      <c r="BH51">
        <f>IFERROR(SMALL($BG$46:$BG$3014,ROWS($BG$46:BG51)),"")</f>
        <v>681</v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 t="str">
        <f>IFERROR(INDEX($O$46:$T$3015,$BH51:$BH62,COLUMNS($BE$46:BI51)),0)</f>
        <v>8 3/8"</v>
      </c>
      <c r="BN51" s="170" t="str">
        <f>IFERROR(INDEX($O$46:$T$3015,$BH51:$BH62,COLUMNS($BE$46:BJ51)),0)</f>
        <v>MM65DH</v>
      </c>
      <c r="BO51" s="170">
        <f>IFERROR(INDEX($O$46:$T$3015,$BH51:$BH62,COLUMNS($BE$46:BG51)),0)</f>
        <v>0</v>
      </c>
      <c r="BP51" s="44"/>
      <c r="BQ51" s="140" t="s">
        <v>92</v>
      </c>
      <c r="BR51" s="40">
        <f>IFERROR(INDEX($W$46:$BE$3014,$BH51:$BH61,COLUMNS($BE$46:BE51)),"")</f>
        <v>1</v>
      </c>
      <c r="BS51" s="40">
        <f>IFERROR(INDEX($W$46:$BE$3014,$BH51:$BH61,COLUMNS($BE$46:BF51)),"")</f>
        <v>1</v>
      </c>
      <c r="BT51" s="40">
        <f>IFERROR(INDEX($W$46:$BE$3014,$BH51:$BH61,COLUMNS($BE$46:BG51)),"")</f>
        <v>1</v>
      </c>
      <c r="BU51" s="40">
        <f>IFERROR(INDEX($W$46:$BE$3014,$BH51:$BH61,COLUMNS($BE$46:BH51)),"")</f>
        <v>1</v>
      </c>
      <c r="BV51" s="40">
        <f>IFERROR(INDEX($W$46:$BE$3014,$BH51:$BH61,COLUMNS($BE$46:BI51)),"")</f>
        <v>3</v>
      </c>
      <c r="BW51" s="40">
        <f>IFERROR(INDEX($W$46:$BE$3014,$BH51:$BH61,COLUMNS($BE$46:BJ51)),"")</f>
        <v>0</v>
      </c>
      <c r="BX51" s="40">
        <f>IFERROR(INDEX($W$46:$BE$3014,$BH51:$BH61,COLUMNS($BE$46:BK51)),"")</f>
        <v>0</v>
      </c>
      <c r="BY51" s="40">
        <f>IFERROR(INDEX($W$46:$BE$3014,$BH51:$BH61,COLUMNS($BE$46:BL51)),"")</f>
        <v>0</v>
      </c>
      <c r="BZ51" s="40">
        <f>IFERROR(INDEX($W$46:$BE$3014,$BH51:$BH61,COLUMNS($BE$46:BM51)),"")</f>
        <v>0</v>
      </c>
      <c r="CA51" s="40">
        <f>IFERROR(INDEX($W$46:$BE$3014,$BH51:$BH61,COLUMNS($BE$46:BN51)),"")</f>
        <v>2</v>
      </c>
      <c r="CB51" s="40">
        <f>IFERROR(INDEX($W$46:$BE$3014,$BH51:$BH61,COLUMNS($BE$46:BO51)),"")</f>
        <v>2</v>
      </c>
      <c r="CC51" s="40">
        <f>IFERROR(INDEX($W$46:$BE$3014,$BH51:$BH61,COLUMNS($BE$46:BP51)),"")</f>
        <v>2</v>
      </c>
      <c r="CD51" s="40">
        <f>IFERROR(INDEX($W$46:$BE$3014,$BH51:$BH61,COLUMNS($BE$46:BQ51)),"")</f>
        <v>2</v>
      </c>
      <c r="CE51" s="40">
        <f>IFERROR(INDEX($W$46:$BE$3014,$BH51:$BH61,COLUMNS($BE$46:BR51)),"")</f>
        <v>0</v>
      </c>
      <c r="CF51" s="40">
        <f>IFERROR(INDEX($W$46:$BE$3014,$BH51:$BH61,COLUMNS($BE$46:BS51)),"")</f>
        <v>0</v>
      </c>
      <c r="CG51" s="40">
        <f>IFERROR(INDEX($W$46:$BE$3014,$BH51:$BH61,COLUMNS($BE$46:BT51)),"")</f>
        <v>0</v>
      </c>
      <c r="CH51" s="40">
        <f>IFERROR(INDEX($W$46:$BE$3014,$BH51:$BH61,COLUMNS($BE$46:BU51)),"")</f>
        <v>0</v>
      </c>
      <c r="CI51" s="40">
        <f>IFERROR(INDEX($W$46:$BE$3014,$BH51:$BH61,COLUMNS($BE$46:BV51)),"")</f>
        <v>0</v>
      </c>
      <c r="CJ51" s="40">
        <f>IFERROR(INDEX($W$46:$BE$3014,$BH51:$BH61,COLUMNS($BE$46:BW51)),"")</f>
        <v>0</v>
      </c>
      <c r="CK51" s="40">
        <f>IFERROR(INDEX($W$46:$BE$3014,$BH51:$BH61,COLUMNS($BE$46:BX51)),"")</f>
        <v>0</v>
      </c>
      <c r="CL51" s="40">
        <f>IFERROR(INDEX($W$46:$BE$3014,$BH51:$BH61,COLUMNS($BE$46:BY51)),"")</f>
        <v>0</v>
      </c>
      <c r="CM51" s="40">
        <f>IFERROR(INDEX($W$46:$BE$3014,$BH51:$BH61,COLUMNS($BE$46:BZ51)),"")</f>
        <v>0</v>
      </c>
      <c r="CN51" s="40">
        <f>IFERROR(INDEX($W$46:$BE$3014,$BH51:$BH61,COLUMNS($BE$46:CA51)),"")</f>
        <v>0</v>
      </c>
      <c r="CO51" s="40">
        <f>IFERROR(INDEX($W$46:$BE$3014,$BH51:$BH61,COLUMNS($BE$46:CB51)),"")</f>
        <v>0</v>
      </c>
      <c r="CP51" s="40">
        <f>IFERROR(INDEX($W$46:$BE$3014,$BH51:$BH61,COLUMNS($BE$46:CC51)),"")</f>
        <v>0</v>
      </c>
      <c r="CQ51" s="40">
        <f>IFERROR(INDEX($W$46:$BE$3014,$BH51:$BH61,COLUMNS($BE$46:CD51)),"")</f>
        <v>0</v>
      </c>
      <c r="CR51" s="40">
        <f>IFERROR(INDEX($W$46:$BE$3014,$BH51:$BH61,COLUMNS($BE$46:CE51)),"")</f>
        <v>0</v>
      </c>
      <c r="CS51" s="40">
        <f>IFERROR(INDEX($W$46:$BE$3014,$BH51:$BH61,COLUMNS($BE$46:CF51)),"")</f>
        <v>0</v>
      </c>
      <c r="CT51" s="40">
        <f>IFERROR(INDEX($W$46:$BE$3014,$BH51:$BH61,COLUMNS($BE$46:CG51)),"")</f>
        <v>0</v>
      </c>
      <c r="CU51" s="40">
        <f>IFERROR(INDEX($W$46:$BE$3014,$BH51:$BH61,COLUMNS($BE$46:CH51)),"")</f>
        <v>0</v>
      </c>
      <c r="CV51" s="40">
        <f>IFERROR(INDEX($W$46:$BE$3014,$BH51:$BH61,COLUMNS($BE$46:CI51)),"")</f>
        <v>0</v>
      </c>
      <c r="CW51" s="40">
        <f>IFERROR(INDEX($W$46:$BE$3014,$BH51:$BH61,COLUMNS($BE$46:CJ51)),"")</f>
        <v>0</v>
      </c>
      <c r="CX51" s="40">
        <f>IFERROR(INDEX($W$46:$BE$3014,$BH51:$BH61,COLUMNS($BE$46:CK51)),"")</f>
        <v>0</v>
      </c>
      <c r="CY51" s="40">
        <f>IFERROR(INDEX($W$46:$BE$3014,$BH51:$BH61,COLUMNS($BE$46:CL51)),"")</f>
        <v>0</v>
      </c>
      <c r="CZ51" s="40">
        <f>IFERROR(INDEX($W$46:$BE$3014,$BH51:$BH61,COLUMNS($BE$46:CM51)),"")</f>
        <v>0</v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3</v>
      </c>
      <c r="GP51" t="s">
        <v>1668</v>
      </c>
      <c r="GQ51" s="26" t="s">
        <v>1766</v>
      </c>
      <c r="GS51">
        <f>ROWS($GJ$20:GJ51)</f>
        <v>32</v>
      </c>
      <c r="GT51" s="63">
        <f t="shared" si="57"/>
        <v>32</v>
      </c>
      <c r="GU51"/>
      <c r="HC51" s="805"/>
      <c r="HD51" s="805"/>
    </row>
    <row r="52" spans="1:212" ht="15.75" customHeight="1" thickBot="1" x14ac:dyDescent="0.4">
      <c r="B52" s="28"/>
      <c r="C52" s="26"/>
      <c r="F52" s="33">
        <f>IFERROR(INDEX($GN$63:$GN$69,MATCH(E31,$GK$63:$GK$69,0),1),0)</f>
        <v>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str">
        <f t="shared" si="66"/>
        <v/>
      </c>
      <c r="BH52" t="str">
        <f>IFERROR(SMALL($BG$46:$BG$3014,ROWS($BG$46:BG52)),"")</f>
        <v/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>
        <f>IFERROR(INDEX($O$46:$T$3015,$BH52:$BH63,COLUMNS($BE$46:BI52)),0)</f>
        <v>0</v>
      </c>
      <c r="BN52" s="170">
        <f>IFERROR(INDEX($O$46:$T$3015,$BH52:$BH63,COLUMNS($BE$46:BJ52)),0)</f>
        <v>0</v>
      </c>
      <c r="BO52" s="170">
        <f>IFERROR(INDEX($O$46:$T$3015,$BH52:$BH63,COLUMNS($BE$46:BG52)),0)</f>
        <v>0</v>
      </c>
      <c r="BP52" s="44"/>
      <c r="BQ52" s="140" t="s">
        <v>111</v>
      </c>
      <c r="BR52" s="40" t="str">
        <f>IFERROR(INDEX($W$46:$BE$3014,$BH52:$BH62,COLUMNS($BE$46:BE52)),"")</f>
        <v/>
      </c>
      <c r="BS52" s="40" t="str">
        <f>IFERROR(INDEX($W$46:$BE$3014,$BH52:$BH62,COLUMNS($BE$46:BF52)),"")</f>
        <v/>
      </c>
      <c r="BT52" s="40" t="str">
        <f>IFERROR(INDEX($W$46:$BE$3014,$BH52:$BH62,COLUMNS($BE$46:BG52)),"")</f>
        <v/>
      </c>
      <c r="BU52" s="40" t="str">
        <f>IFERROR(INDEX($W$46:$BE$3014,$BH52:$BH62,COLUMNS($BE$46:BH52)),"")</f>
        <v/>
      </c>
      <c r="BV52" s="40" t="str">
        <f>IFERROR(INDEX($W$46:$BE$3014,$BH52:$BH62,COLUMNS($BE$46:BI52)),"")</f>
        <v/>
      </c>
      <c r="BW52" s="40" t="str">
        <f>IFERROR(INDEX($W$46:$BE$3014,$BH52:$BH62,COLUMNS($BE$46:BJ52)),"")</f>
        <v/>
      </c>
      <c r="BX52" s="40" t="str">
        <f>IFERROR(INDEX($W$46:$BE$3014,$BH52:$BH62,COLUMNS($BE$46:BK52)),"")</f>
        <v/>
      </c>
      <c r="BY52" s="40" t="str">
        <f>IFERROR(INDEX($W$46:$BE$3014,$BH52:$BH62,COLUMNS($BE$46:BL52)),"")</f>
        <v/>
      </c>
      <c r="BZ52" s="40" t="str">
        <f>IFERROR(INDEX($W$46:$BE$3014,$BH52:$BH62,COLUMNS($BE$46:BM52)),"")</f>
        <v/>
      </c>
      <c r="CA52" s="40" t="str">
        <f>IFERROR(INDEX($W$46:$BE$3014,$BH52:$BH62,COLUMNS($BE$46:BN52)),"")</f>
        <v/>
      </c>
      <c r="CB52" s="40" t="str">
        <f>IFERROR(INDEX($W$46:$BE$3014,$BH52:$BH62,COLUMNS($BE$46:BO52)),"")</f>
        <v/>
      </c>
      <c r="CC52" s="40" t="str">
        <f>IFERROR(INDEX($W$46:$BE$3014,$BH52:$BH62,COLUMNS($BE$46:BP52)),"")</f>
        <v/>
      </c>
      <c r="CD52" s="40" t="str">
        <f>IFERROR(INDEX($W$46:$BE$3014,$BH52:$BH62,COLUMNS($BE$46:BQ52)),"")</f>
        <v/>
      </c>
      <c r="CE52" s="40" t="str">
        <f>IFERROR(INDEX($W$46:$BE$3014,$BH52:$BH62,COLUMNS($BE$46:BR52)),"")</f>
        <v/>
      </c>
      <c r="CF52" s="40" t="str">
        <f>IFERROR(INDEX($W$46:$BE$3014,$BH52:$BH62,COLUMNS($BE$46:BS52)),"")</f>
        <v/>
      </c>
      <c r="CG52" s="40" t="str">
        <f>IFERROR(INDEX($W$46:$BE$3014,$BH52:$BH62,COLUMNS($BE$46:BT52)),"")</f>
        <v/>
      </c>
      <c r="CH52" s="40" t="str">
        <f>IFERROR(INDEX($W$46:$BE$3014,$BH52:$BH62,COLUMNS($BE$46:BU52)),"")</f>
        <v/>
      </c>
      <c r="CI52" s="40" t="str">
        <f>IFERROR(INDEX($W$46:$BE$3014,$BH52:$BH62,COLUMNS($BE$46:BV52)),"")</f>
        <v/>
      </c>
      <c r="CJ52" s="40" t="str">
        <f>IFERROR(INDEX($W$46:$BE$3014,$BH52:$BH62,COLUMNS($BE$46:BW52)),"")</f>
        <v/>
      </c>
      <c r="CK52" s="40" t="str">
        <f>IFERROR(INDEX($W$46:$BE$3014,$BH52:$BH62,COLUMNS($BE$46:BX52)),"")</f>
        <v/>
      </c>
      <c r="CL52" s="40" t="str">
        <f>IFERROR(INDEX($W$46:$BE$3014,$BH52:$BH62,COLUMNS($BE$46:BY52)),"")</f>
        <v/>
      </c>
      <c r="CM52" s="40" t="str">
        <f>IFERROR(INDEX($W$46:$BE$3014,$BH52:$BH62,COLUMNS($BE$46:BZ52)),"")</f>
        <v/>
      </c>
      <c r="CN52" s="40" t="str">
        <f>IFERROR(INDEX($W$46:$BE$3014,$BH52:$BH62,COLUMNS($BE$46:CA52)),"")</f>
        <v/>
      </c>
      <c r="CO52" s="40" t="str">
        <f>IFERROR(INDEX($W$46:$BE$3014,$BH52:$BH62,COLUMNS($BE$46:CB52)),"")</f>
        <v/>
      </c>
      <c r="CP52" s="40" t="str">
        <f>IFERROR(INDEX($W$46:$BE$3014,$BH52:$BH62,COLUMNS($BE$46:CC52)),"")</f>
        <v/>
      </c>
      <c r="CQ52" s="40" t="str">
        <f>IFERROR(INDEX($W$46:$BE$3014,$BH52:$BH62,COLUMNS($BE$46:CD52)),"")</f>
        <v/>
      </c>
      <c r="CR52" s="40" t="str">
        <f>IFERROR(INDEX($W$46:$BE$3014,$BH52:$BH62,COLUMNS($BE$46:CE52)),"")</f>
        <v/>
      </c>
      <c r="CS52" s="40" t="str">
        <f>IFERROR(INDEX($W$46:$BE$3014,$BH52:$BH62,COLUMNS($BE$46:CF52)),"")</f>
        <v/>
      </c>
      <c r="CT52" s="40" t="str">
        <f>IFERROR(INDEX($W$46:$BE$3014,$BH52:$BH62,COLUMNS($BE$46:CG52)),"")</f>
        <v/>
      </c>
      <c r="CU52" s="40" t="str">
        <f>IFERROR(INDEX($W$46:$BE$3014,$BH52:$BH62,COLUMNS($BE$46:CH52)),"")</f>
        <v/>
      </c>
      <c r="CV52" s="40" t="str">
        <f>IFERROR(INDEX($W$46:$BE$3014,$BH52:$BH62,COLUMNS($BE$46:CI52)),"")</f>
        <v/>
      </c>
      <c r="CW52" s="40" t="str">
        <f>IFERROR(INDEX($W$46:$BE$3014,$BH52:$BH62,COLUMNS($BE$46:CJ52)),"")</f>
        <v/>
      </c>
      <c r="CX52" s="40" t="str">
        <f>IFERROR(INDEX($W$46:$BE$3014,$BH52:$BH62,COLUMNS($BE$46:CK52)),"")</f>
        <v/>
      </c>
      <c r="CY52" s="40" t="str">
        <f>IFERROR(INDEX($W$46:$BE$3014,$BH52:$BH62,COLUMNS($BE$46:CL52)),"")</f>
        <v/>
      </c>
      <c r="CZ52" s="40" t="str">
        <f>IFERROR(INDEX($W$46:$BE$3014,$BH52:$BH62,COLUMNS($BE$46:CM52)),"")</f>
        <v/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4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5495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2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str">
        <f t="shared" si="66"/>
        <v/>
      </c>
      <c r="BH53" t="str">
        <f>IFERROR(SMALL($BG$46:$BG$3014,ROWS($BG$46:BG53)),"")</f>
        <v/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>
        <f>IFERROR(INDEX($O$46:$T$3015,$BH53:$BH64,COLUMNS($BE$46:BI53)),0)</f>
        <v>0</v>
      </c>
      <c r="BN53" s="170">
        <f>IFERROR(INDEX($O$46:$T$3015,$BH53:$BH64,COLUMNS($BE$46:BJ53)),0)</f>
        <v>0</v>
      </c>
      <c r="BO53" s="170">
        <f>IFERROR(INDEX($O$46:$T$3015,$BH53:$BH64,COLUMNS($BE$46:BG53)),0)</f>
        <v>0</v>
      </c>
      <c r="BP53" s="44"/>
      <c r="BQ53" s="140" t="s">
        <v>112</v>
      </c>
      <c r="BR53" s="40" t="str">
        <f>IFERROR(INDEX($W$46:$BE$3014,$BH53:$BH63,COLUMNS($BE$46:BE53)),"")</f>
        <v/>
      </c>
      <c r="BS53" s="40" t="str">
        <f>IFERROR(INDEX($W$46:$BE$3014,$BH53:$BH63,COLUMNS($BE$46:BF53)),"")</f>
        <v/>
      </c>
      <c r="BT53" s="40" t="str">
        <f>IFERROR(INDEX($W$46:$BE$3014,$BH53:$BH63,COLUMNS($BE$46:BG53)),"")</f>
        <v/>
      </c>
      <c r="BU53" s="40" t="str">
        <f>IFERROR(INDEX($W$46:$BE$3014,$BH53:$BH63,COLUMNS($BE$46:BH53)),"")</f>
        <v/>
      </c>
      <c r="BV53" s="40" t="str">
        <f>IFERROR(INDEX($W$46:$BE$3014,$BH53:$BH63,COLUMNS($BE$46:BI53)),"")</f>
        <v/>
      </c>
      <c r="BW53" s="40" t="str">
        <f>IFERROR(INDEX($W$46:$BE$3014,$BH53:$BH63,COLUMNS($BE$46:BJ53)),"")</f>
        <v/>
      </c>
      <c r="BX53" s="40" t="str">
        <f>IFERROR(INDEX($W$46:$BE$3014,$BH53:$BH63,COLUMNS($BE$46:BK53)),"")</f>
        <v/>
      </c>
      <c r="BY53" s="40" t="str">
        <f>IFERROR(INDEX($W$46:$BE$3014,$BH53:$BH63,COLUMNS($BE$46:BL53)),"")</f>
        <v/>
      </c>
      <c r="BZ53" s="40" t="str">
        <f>IFERROR(INDEX($W$46:$BE$3014,$BH53:$BH63,COLUMNS($BE$46:BM53)),"")</f>
        <v/>
      </c>
      <c r="CA53" s="40" t="str">
        <f>IFERROR(INDEX($W$46:$BE$3014,$BH53:$BH63,COLUMNS($BE$46:BN53)),"")</f>
        <v/>
      </c>
      <c r="CB53" s="40" t="str">
        <f>IFERROR(INDEX($W$46:$BE$3014,$BH53:$BH63,COLUMNS($BE$46:BO53)),"")</f>
        <v/>
      </c>
      <c r="CC53" s="40" t="str">
        <f>IFERROR(INDEX($W$46:$BE$3014,$BH53:$BH63,COLUMNS($BE$46:BP53)),"")</f>
        <v/>
      </c>
      <c r="CD53" s="40" t="str">
        <f>IFERROR(INDEX($W$46:$BE$3014,$BH53:$BH63,COLUMNS($BE$46:BQ53)),"")</f>
        <v/>
      </c>
      <c r="CE53" s="40" t="str">
        <f>IFERROR(INDEX($W$46:$BE$3014,$BH53:$BH63,COLUMNS($BE$46:BR53)),"")</f>
        <v/>
      </c>
      <c r="CF53" s="40" t="str">
        <f>IFERROR(INDEX($W$46:$BE$3014,$BH53:$BH63,COLUMNS($BE$46:BS53)),"")</f>
        <v/>
      </c>
      <c r="CG53" s="40" t="str">
        <f>IFERROR(INDEX($W$46:$BE$3014,$BH53:$BH63,COLUMNS($BE$46:BT53)),"")</f>
        <v/>
      </c>
      <c r="CH53" s="40" t="str">
        <f>IFERROR(INDEX($W$46:$BE$3014,$BH53:$BH63,COLUMNS($BE$46:BU53)),"")</f>
        <v/>
      </c>
      <c r="CI53" s="40" t="str">
        <f>IFERROR(INDEX($W$46:$BE$3014,$BH53:$BH63,COLUMNS($BE$46:BV53)),"")</f>
        <v/>
      </c>
      <c r="CJ53" s="40" t="str">
        <f>IFERROR(INDEX($W$46:$BE$3014,$BH53:$BH63,COLUMNS($BE$46:BW53)),"")</f>
        <v/>
      </c>
      <c r="CK53" s="40" t="str">
        <f>IFERROR(INDEX($W$46:$BE$3014,$BH53:$BH63,COLUMNS($BE$46:BX53)),"")</f>
        <v/>
      </c>
      <c r="CL53" s="40" t="str">
        <f>IFERROR(INDEX($W$46:$BE$3014,$BH53:$BH63,COLUMNS($BE$46:BY53)),"")</f>
        <v/>
      </c>
      <c r="CM53" s="40" t="str">
        <f>IFERROR(INDEX($W$46:$BE$3014,$BH53:$BH63,COLUMNS($BE$46:BZ53)),"")</f>
        <v/>
      </c>
      <c r="CN53" s="40" t="str">
        <f>IFERROR(INDEX($W$46:$BE$3014,$BH53:$BH63,COLUMNS($BE$46:CA53)),"")</f>
        <v/>
      </c>
      <c r="CO53" s="40" t="str">
        <f>IFERROR(INDEX($W$46:$BE$3014,$BH53:$BH63,COLUMNS($BE$46:CB53)),"")</f>
        <v/>
      </c>
      <c r="CP53" s="40" t="str">
        <f>IFERROR(INDEX($W$46:$BE$3014,$BH53:$BH63,COLUMNS($BE$46:CC53)),"")</f>
        <v/>
      </c>
      <c r="CQ53" s="40" t="str">
        <f>IFERROR(INDEX($W$46:$BE$3014,$BH53:$BH63,COLUMNS($BE$46:CD53)),"")</f>
        <v/>
      </c>
      <c r="CR53" s="40" t="str">
        <f>IFERROR(INDEX($W$46:$BE$3014,$BH53:$BH63,COLUMNS($BE$46:CE53)),"")</f>
        <v/>
      </c>
      <c r="CS53" s="40" t="str">
        <f>IFERROR(INDEX($W$46:$BE$3014,$BH53:$BH63,COLUMNS($BE$46:CF53)),"")</f>
        <v/>
      </c>
      <c r="CT53" s="40" t="str">
        <f>IFERROR(INDEX($W$46:$BE$3014,$BH53:$BH63,COLUMNS($BE$46:CG53)),"")</f>
        <v/>
      </c>
      <c r="CU53" s="40" t="str">
        <f>IFERROR(INDEX($W$46:$BE$3014,$BH53:$BH63,COLUMNS($BE$46:CH53)),"")</f>
        <v/>
      </c>
      <c r="CV53" s="40" t="str">
        <f>IFERROR(INDEX($W$46:$BE$3014,$BH53:$BH63,COLUMNS($BE$46:CI53)),"")</f>
        <v/>
      </c>
      <c r="CW53" s="40" t="str">
        <f>IFERROR(INDEX($W$46:$BE$3014,$BH53:$BH63,COLUMNS($BE$46:CJ53)),"")</f>
        <v/>
      </c>
      <c r="CX53" s="40" t="str">
        <f>IFERROR(INDEX($W$46:$BE$3014,$BH53:$BH63,COLUMNS($BE$46:CK53)),"")</f>
        <v/>
      </c>
      <c r="CY53" s="40" t="str">
        <f>IFERROR(INDEX($W$46:$BE$3014,$BH53:$BH63,COLUMNS($BE$46:CL53)),"")</f>
        <v/>
      </c>
      <c r="CZ53" s="40" t="str">
        <f>IFERROR(INDEX($W$46:$BE$3014,$BH53:$BH63,COLUMNS($BE$46:CM53)),"")</f>
        <v/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8</v>
      </c>
      <c r="GP53" t="s">
        <v>1668</v>
      </c>
      <c r="GQ53" s="26" t="s">
        <v>1768</v>
      </c>
      <c r="GS53">
        <f>ROWS($GJ$20:GJ53)</f>
        <v>34</v>
      </c>
      <c r="GT53" s="63">
        <f t="shared" si="57"/>
        <v>34</v>
      </c>
      <c r="GU53"/>
      <c r="HC53" s="805"/>
      <c r="HD53" s="805"/>
    </row>
    <row r="54" spans="1:212" ht="12.75" customHeight="1" x14ac:dyDescent="0.3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str">
        <f t="shared" si="66"/>
        <v/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3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str">
        <f t="shared" si="66"/>
        <v/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3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str">
        <f t="shared" si="66"/>
        <v/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4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str">
        <f t="shared" si="66"/>
        <v/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3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str">
        <f t="shared" si="66"/>
        <v/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4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str">
        <f t="shared" si="66"/>
        <v/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4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str">
        <f t="shared" si="66"/>
        <v/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>1</v>
      </c>
      <c r="CY60" s="71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>1130198</v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4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str">
        <f t="shared" si="66"/>
        <v/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>2</v>
      </c>
      <c r="CY61" s="72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>647435</v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4">
      <c r="F62" s="62" t="s">
        <v>1106</v>
      </c>
      <c r="G62" s="1018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str">
        <f t="shared" si="66"/>
        <v/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>3</v>
      </c>
      <c r="CY62" s="72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>418525</v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35">
      <c r="B63" s="118" t="str">
        <f>IF(D4&lt;&gt;"",INDEX(D12:F21,MATCH(D4,D12:D21,2),3),"")</f>
        <v/>
      </c>
      <c r="C63" s="119" t="str">
        <f>IF(G4&lt;&gt;"",INDEX(D12:F21,MATCH(G4,D12:D21,2),3),"")</f>
        <v/>
      </c>
      <c r="F63" s="63" t="s">
        <v>1107</v>
      </c>
      <c r="G63" s="1019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str">
        <f t="shared" si="66"/>
        <v/>
      </c>
      <c r="BH63" t="str">
        <f>IFERROR(SMALL($BG$46:$BG$3014,ROWS($BG$46:BG63)),"")</f>
        <v/>
      </c>
      <c r="BI63" s="189">
        <f>'ARDT Cutter Entry'!$BN$59</f>
        <v>4</v>
      </c>
      <c r="BJ63" s="189">
        <f>'ARDT Cutter Entry'!$BP$59</f>
        <v>0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62</v>
      </c>
      <c r="CX63" s="72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>4</v>
      </c>
      <c r="CY63" s="72" t="str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/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35">
      <c r="B64" s="3" t="str">
        <f>IF(D5&lt;&gt;"",INDEX(D12:F21,MATCH(D5,D12:D21,2),3),"")</f>
        <v/>
      </c>
      <c r="C64" s="27" t="str">
        <f>IF(G5&lt;&gt;"",INDEX(D12:F21,MATCH(G5,D12:D21,2),3),"")</f>
        <v/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str">
        <f t="shared" si="66"/>
        <v/>
      </c>
      <c r="BH64" t="str">
        <f>IFERROR(SMALL($BG$46:$BG$3014,ROWS($BG$46:BG64)),"")</f>
        <v/>
      </c>
      <c r="BI64" s="189">
        <f>'ARDT Cutter Entry'!$BN$60</f>
        <v>5</v>
      </c>
      <c r="BJ64" s="189">
        <f>'ARDT Cutter Entry'!$BP$60</f>
        <v>0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>5</v>
      </c>
      <c r="CY64" s="72" t="str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/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3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2222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str">
        <f t="shared" si="66"/>
        <v/>
      </c>
      <c r="BH65" t="str">
        <f>IFERROR(SMALL($BG$46:$BG$3014,ROWS($BG$46:BG65)),"")</f>
        <v/>
      </c>
      <c r="BI65" s="189">
        <f>'ARDT Cutter Entry'!$BN$61</f>
        <v>6</v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>6</v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3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2219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str">
        <f t="shared" si="66"/>
        <v/>
      </c>
      <c r="BH66" t="str">
        <f>IFERROR(SMALL($BG$46:$BG$3014,ROWS($BG$46:BG66)),"")</f>
        <v/>
      </c>
      <c r="BI66" s="189">
        <f>'ARDT Cutter Entry'!$BN$62</f>
        <v>7</v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>7</v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4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str">
        <f t="shared" si="66"/>
        <v/>
      </c>
      <c r="BH67" t="str">
        <f>IFERROR(SMALL($BG$46:$BG$3014,ROWS($BG$46:BG67)),"")</f>
        <v/>
      </c>
      <c r="BI67" s="189">
        <f>'ARDT Cutter Entry'!$BN$63</f>
        <v>8</v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>
        <f t="shared" si="68"/>
        <v>8</v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4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str">
        <f t="shared" si="66"/>
        <v/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 t="str">
        <f t="shared" si="67"/>
        <v/>
      </c>
      <c r="GU68"/>
      <c r="HC68" s="805"/>
      <c r="HD68" s="805"/>
    </row>
    <row r="69" spans="2:212" ht="15.75" customHeight="1" thickBot="1" x14ac:dyDescent="0.4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str">
        <f t="shared" si="66"/>
        <v/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3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str">
        <f t="shared" si="66"/>
        <v/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4">
      <c r="B71" s="93" t="s">
        <v>947</v>
      </c>
      <c r="C71" s="93" t="s">
        <v>949</v>
      </c>
      <c r="F71" s="64" t="s">
        <v>2311</v>
      </c>
      <c r="G71" s="1020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str">
        <f t="shared" si="66"/>
        <v/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35">
      <c r="B72" s="1008" t="s">
        <v>2229</v>
      </c>
      <c r="C72" s="93" t="s">
        <v>2240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str">
        <f t="shared" si="66"/>
        <v/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4">
      <c r="B73" s="93" t="s">
        <v>2315</v>
      </c>
      <c r="C73" t="s">
        <v>2229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str">
        <f t="shared" si="66"/>
        <v/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4">
      <c r="B74" s="93" t="s">
        <v>2335</v>
      </c>
      <c r="C74" s="93" t="s">
        <v>2315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str">
        <f t="shared" si="66"/>
        <v/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35">
      <c r="B75" s="93" t="s">
        <v>2240</v>
      </c>
      <c r="C75" s="93" t="s">
        <v>2335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str">
        <f t="shared" si="66"/>
        <v/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35">
      <c r="B76" s="93" t="s">
        <v>2232</v>
      </c>
      <c r="C76" s="93" t="s">
        <v>2230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str">
        <f t="shared" si="66"/>
        <v/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35">
      <c r="B77" s="93" t="s">
        <v>2231</v>
      </c>
      <c r="C77" s="93" t="s">
        <v>2235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str">
        <f t="shared" si="66"/>
        <v/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35">
      <c r="B78" s="93" t="s">
        <v>2230</v>
      </c>
      <c r="C78" s="93" t="s">
        <v>2239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str">
        <f t="shared" si="66"/>
        <v/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4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str">
        <f t="shared" si="66"/>
        <v/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4">
      <c r="B80" s="93" t="s">
        <v>2234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str">
        <f t="shared" si="66"/>
        <v/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4">
      <c r="B81" s="93" t="s">
        <v>2233</v>
      </c>
      <c r="C81" s="1023" t="s">
        <v>2240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str">
        <f t="shared" si="66"/>
        <v/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4">
      <c r="B82" s="93" t="s">
        <v>2236</v>
      </c>
      <c r="C82" s="1023" t="s">
        <v>2336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str">
        <f t="shared" si="66"/>
        <v/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4">
      <c r="B83" s="93" t="s">
        <v>2235</v>
      </c>
      <c r="C83" s="1023" t="s">
        <v>2337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str">
        <f t="shared" si="66"/>
        <v/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35">
      <c r="B84" s="93" t="s">
        <v>2237</v>
      </c>
      <c r="C84" s="1023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str">
        <f t="shared" si="66"/>
        <v/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4">
      <c r="B85" s="93" t="s">
        <v>2238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str">
        <f t="shared" si="66"/>
        <v/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35">
      <c r="B86" s="93" t="s">
        <v>2239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str">
        <f t="shared" si="66"/>
        <v/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3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str">
        <f t="shared" si="66"/>
        <v/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3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str">
        <f t="shared" si="66"/>
        <v/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3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str">
        <f t="shared" si="66"/>
        <v/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4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str">
        <f t="shared" si="66"/>
        <v/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3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str">
        <f t="shared" si="66"/>
        <v/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3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str">
        <f t="shared" si="66"/>
        <v/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3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str">
        <f t="shared" si="66"/>
        <v/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4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str">
        <f t="shared" si="66"/>
        <v/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3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str">
        <f t="shared" si="66"/>
        <v/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4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str">
        <f t="shared" si="66"/>
        <v/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3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str">
        <f t="shared" si="66"/>
        <v/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4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str">
        <f t="shared" si="66"/>
        <v/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4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str">
        <f t="shared" si="66"/>
        <v/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4">
      <c r="B100" s="1260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str">
        <f t="shared" si="66"/>
        <v/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4">
      <c r="B101" s="1261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str">
        <f t="shared" si="66"/>
        <v/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4">
      <c r="B102" s="1261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str">
        <f t="shared" si="66"/>
        <v/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4">
      <c r="A103" s="1004">
        <f>VALUE(LEFT($B$2,8))</f>
        <v>13845937</v>
      </c>
      <c r="B103" s="1262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str">
        <f t="shared" si="66"/>
        <v/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4">
      <c r="B104" s="1261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str">
        <f t="shared" si="66"/>
        <v/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4">
      <c r="B105" s="1261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str">
        <f t="shared" si="66"/>
        <v/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4">
      <c r="B106" s="1261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str">
        <f t="shared" si="66"/>
        <v/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4">
      <c r="B107" s="1263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str">
        <f t="shared" si="66"/>
        <v/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4">
      <c r="B108" s="25"/>
      <c r="C108" s="26" t="s">
        <v>1277</v>
      </c>
      <c r="E108" s="26" t="s">
        <v>1276</v>
      </c>
      <c r="F108" s="581" t="s">
        <v>1279</v>
      </c>
      <c r="G108">
        <f>G109*340*1.1</f>
        <v>374.00000000000006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str">
        <f t="shared" si="66"/>
        <v/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4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623.85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11</v>
      </c>
      <c r="F109" s="26">
        <f>IF(OR(L4=1,L5=1),F113,IFERROR(IF($C$43&lt;2,0,IF($C$43="",0,IF(AND($C$43&gt;=C101,$C$43&lt;C102),F111,IF(AND($C$43&gt;=C102,$C$43&lt;C103),F112,0)))),0))</f>
        <v>1000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1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str">
        <f t="shared" si="66"/>
        <v/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4">
      <c r="B110" s="1249" t="s">
        <v>1274</v>
      </c>
      <c r="C110" s="1250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str">
        <f t="shared" si="66"/>
        <v/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4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str">
        <f t="shared" ref="BG111:BG174" si="91">IF(VALUE(SUBSTITUTE($B$5,"M",""))=U111,BF111,"")</f>
        <v/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4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str">
        <f t="shared" si="91"/>
        <v/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4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str">
        <f t="shared" si="91"/>
        <v/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4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str">
        <f t="shared" si="91"/>
        <v/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4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str">
        <f t="shared" si="91"/>
        <v/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4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str">
        <f t="shared" si="91"/>
        <v/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4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str">
        <f t="shared" si="91"/>
        <v/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3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str">
        <f t="shared" si="91"/>
        <v/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3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str">
        <f t="shared" si="91"/>
        <v/>
      </c>
      <c r="DB119" s="10">
        <v>1014941</v>
      </c>
      <c r="DD119" s="75"/>
      <c r="DE119" s="37">
        <v>661066</v>
      </c>
      <c r="DF119" t="s">
        <v>1919</v>
      </c>
      <c r="DG119" s="37" t="s">
        <v>1919</v>
      </c>
      <c r="DH119" s="37">
        <v>16</v>
      </c>
      <c r="DI119" s="37">
        <v>1613</v>
      </c>
      <c r="DJ119" s="37" t="s">
        <v>1412</v>
      </c>
      <c r="DK119" s="37"/>
      <c r="DL119" s="37" t="s">
        <v>1920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4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str">
        <f t="shared" si="91"/>
        <v/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3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/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str">
        <f t="shared" si="91"/>
        <v/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35">
      <c r="A122" s="946"/>
      <c r="B122" s="947" t="str">
        <f>IFERROR(INDEX(A124:B133,MATCH(B3,B124:B132,0),1),"")</f>
        <v/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str">
        <f t="shared" si="91"/>
        <v/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3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str">
        <f t="shared" si="91"/>
        <v/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3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str">
        <f t="shared" si="91"/>
        <v/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3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str">
        <f t="shared" si="91"/>
        <v/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4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str">
        <f t="shared" si="91"/>
        <v/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3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str">
        <f t="shared" si="91"/>
        <v/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8</v>
      </c>
      <c r="EF127">
        <f>ROWS($DE$2:DE127)</f>
        <v>126</v>
      </c>
      <c r="EG127">
        <f t="shared" si="72"/>
        <v>126</v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3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str">
        <f t="shared" si="91"/>
        <v/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3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str">
        <f t="shared" si="91"/>
        <v/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3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str">
        <f t="shared" si="91"/>
        <v/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3</v>
      </c>
      <c r="EF130">
        <f>ROWS($DE$2:DE130)</f>
        <v>129</v>
      </c>
      <c r="EG130" t="str">
        <f t="shared" si="72"/>
        <v/>
      </c>
      <c r="EJ130">
        <f t="shared" si="73"/>
        <v>129</v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3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str">
        <f t="shared" si="91"/>
        <v/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4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str">
        <f t="shared" si="91"/>
        <v/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4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str">
        <f t="shared" si="91"/>
        <v/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3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str">
        <f t="shared" si="91"/>
        <v/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3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str">
        <f t="shared" si="91"/>
        <v/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3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str">
        <f t="shared" si="91"/>
        <v/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3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str">
        <f t="shared" si="91"/>
        <v/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3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str">
        <f t="shared" si="91"/>
        <v/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4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str">
        <f t="shared" si="91"/>
        <v/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3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str">
        <f t="shared" si="91"/>
        <v/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3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str">
        <f t="shared" si="91"/>
        <v/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3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str">
        <f t="shared" si="91"/>
        <v/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3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str">
        <f t="shared" si="91"/>
        <v/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3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str">
        <f t="shared" si="91"/>
        <v/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4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str">
        <f t="shared" si="91"/>
        <v/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3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str">
        <f t="shared" si="91"/>
        <v/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3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str">
        <f t="shared" si="91"/>
        <v/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3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str">
        <f t="shared" si="91"/>
        <v/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3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str">
        <f t="shared" si="91"/>
        <v/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4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str">
        <f t="shared" si="91"/>
        <v/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3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str">
        <f t="shared" si="91"/>
        <v/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3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str">
        <f t="shared" si="91"/>
        <v/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3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str">
        <f t="shared" si="91"/>
        <v/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3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str">
        <f t="shared" si="91"/>
        <v/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3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str">
        <f t="shared" si="91"/>
        <v/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3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str">
        <f t="shared" si="91"/>
        <v/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4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str">
        <f t="shared" si="91"/>
        <v/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3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str">
        <f t="shared" si="91"/>
        <v/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3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str">
        <f t="shared" si="91"/>
        <v/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3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str">
        <f t="shared" si="91"/>
        <v/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3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str">
        <f t="shared" si="91"/>
        <v/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4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str">
        <f t="shared" si="91"/>
        <v/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3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str">
        <f t="shared" si="91"/>
        <v/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3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str">
        <f t="shared" si="91"/>
        <v/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3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str">
        <f t="shared" si="91"/>
        <v/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 t="str">
        <f t="shared" si="95"/>
        <v/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3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str">
        <f t="shared" si="91"/>
        <v/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3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str">
        <f t="shared" si="91"/>
        <v/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3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str">
        <f t="shared" si="91"/>
        <v/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4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str">
        <f t="shared" si="91"/>
        <v/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4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str">
        <f t="shared" si="91"/>
        <v/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4">
      <c r="D171">
        <v>179835</v>
      </c>
      <c r="E171" s="980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str">
        <f t="shared" si="91"/>
        <v/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 t="str">
        <f t="shared" si="94"/>
        <v/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3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str">
        <f t="shared" si="91"/>
        <v/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0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 t="str">
        <f t="shared" si="97"/>
        <v/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3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str">
        <f t="shared" si="91"/>
        <v/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3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str">
        <f t="shared" si="91"/>
        <v/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3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str">
        <f t="shared" ref="BG175:BG238" si="113">IF(VALUE(SUBSTITUTE($B$5,"M",""))=U175,BF175,"")</f>
        <v/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3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str">
        <f t="shared" si="113"/>
        <v/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3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str">
        <f t="shared" si="113"/>
        <v/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3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str">
        <f t="shared" si="113"/>
        <v/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3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str">
        <f t="shared" si="113"/>
        <v/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4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str">
        <f t="shared" si="113"/>
        <v/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3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str">
        <f t="shared" si="113"/>
        <v/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3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str">
        <f t="shared" si="113"/>
        <v/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3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str">
        <f t="shared" si="113"/>
        <v/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3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str">
        <f t="shared" si="113"/>
        <v/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3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str">
        <f t="shared" si="113"/>
        <v/>
      </c>
      <c r="DB185" s="10">
        <v>1022971</v>
      </c>
      <c r="DD185"/>
      <c r="DE185" s="10">
        <v>1144818</v>
      </c>
      <c r="DF185" t="s">
        <v>1917</v>
      </c>
      <c r="DG185" t="s">
        <v>1917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3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str">
        <f t="shared" si="113"/>
        <v/>
      </c>
      <c r="DB186" s="10">
        <v>1104086</v>
      </c>
      <c r="DD186"/>
      <c r="DE186" s="10">
        <v>1181761</v>
      </c>
      <c r="DF186" t="s">
        <v>1992</v>
      </c>
      <c r="DG186" t="s">
        <v>1992</v>
      </c>
      <c r="DH186" s="10">
        <v>16</v>
      </c>
      <c r="DI186" s="10">
        <v>1608</v>
      </c>
      <c r="DJ186" t="s">
        <v>1983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4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str">
        <f t="shared" si="113"/>
        <v/>
      </c>
      <c r="DB187" s="10">
        <v>1161587</v>
      </c>
      <c r="DD187"/>
      <c r="DE187" s="10">
        <v>1176639</v>
      </c>
      <c r="DF187" t="s">
        <v>1993</v>
      </c>
      <c r="DG187" t="s">
        <v>1993</v>
      </c>
      <c r="DH187" s="10">
        <v>13</v>
      </c>
      <c r="DI187" s="10">
        <v>1308</v>
      </c>
      <c r="DJ187" t="s">
        <v>1983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3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str">
        <f t="shared" si="113"/>
        <v/>
      </c>
      <c r="DB188" s="10">
        <v>1078377</v>
      </c>
      <c r="DD188"/>
      <c r="DE188" s="10">
        <v>1039057</v>
      </c>
      <c r="DF188" t="s">
        <v>1918</v>
      </c>
      <c r="DG188" t="s">
        <v>1918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3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str">
        <f t="shared" si="113"/>
        <v/>
      </c>
      <c r="DB189" s="10">
        <v>1165769</v>
      </c>
      <c r="DD189"/>
      <c r="DE189" s="10">
        <v>1134751</v>
      </c>
      <c r="DF189" t="s">
        <v>1935</v>
      </c>
      <c r="DG189" t="s">
        <v>1935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3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str">
        <f t="shared" si="113"/>
        <v/>
      </c>
      <c r="DB190" s="10">
        <v>1039035</v>
      </c>
      <c r="DD190"/>
      <c r="DE190" s="10">
        <v>562195</v>
      </c>
      <c r="DF190" t="s">
        <v>1942</v>
      </c>
      <c r="DG190" t="s">
        <v>1942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3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str">
        <f t="shared" si="113"/>
        <v/>
      </c>
      <c r="DB191" s="10">
        <v>1176641</v>
      </c>
      <c r="DD191"/>
      <c r="DE191" s="10">
        <v>1022971</v>
      </c>
      <c r="DF191" t="s">
        <v>1943</v>
      </c>
      <c r="DG191" t="s">
        <v>1943</v>
      </c>
      <c r="DH191" s="10">
        <v>16</v>
      </c>
      <c r="DI191" s="10">
        <v>1613</v>
      </c>
      <c r="DJ191" t="s">
        <v>1950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3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str">
        <f t="shared" si="113"/>
        <v/>
      </c>
      <c r="DB192" s="10">
        <v>1104744</v>
      </c>
      <c r="DD192"/>
      <c r="DE192" s="10">
        <v>1104086</v>
      </c>
      <c r="DF192" t="s">
        <v>1945</v>
      </c>
      <c r="DG192" t="s">
        <v>1945</v>
      </c>
      <c r="DH192" s="10">
        <v>16</v>
      </c>
      <c r="DI192" s="10">
        <v>1613</v>
      </c>
      <c r="DJ192" t="s">
        <v>1951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3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str">
        <f t="shared" si="113"/>
        <v/>
      </c>
      <c r="DB193" s="10">
        <v>1144820</v>
      </c>
      <c r="DD193"/>
      <c r="DE193" s="10">
        <v>643738</v>
      </c>
      <c r="DF193" t="s">
        <v>1952</v>
      </c>
      <c r="DG193" t="s">
        <v>1952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0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 t="str">
        <f t="shared" si="97"/>
        <v/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3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str">
        <f t="shared" si="113"/>
        <v/>
      </c>
      <c r="DB194" s="10">
        <v>1100759</v>
      </c>
      <c r="DD194"/>
      <c r="DE194" s="10">
        <v>1161587</v>
      </c>
      <c r="DF194" t="s">
        <v>1964</v>
      </c>
      <c r="DG194" t="s">
        <v>1965</v>
      </c>
      <c r="DH194" s="10">
        <v>13</v>
      </c>
      <c r="DI194" s="10">
        <v>13</v>
      </c>
      <c r="DJ194" t="s">
        <v>1966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3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str">
        <f t="shared" si="113"/>
        <v/>
      </c>
      <c r="DB195" s="10">
        <v>1162508</v>
      </c>
      <c r="DD195"/>
      <c r="DE195" s="10">
        <v>1078377</v>
      </c>
      <c r="DF195" t="s">
        <v>1967</v>
      </c>
      <c r="DG195" t="s">
        <v>1968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4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str">
        <f t="shared" si="113"/>
        <v/>
      </c>
      <c r="DB196" s="10">
        <v>1162510</v>
      </c>
      <c r="DD196"/>
      <c r="DE196" s="10">
        <v>1165769</v>
      </c>
      <c r="DF196" t="s">
        <v>1974</v>
      </c>
      <c r="DG196" t="s">
        <v>1975</v>
      </c>
      <c r="DH196" s="10">
        <v>13</v>
      </c>
      <c r="DI196" s="10">
        <v>1308</v>
      </c>
      <c r="DJ196" t="s">
        <v>1976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1977</v>
      </c>
    </row>
    <row r="197" spans="1:188" ht="15" customHeight="1" x14ac:dyDescent="0.3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str">
        <f t="shared" si="113"/>
        <v/>
      </c>
      <c r="DB197" s="10">
        <v>1163813</v>
      </c>
      <c r="DD197"/>
      <c r="DE197" s="10">
        <v>1039035</v>
      </c>
      <c r="DF197" t="s">
        <v>1978</v>
      </c>
      <c r="DG197" t="s">
        <v>1978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3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str">
        <f t="shared" si="113"/>
        <v/>
      </c>
      <c r="DB198" s="10">
        <v>1086351</v>
      </c>
      <c r="DD198"/>
      <c r="DE198" s="10">
        <v>1176641</v>
      </c>
      <c r="DF198" t="s">
        <v>1982</v>
      </c>
      <c r="DG198" t="s">
        <v>1982</v>
      </c>
      <c r="DH198" s="10">
        <v>16</v>
      </c>
      <c r="DI198" s="10">
        <v>1613</v>
      </c>
      <c r="DJ198" t="s">
        <v>1983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3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str">
        <f t="shared" si="113"/>
        <v/>
      </c>
      <c r="DB199" s="10">
        <v>1133896</v>
      </c>
      <c r="DD199"/>
      <c r="DE199" s="10">
        <v>1104744</v>
      </c>
      <c r="DF199" t="s">
        <v>1984</v>
      </c>
      <c r="DG199" t="s">
        <v>1984</v>
      </c>
      <c r="DH199" s="10">
        <v>16</v>
      </c>
      <c r="DI199" s="10">
        <v>1608</v>
      </c>
      <c r="DJ199" t="s">
        <v>1983</v>
      </c>
      <c r="DK199"/>
      <c r="DL199" t="s">
        <v>1985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3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str">
        <f t="shared" si="113"/>
        <v/>
      </c>
      <c r="DB200" s="10">
        <v>1165796</v>
      </c>
      <c r="DD200"/>
      <c r="DE200" s="10">
        <v>1144820</v>
      </c>
      <c r="DF200" t="s">
        <v>1986</v>
      </c>
      <c r="DG200" t="s">
        <v>1986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3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str">
        <f t="shared" si="113"/>
        <v/>
      </c>
      <c r="DB201" s="10">
        <v>1165884</v>
      </c>
      <c r="DD201"/>
      <c r="DE201" s="10">
        <v>1100759</v>
      </c>
      <c r="DF201" t="s">
        <v>1987</v>
      </c>
      <c r="DG201" t="s">
        <v>1987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4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str">
        <f t="shared" si="113"/>
        <v/>
      </c>
      <c r="DB202" s="10">
        <v>1165882</v>
      </c>
      <c r="DE202" s="10">
        <v>1162508</v>
      </c>
      <c r="DF202" t="s">
        <v>1988</v>
      </c>
      <c r="DG202" t="s">
        <v>1988</v>
      </c>
      <c r="DH202" s="10">
        <v>13</v>
      </c>
      <c r="DI202" s="10">
        <v>1308</v>
      </c>
      <c r="DJ202" t="s">
        <v>1990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3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str">
        <f t="shared" si="113"/>
        <v/>
      </c>
      <c r="DB203" s="10">
        <v>1165842</v>
      </c>
      <c r="DE203" s="10">
        <v>1162510</v>
      </c>
      <c r="DF203" t="s">
        <v>1989</v>
      </c>
      <c r="DG203" t="s">
        <v>1989</v>
      </c>
      <c r="DH203" s="10">
        <v>16</v>
      </c>
      <c r="DI203" s="10">
        <v>1608</v>
      </c>
      <c r="DJ203" t="s">
        <v>1990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3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str">
        <f t="shared" si="113"/>
        <v/>
      </c>
      <c r="DB204" s="10">
        <v>1165770</v>
      </c>
      <c r="DE204" s="10">
        <v>1163813</v>
      </c>
      <c r="DF204" t="s">
        <v>1999</v>
      </c>
      <c r="DG204" t="s">
        <v>1999</v>
      </c>
      <c r="DH204" s="10">
        <v>16</v>
      </c>
      <c r="DI204">
        <v>1613</v>
      </c>
      <c r="DJ204" t="s">
        <v>1994</v>
      </c>
      <c r="DK204"/>
      <c r="DL204" t="s">
        <v>1985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3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str">
        <f t="shared" si="113"/>
        <v/>
      </c>
      <c r="DB205" s="10">
        <v>1209332</v>
      </c>
      <c r="DE205" s="10">
        <v>1086351</v>
      </c>
      <c r="DF205" t="s">
        <v>2000</v>
      </c>
      <c r="DG205" t="s">
        <v>2000</v>
      </c>
      <c r="DH205" s="10">
        <v>13</v>
      </c>
      <c r="DI205" t="s">
        <v>1996</v>
      </c>
      <c r="DJ205" t="s">
        <v>1995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35">
      <c r="A206" s="979" t="s">
        <v>1452</v>
      </c>
      <c r="B206" s="979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str">
        <f t="shared" si="113"/>
        <v/>
      </c>
      <c r="DB206" s="10">
        <v>1177229</v>
      </c>
      <c r="DE206" s="10">
        <v>1133896</v>
      </c>
      <c r="DF206" t="s">
        <v>2001</v>
      </c>
      <c r="DG206" t="s">
        <v>2001</v>
      </c>
      <c r="DH206" s="10">
        <v>16</v>
      </c>
      <c r="DI206">
        <v>1613</v>
      </c>
      <c r="DJ206" t="s">
        <v>1231</v>
      </c>
      <c r="DK206"/>
      <c r="DL206" t="s">
        <v>1985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35">
      <c r="A207" s="978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str">
        <f t="shared" si="113"/>
        <v/>
      </c>
      <c r="DB207" s="10">
        <v>1209410</v>
      </c>
      <c r="DE207" s="10">
        <v>1165796</v>
      </c>
      <c r="DF207" t="s">
        <v>2006</v>
      </c>
      <c r="DG207" t="s">
        <v>2006</v>
      </c>
      <c r="DH207" s="10">
        <v>10</v>
      </c>
      <c r="DI207">
        <v>1010</v>
      </c>
      <c r="DJ207" t="s">
        <v>2007</v>
      </c>
      <c r="DK207"/>
      <c r="DL207" t="s">
        <v>1985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0</v>
      </c>
      <c r="EF207">
        <f>ROWS($DE$2:DE207)</f>
        <v>206</v>
      </c>
      <c r="EG207" t="str">
        <f t="shared" si="115"/>
        <v/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3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str">
        <f t="shared" si="113"/>
        <v/>
      </c>
      <c r="DB208" s="10">
        <v>1165840</v>
      </c>
      <c r="DE208">
        <v>1165884</v>
      </c>
      <c r="DF208" t="s">
        <v>2020</v>
      </c>
      <c r="DG208" t="s">
        <v>2020</v>
      </c>
      <c r="DH208" s="10">
        <v>19</v>
      </c>
      <c r="DI208">
        <v>1913</v>
      </c>
      <c r="DJ208" t="s">
        <v>2016</v>
      </c>
      <c r="DK208"/>
      <c r="DL208" t="s">
        <v>1985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3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str">
        <f t="shared" si="113"/>
        <v/>
      </c>
      <c r="DB209" s="10">
        <v>1118417</v>
      </c>
      <c r="DE209">
        <v>1165882</v>
      </c>
      <c r="DF209" t="s">
        <v>2021</v>
      </c>
      <c r="DG209" t="s">
        <v>2021</v>
      </c>
      <c r="DH209" s="10">
        <v>16</v>
      </c>
      <c r="DI209">
        <v>1613</v>
      </c>
      <c r="DJ209" t="s">
        <v>2016</v>
      </c>
      <c r="DK209"/>
      <c r="DL209" t="s">
        <v>1985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4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str">
        <f t="shared" si="113"/>
        <v/>
      </c>
      <c r="DB210" s="10">
        <v>1142633</v>
      </c>
      <c r="DE210">
        <v>1165842</v>
      </c>
      <c r="DF210" t="s">
        <v>2024</v>
      </c>
      <c r="DG210" t="s">
        <v>2024</v>
      </c>
      <c r="DH210" s="10">
        <v>19</v>
      </c>
      <c r="DI210">
        <v>1913</v>
      </c>
      <c r="DJ210" t="s">
        <v>2025</v>
      </c>
      <c r="DK210"/>
      <c r="DL210" t="s">
        <v>1985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3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str">
        <f t="shared" si="113"/>
        <v/>
      </c>
      <c r="DB211" s="10">
        <v>1141584</v>
      </c>
      <c r="DE211">
        <v>1165770</v>
      </c>
      <c r="DF211" t="s">
        <v>2027</v>
      </c>
      <c r="DG211" t="s">
        <v>2027</v>
      </c>
      <c r="DH211" s="10">
        <v>13</v>
      </c>
      <c r="DI211">
        <v>1313</v>
      </c>
      <c r="DJ211" t="s">
        <v>2007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3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str">
        <f t="shared" si="113"/>
        <v/>
      </c>
      <c r="DB212" s="10">
        <v>1050854</v>
      </c>
      <c r="DE212">
        <v>1209332</v>
      </c>
      <c r="DF212" t="s">
        <v>2030</v>
      </c>
      <c r="DG212" t="s">
        <v>2030</v>
      </c>
      <c r="DH212" s="10">
        <v>13</v>
      </c>
      <c r="DI212">
        <v>1313</v>
      </c>
      <c r="DJ212" t="s">
        <v>2031</v>
      </c>
      <c r="DK212"/>
      <c r="DL212" t="s">
        <v>1985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 t="str">
        <f t="shared" si="117"/>
        <v/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3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str">
        <f t="shared" si="113"/>
        <v/>
      </c>
      <c r="DB213" s="10">
        <v>1161228</v>
      </c>
      <c r="DE213">
        <v>1177229</v>
      </c>
      <c r="DF213" t="s">
        <v>2032</v>
      </c>
      <c r="DG213" t="s">
        <v>2032</v>
      </c>
      <c r="DH213" s="10">
        <v>10</v>
      </c>
      <c r="DI213">
        <v>1010</v>
      </c>
      <c r="DJ213" t="s">
        <v>1232</v>
      </c>
      <c r="DK213"/>
      <c r="DL213" t="s">
        <v>1985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3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str">
        <f t="shared" si="113"/>
        <v/>
      </c>
      <c r="DB214" s="10">
        <v>1141583</v>
      </c>
      <c r="DE214">
        <v>1209410</v>
      </c>
      <c r="DF214" t="s">
        <v>2036</v>
      </c>
      <c r="DG214" t="s">
        <v>2036</v>
      </c>
      <c r="DH214" s="10">
        <v>16</v>
      </c>
      <c r="DI214">
        <v>1613</v>
      </c>
      <c r="DJ214" t="s">
        <v>2038</v>
      </c>
      <c r="DK214"/>
      <c r="DL214" t="s">
        <v>1985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3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str">
        <f t="shared" si="113"/>
        <v/>
      </c>
      <c r="DB215" s="10">
        <v>1220334</v>
      </c>
      <c r="DE215">
        <v>1165840</v>
      </c>
      <c r="DF215" t="s">
        <v>2037</v>
      </c>
      <c r="DG215" t="s">
        <v>2037</v>
      </c>
      <c r="DH215" s="10">
        <v>16</v>
      </c>
      <c r="DI215">
        <v>1613</v>
      </c>
      <c r="DJ215" t="s">
        <v>2025</v>
      </c>
      <c r="DK215"/>
      <c r="DL215" t="s">
        <v>1985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4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str">
        <f t="shared" si="113"/>
        <v/>
      </c>
      <c r="DB216" s="10">
        <v>1217988</v>
      </c>
      <c r="DE216" s="10">
        <v>1118417</v>
      </c>
      <c r="DF216" s="10" t="s">
        <v>2046</v>
      </c>
      <c r="DG216" s="10" t="s">
        <v>2046</v>
      </c>
      <c r="DH216" s="10">
        <v>19</v>
      </c>
      <c r="DI216">
        <v>1913</v>
      </c>
      <c r="DJ216" t="s">
        <v>2040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3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str">
        <f t="shared" si="113"/>
        <v/>
      </c>
      <c r="DB217" s="10">
        <v>1165878</v>
      </c>
      <c r="DE217" s="10">
        <v>1142633</v>
      </c>
      <c r="DF217" s="10" t="s">
        <v>2047</v>
      </c>
      <c r="DG217" s="10" t="s">
        <v>2047</v>
      </c>
      <c r="DH217" s="10">
        <v>19</v>
      </c>
      <c r="DI217">
        <v>1913</v>
      </c>
      <c r="DJ217" t="s">
        <v>1231</v>
      </c>
      <c r="DK217"/>
      <c r="DL217" t="s">
        <v>1985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3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str">
        <f t="shared" si="113"/>
        <v/>
      </c>
      <c r="DB218" s="10">
        <v>1165879</v>
      </c>
      <c r="DE218">
        <v>1141584</v>
      </c>
      <c r="DF218" t="s">
        <v>2048</v>
      </c>
      <c r="DG218" t="s">
        <v>2048</v>
      </c>
      <c r="DH218" s="10">
        <v>19</v>
      </c>
      <c r="DI218">
        <v>1913</v>
      </c>
      <c r="DJ218" t="s">
        <v>2041</v>
      </c>
      <c r="DK218"/>
      <c r="DL218" t="s">
        <v>1985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3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str">
        <f t="shared" si="113"/>
        <v/>
      </c>
      <c r="DB219" s="10">
        <v>395697</v>
      </c>
      <c r="DE219">
        <v>1050854</v>
      </c>
      <c r="DF219" t="s">
        <v>2049</v>
      </c>
      <c r="DG219" t="s">
        <v>2049</v>
      </c>
      <c r="DH219" s="10">
        <v>8</v>
      </c>
      <c r="DI219" t="s">
        <v>2042</v>
      </c>
      <c r="DJ219" t="s">
        <v>1995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3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str">
        <f t="shared" si="113"/>
        <v/>
      </c>
      <c r="DB220" s="10">
        <v>179702</v>
      </c>
      <c r="DE220">
        <v>1161228</v>
      </c>
      <c r="DF220" t="s">
        <v>2050</v>
      </c>
      <c r="DG220" t="s">
        <v>2050</v>
      </c>
      <c r="DH220" s="10">
        <v>13</v>
      </c>
      <c r="DI220" t="s">
        <v>2043</v>
      </c>
      <c r="DJ220" t="s">
        <v>2044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3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str">
        <f t="shared" si="113"/>
        <v/>
      </c>
      <c r="DB221" s="10">
        <v>179773</v>
      </c>
      <c r="DE221">
        <v>1141583</v>
      </c>
      <c r="DF221" t="s">
        <v>2053</v>
      </c>
      <c r="DG221" t="s">
        <v>2053</v>
      </c>
      <c r="DH221" s="10">
        <v>16</v>
      </c>
      <c r="DI221">
        <v>1613</v>
      </c>
      <c r="DJ221" t="s">
        <v>2041</v>
      </c>
      <c r="DK221"/>
      <c r="DL221" t="s">
        <v>1985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3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str">
        <f t="shared" si="113"/>
        <v/>
      </c>
      <c r="DB222" s="10">
        <v>1162511</v>
      </c>
      <c r="DE222">
        <v>1220334</v>
      </c>
      <c r="DF222" t="s">
        <v>2063</v>
      </c>
      <c r="DG222" t="s">
        <v>2063</v>
      </c>
      <c r="DH222" s="10">
        <v>13</v>
      </c>
      <c r="DI222">
        <v>1313</v>
      </c>
      <c r="DJ222" t="s">
        <v>2062</v>
      </c>
      <c r="DK222"/>
      <c r="DL222" t="s">
        <v>2061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4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str">
        <f t="shared" si="113"/>
        <v/>
      </c>
      <c r="DB223" s="10">
        <v>1209333</v>
      </c>
      <c r="DE223">
        <v>1217988</v>
      </c>
      <c r="DF223" t="s">
        <v>2071</v>
      </c>
      <c r="DG223" t="s">
        <v>2071</v>
      </c>
      <c r="DH223" s="10">
        <v>13</v>
      </c>
      <c r="DI223">
        <v>1313</v>
      </c>
      <c r="DJ223" t="s">
        <v>2067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3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str">
        <f t="shared" si="113"/>
        <v/>
      </c>
      <c r="DB224" s="10">
        <v>1208601</v>
      </c>
      <c r="DE224">
        <v>1165878</v>
      </c>
      <c r="DF224" t="s">
        <v>2081</v>
      </c>
      <c r="DG224" t="s">
        <v>2081</v>
      </c>
      <c r="DH224" s="10">
        <v>10</v>
      </c>
      <c r="DI224">
        <v>1010</v>
      </c>
      <c r="DJ224" t="s">
        <v>2016</v>
      </c>
      <c r="DK224"/>
      <c r="DL224" t="s">
        <v>1985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3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str">
        <f t="shared" si="113"/>
        <v/>
      </c>
      <c r="DB225" s="10">
        <v>1219562</v>
      </c>
      <c r="DE225">
        <v>1165879</v>
      </c>
      <c r="DF225" t="s">
        <v>2082</v>
      </c>
      <c r="DG225" t="s">
        <v>2082</v>
      </c>
      <c r="DH225" s="10">
        <v>13</v>
      </c>
      <c r="DI225">
        <v>1308</v>
      </c>
      <c r="DJ225" t="s">
        <v>2016</v>
      </c>
      <c r="DK225"/>
      <c r="DL225" t="s">
        <v>1985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3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str">
        <f t="shared" si="113"/>
        <v/>
      </c>
      <c r="DB226" s="10">
        <v>1152018</v>
      </c>
      <c r="DE226">
        <v>395697</v>
      </c>
      <c r="DF226" t="s">
        <v>2085</v>
      </c>
      <c r="DG226" t="s">
        <v>2085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3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str">
        <f t="shared" si="113"/>
        <v/>
      </c>
      <c r="DB227" s="10">
        <v>1235963</v>
      </c>
      <c r="DE227">
        <v>179702</v>
      </c>
      <c r="DF227" t="s">
        <v>2086</v>
      </c>
      <c r="DG227" t="s">
        <v>2086</v>
      </c>
      <c r="DH227" s="10">
        <v>8</v>
      </c>
      <c r="DI227">
        <v>808</v>
      </c>
      <c r="DJ227" t="s">
        <v>2088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3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str">
        <f t="shared" si="113"/>
        <v/>
      </c>
      <c r="DB228" s="10">
        <v>1165786</v>
      </c>
      <c r="DE228">
        <v>179773</v>
      </c>
      <c r="DF228" t="s">
        <v>2087</v>
      </c>
      <c r="DG228" t="s">
        <v>2087</v>
      </c>
      <c r="DH228" s="10">
        <v>13</v>
      </c>
      <c r="DI228">
        <v>1308</v>
      </c>
      <c r="DJ228" t="s">
        <v>2089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4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str">
        <f t="shared" si="113"/>
        <v/>
      </c>
      <c r="DB229" s="10">
        <v>1187983</v>
      </c>
      <c r="DE229">
        <v>1162511</v>
      </c>
      <c r="DF229" t="s">
        <v>2090</v>
      </c>
      <c r="DG229" t="s">
        <v>2090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4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str">
        <f t="shared" si="113"/>
        <v/>
      </c>
      <c r="DB230" s="10">
        <v>1187984</v>
      </c>
      <c r="DE230">
        <v>1209333</v>
      </c>
      <c r="DF230" t="s">
        <v>2097</v>
      </c>
      <c r="DG230" t="s">
        <v>2097</v>
      </c>
      <c r="DH230" s="10">
        <v>16</v>
      </c>
      <c r="DI230">
        <v>13</v>
      </c>
      <c r="DJ230" t="s">
        <v>2031</v>
      </c>
      <c r="DK230"/>
      <c r="DL230" t="s">
        <v>1985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4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str">
        <f t="shared" si="113"/>
        <v/>
      </c>
      <c r="DB231" s="10">
        <v>742474</v>
      </c>
      <c r="DE231">
        <v>1208601</v>
      </c>
      <c r="DF231" t="s">
        <v>2104</v>
      </c>
      <c r="DG231" t="s">
        <v>2104</v>
      </c>
      <c r="DH231" s="10">
        <v>16</v>
      </c>
      <c r="DI231">
        <v>1613</v>
      </c>
      <c r="DJ231" t="s">
        <v>2107</v>
      </c>
      <c r="DK231"/>
      <c r="DL231" t="s">
        <v>1985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DV231" s="10" t="s">
        <v>49</v>
      </c>
      <c r="DW231" s="10" t="s">
        <v>1590</v>
      </c>
      <c r="DX231" s="10">
        <v>30</v>
      </c>
      <c r="DY231" s="10" t="s">
        <v>1673</v>
      </c>
      <c r="DZ231" s="10" t="s">
        <v>1668</v>
      </c>
      <c r="EA231" s="10">
        <v>1</v>
      </c>
      <c r="EB231" s="10" t="s">
        <v>1513</v>
      </c>
      <c r="EC231" s="10">
        <v>662</v>
      </c>
      <c r="ED231" s="10" t="s">
        <v>1736</v>
      </c>
      <c r="EE231" s="10">
        <f t="shared" ref="EE231:EE302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4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str">
        <f t="shared" si="113"/>
        <v/>
      </c>
      <c r="DB232" s="10">
        <v>1112229</v>
      </c>
      <c r="DE232">
        <v>1219562</v>
      </c>
      <c r="DF232" t="s">
        <v>2105</v>
      </c>
      <c r="DG232" t="s">
        <v>2105</v>
      </c>
      <c r="DH232" s="10">
        <v>16</v>
      </c>
      <c r="DI232">
        <v>1613</v>
      </c>
      <c r="DJ232" t="s">
        <v>2106</v>
      </c>
      <c r="DK232"/>
      <c r="DL232" t="s">
        <v>1985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4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str">
        <f t="shared" si="113"/>
        <v/>
      </c>
      <c r="DB233" s="10">
        <v>1238831</v>
      </c>
      <c r="DE233">
        <v>1152018</v>
      </c>
      <c r="DF233" t="s">
        <v>2111</v>
      </c>
      <c r="DG233" t="s">
        <v>2111</v>
      </c>
      <c r="DH233" s="10">
        <v>13</v>
      </c>
      <c r="DI233">
        <v>1313</v>
      </c>
      <c r="DJ233" t="s">
        <v>1231</v>
      </c>
      <c r="DK233"/>
      <c r="DL233" t="s">
        <v>1985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4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str">
        <f t="shared" si="113"/>
        <v/>
      </c>
      <c r="DB234" s="10">
        <v>1238832</v>
      </c>
      <c r="DD234"/>
      <c r="DE234">
        <v>1235963</v>
      </c>
      <c r="DF234" t="s">
        <v>2112</v>
      </c>
      <c r="DG234" t="s">
        <v>2112</v>
      </c>
      <c r="DH234" s="10">
        <v>16</v>
      </c>
      <c r="DI234">
        <v>1613</v>
      </c>
      <c r="DJ234" t="s">
        <v>2113</v>
      </c>
      <c r="DK234"/>
      <c r="DL234" t="s">
        <v>1985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4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str">
        <f t="shared" si="113"/>
        <v/>
      </c>
      <c r="DB235" s="10">
        <v>1261319</v>
      </c>
      <c r="DD235"/>
      <c r="DE235">
        <v>1165786</v>
      </c>
      <c r="DF235" t="s">
        <v>2118</v>
      </c>
      <c r="DG235" t="s">
        <v>2118</v>
      </c>
      <c r="DH235" s="10">
        <v>16</v>
      </c>
      <c r="DI235">
        <v>1613</v>
      </c>
      <c r="DJ235" t="s">
        <v>2119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4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str">
        <f t="shared" si="113"/>
        <v/>
      </c>
      <c r="DB236" s="10">
        <v>1228502</v>
      </c>
      <c r="DD236"/>
      <c r="DE236">
        <v>1187983</v>
      </c>
      <c r="DF236" t="s">
        <v>2121</v>
      </c>
      <c r="DG236" t="s">
        <v>2121</v>
      </c>
      <c r="DH236" s="10">
        <v>16</v>
      </c>
      <c r="DI236">
        <v>1613</v>
      </c>
      <c r="DJ236" t="s">
        <v>2122</v>
      </c>
      <c r="DK236"/>
      <c r="DL236" t="s">
        <v>1985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3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str">
        <f t="shared" si="113"/>
        <v/>
      </c>
      <c r="DB237" s="10">
        <v>1261320</v>
      </c>
      <c r="DD237"/>
      <c r="DE237">
        <v>1187984</v>
      </c>
      <c r="DF237" t="s">
        <v>2123</v>
      </c>
      <c r="DG237" t="s">
        <v>2123</v>
      </c>
      <c r="DH237" s="10">
        <v>19</v>
      </c>
      <c r="DI237">
        <v>1913</v>
      </c>
      <c r="DJ237" t="s">
        <v>2122</v>
      </c>
      <c r="DK237"/>
      <c r="DL237" t="s">
        <v>1985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3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str">
        <f t="shared" si="113"/>
        <v/>
      </c>
      <c r="DB238" s="10">
        <v>1261321</v>
      </c>
      <c r="DD238"/>
      <c r="DE238">
        <v>742474</v>
      </c>
      <c r="DF238" t="s">
        <v>2143</v>
      </c>
      <c r="DG238" t="s">
        <v>2143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3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str">
        <f t="shared" ref="BG239:BG302" si="140">IF(VALUE(SUBSTITUTE($B$5,"M",""))=U239,BF239,"")</f>
        <v/>
      </c>
      <c r="DB239" s="10">
        <v>1244299</v>
      </c>
      <c r="DD239"/>
      <c r="DE239">
        <v>1112229</v>
      </c>
      <c r="DF239" t="s">
        <v>2148</v>
      </c>
      <c r="DG239" t="s">
        <v>2148</v>
      </c>
      <c r="DH239">
        <v>16</v>
      </c>
      <c r="DI239">
        <v>1613</v>
      </c>
      <c r="DJ239" t="s">
        <v>2041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3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str">
        <f t="shared" si="140"/>
        <v/>
      </c>
      <c r="DB240" s="10">
        <v>1175118</v>
      </c>
      <c r="DD240"/>
      <c r="DE240">
        <v>1238831</v>
      </c>
      <c r="DF240" t="s">
        <v>2150</v>
      </c>
      <c r="DG240" t="s">
        <v>2150</v>
      </c>
      <c r="DH240">
        <v>13</v>
      </c>
      <c r="DI240">
        <v>1313</v>
      </c>
      <c r="DJ240" t="s">
        <v>1231</v>
      </c>
      <c r="DK240"/>
      <c r="DL240" t="s">
        <v>2151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3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str">
        <f t="shared" si="140"/>
        <v/>
      </c>
      <c r="DB241" s="10">
        <v>1146737</v>
      </c>
      <c r="DD241"/>
      <c r="DE241">
        <v>1238832</v>
      </c>
      <c r="DF241" t="s">
        <v>2152</v>
      </c>
      <c r="DG241" t="s">
        <v>2152</v>
      </c>
      <c r="DH241">
        <v>16</v>
      </c>
      <c r="DI241">
        <v>1613</v>
      </c>
      <c r="DJ241" t="s">
        <v>1231</v>
      </c>
      <c r="DK241"/>
      <c r="DL241" t="s">
        <v>2151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4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str">
        <f t="shared" si="140"/>
        <v/>
      </c>
      <c r="DB242" s="10">
        <v>1133977</v>
      </c>
      <c r="DD242"/>
      <c r="DE242">
        <v>1261319</v>
      </c>
      <c r="DF242" t="s">
        <v>2155</v>
      </c>
      <c r="DG242" t="s">
        <v>2155</v>
      </c>
      <c r="DH242">
        <v>13</v>
      </c>
      <c r="DI242">
        <v>1308</v>
      </c>
      <c r="DJ242" t="s">
        <v>1983</v>
      </c>
      <c r="DK242"/>
      <c r="DL242" t="s">
        <v>2159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3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str">
        <f t="shared" si="140"/>
        <v/>
      </c>
      <c r="DB243" s="10">
        <v>1146346</v>
      </c>
      <c r="DE243">
        <v>1228502</v>
      </c>
      <c r="DF243" t="s">
        <v>2205</v>
      </c>
      <c r="DG243" t="s">
        <v>2205</v>
      </c>
      <c r="DH243">
        <v>16</v>
      </c>
      <c r="DI243">
        <v>1618</v>
      </c>
      <c r="DJ243" t="s">
        <v>1232</v>
      </c>
      <c r="DK243"/>
      <c r="DL243" t="s">
        <v>2159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3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str">
        <f t="shared" si="140"/>
        <v/>
      </c>
      <c r="DB244" s="10">
        <v>1271790</v>
      </c>
      <c r="DE244">
        <v>1261320</v>
      </c>
      <c r="DF244" t="s">
        <v>2156</v>
      </c>
      <c r="DG244" t="s">
        <v>2156</v>
      </c>
      <c r="DH244">
        <v>13</v>
      </c>
      <c r="DI244">
        <v>1313</v>
      </c>
      <c r="DJ244" t="s">
        <v>1983</v>
      </c>
      <c r="DK244"/>
      <c r="DL244" t="s">
        <v>2159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3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str">
        <f t="shared" si="140"/>
        <v/>
      </c>
      <c r="DB245" s="10">
        <v>1142711</v>
      </c>
      <c r="DE245">
        <v>1261321</v>
      </c>
      <c r="DF245" t="s">
        <v>2157</v>
      </c>
      <c r="DG245" t="s">
        <v>2157</v>
      </c>
      <c r="DH245">
        <v>16</v>
      </c>
      <c r="DI245">
        <v>1613</v>
      </c>
      <c r="DJ245" t="s">
        <v>1983</v>
      </c>
      <c r="DK245"/>
      <c r="DL245" t="s">
        <v>2159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3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str">
        <f t="shared" si="140"/>
        <v/>
      </c>
      <c r="DB246" s="10">
        <v>1200972</v>
      </c>
      <c r="DE246">
        <v>1244299</v>
      </c>
      <c r="DF246" t="s">
        <v>2162</v>
      </c>
      <c r="DG246" t="s">
        <v>2162</v>
      </c>
      <c r="DH246">
        <v>13</v>
      </c>
      <c r="DI246">
        <v>1313</v>
      </c>
      <c r="DJ246" t="s">
        <v>2160</v>
      </c>
      <c r="DK246"/>
      <c r="DL246" t="s">
        <v>1985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3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str">
        <f t="shared" si="140"/>
        <v/>
      </c>
      <c r="DB247" s="10">
        <v>1234189</v>
      </c>
      <c r="DE247">
        <v>1175118</v>
      </c>
      <c r="DF247" t="s">
        <v>2164</v>
      </c>
      <c r="DG247" t="s">
        <v>2164</v>
      </c>
      <c r="DH247">
        <v>16</v>
      </c>
      <c r="DI247">
        <v>1613</v>
      </c>
      <c r="DJ247" t="s">
        <v>2041</v>
      </c>
      <c r="DK247"/>
      <c r="DL247" t="s">
        <v>2165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3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str">
        <f t="shared" si="140"/>
        <v/>
      </c>
      <c r="DB248" s="10">
        <v>1250971</v>
      </c>
      <c r="DE248">
        <v>1146737</v>
      </c>
      <c r="DF248" t="s">
        <v>2166</v>
      </c>
      <c r="DG248" t="s">
        <v>2166</v>
      </c>
      <c r="DH248">
        <v>16</v>
      </c>
      <c r="DI248">
        <v>1613</v>
      </c>
      <c r="DJ248" t="s">
        <v>1231</v>
      </c>
      <c r="DK248"/>
      <c r="DL248" t="s">
        <v>2165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3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str">
        <f t="shared" si="140"/>
        <v/>
      </c>
      <c r="DB249" s="10">
        <v>1234679</v>
      </c>
      <c r="DE249">
        <v>1133977</v>
      </c>
      <c r="DF249" t="s">
        <v>2166</v>
      </c>
      <c r="DG249" t="s">
        <v>2166</v>
      </c>
      <c r="DH249">
        <v>16</v>
      </c>
      <c r="DI249">
        <v>1613</v>
      </c>
      <c r="DJ249" t="s">
        <v>1231</v>
      </c>
      <c r="DK249"/>
      <c r="DL249" t="s">
        <v>2165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3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str">
        <f t="shared" si="140"/>
        <v/>
      </c>
      <c r="DB250" s="10">
        <v>1244957</v>
      </c>
      <c r="DE250">
        <v>1146346</v>
      </c>
      <c r="DF250" t="s">
        <v>2177</v>
      </c>
      <c r="DG250" t="s">
        <v>2177</v>
      </c>
      <c r="DH250">
        <v>13</v>
      </c>
      <c r="DI250">
        <v>1313</v>
      </c>
      <c r="DJ250" t="s">
        <v>1231</v>
      </c>
      <c r="DK250"/>
      <c r="DL250" t="s">
        <v>2165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DV250" s="10" t="s">
        <v>49</v>
      </c>
      <c r="DW250" s="10" t="s">
        <v>1589</v>
      </c>
      <c r="DX250" s="10">
        <v>30</v>
      </c>
      <c r="DY250" s="10" t="s">
        <v>1677</v>
      </c>
      <c r="DZ250" s="10" t="s">
        <v>1670</v>
      </c>
      <c r="EA250" s="10">
        <v>1</v>
      </c>
      <c r="EB250" s="10" t="s">
        <v>1513</v>
      </c>
      <c r="EC250" s="10">
        <v>480</v>
      </c>
      <c r="ED250" s="10" t="s">
        <v>1740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 t="str">
        <f t="shared" si="118"/>
        <v/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3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str">
        <f t="shared" si="140"/>
        <v/>
      </c>
      <c r="DB251" s="10">
        <v>1231982</v>
      </c>
      <c r="DE251">
        <v>1271790</v>
      </c>
      <c r="DF251" t="s">
        <v>2179</v>
      </c>
      <c r="DG251" t="s">
        <v>2179</v>
      </c>
      <c r="DH251">
        <v>16</v>
      </c>
      <c r="DI251">
        <v>1613</v>
      </c>
      <c r="DJ251" t="s">
        <v>2173</v>
      </c>
      <c r="DK251"/>
      <c r="DL251" t="s">
        <v>2165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DV251" s="10" t="s">
        <v>49</v>
      </c>
      <c r="DW251" s="10" t="s">
        <v>1590</v>
      </c>
      <c r="DX251" s="10">
        <v>30</v>
      </c>
      <c r="DY251" s="10" t="s">
        <v>1673</v>
      </c>
      <c r="DZ251" s="10" t="s">
        <v>1668</v>
      </c>
      <c r="EA251" s="10">
        <v>1</v>
      </c>
      <c r="EB251" s="10" t="s">
        <v>1513</v>
      </c>
      <c r="EC251" s="10">
        <v>662</v>
      </c>
      <c r="ED251" s="10" t="s">
        <v>1736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3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str">
        <f t="shared" si="140"/>
        <v/>
      </c>
      <c r="DB252" s="10">
        <v>1100751</v>
      </c>
      <c r="DE252">
        <v>1142711</v>
      </c>
      <c r="DF252" t="s">
        <v>2180</v>
      </c>
      <c r="DG252" t="s">
        <v>2180</v>
      </c>
      <c r="DH252">
        <v>16</v>
      </c>
      <c r="DI252">
        <v>1613</v>
      </c>
      <c r="DJ252" t="s">
        <v>1488</v>
      </c>
      <c r="DK252"/>
      <c r="DL252" t="s">
        <v>1985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3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str">
        <f t="shared" si="140"/>
        <v/>
      </c>
      <c r="DB253" s="10">
        <v>1165880</v>
      </c>
      <c r="DE253">
        <v>1200972</v>
      </c>
      <c r="DF253" t="s">
        <v>2181</v>
      </c>
      <c r="DG253" t="s">
        <v>2181</v>
      </c>
      <c r="DH253">
        <v>8</v>
      </c>
      <c r="DI253" t="s">
        <v>2042</v>
      </c>
      <c r="DJ253" t="s">
        <v>2175</v>
      </c>
      <c r="DK253"/>
      <c r="DL253" t="s">
        <v>2061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3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str">
        <f t="shared" si="140"/>
        <v/>
      </c>
      <c r="DB254" s="10">
        <v>1257653</v>
      </c>
      <c r="DE254">
        <v>1234189</v>
      </c>
      <c r="DF254" t="s">
        <v>2182</v>
      </c>
      <c r="DG254" t="s">
        <v>2182</v>
      </c>
      <c r="DH254">
        <v>13</v>
      </c>
      <c r="DI254" t="s">
        <v>2043</v>
      </c>
      <c r="DJ254" t="s">
        <v>2175</v>
      </c>
      <c r="DK254"/>
      <c r="DL254" t="s">
        <v>2061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3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str">
        <f t="shared" si="140"/>
        <v/>
      </c>
      <c r="DB255" s="10">
        <v>1126402</v>
      </c>
      <c r="DE255">
        <v>1250971</v>
      </c>
      <c r="DF255" t="s">
        <v>2190</v>
      </c>
      <c r="DG255" t="s">
        <v>2190</v>
      </c>
      <c r="DH255">
        <v>19</v>
      </c>
      <c r="DI255">
        <v>1913</v>
      </c>
      <c r="DJ255" t="s">
        <v>2191</v>
      </c>
      <c r="DK255"/>
      <c r="DL255" t="s">
        <v>1985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3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str">
        <f t="shared" si="140"/>
        <v/>
      </c>
      <c r="DB256" s="10">
        <v>1100753</v>
      </c>
      <c r="DE256">
        <v>1234679</v>
      </c>
      <c r="DF256" t="s">
        <v>2192</v>
      </c>
      <c r="DG256" t="s">
        <v>2192</v>
      </c>
      <c r="DH256">
        <v>16</v>
      </c>
      <c r="DI256">
        <v>1613</v>
      </c>
      <c r="DJ256" t="s">
        <v>2191</v>
      </c>
      <c r="DK256"/>
      <c r="DL256" t="s">
        <v>1985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3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str">
        <f t="shared" si="140"/>
        <v/>
      </c>
      <c r="DB257" s="10">
        <v>1220688</v>
      </c>
      <c r="DE257">
        <v>1244957</v>
      </c>
      <c r="DF257" t="s">
        <v>2193</v>
      </c>
      <c r="DG257" t="s">
        <v>2193</v>
      </c>
      <c r="DH257" s="805">
        <v>16</v>
      </c>
      <c r="DI257" s="805">
        <v>1613</v>
      </c>
      <c r="DJ257" s="805" t="s">
        <v>1231</v>
      </c>
      <c r="DK257" s="805"/>
      <c r="DL257" s="805" t="s">
        <v>2196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3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str">
        <f t="shared" si="140"/>
        <v/>
      </c>
      <c r="DB258" s="10">
        <v>1189972</v>
      </c>
      <c r="DE258">
        <v>1231982</v>
      </c>
      <c r="DF258" t="s">
        <v>2194</v>
      </c>
      <c r="DG258" t="s">
        <v>2194</v>
      </c>
      <c r="DH258" s="805">
        <v>16</v>
      </c>
      <c r="DI258" s="805">
        <v>1613</v>
      </c>
      <c r="DJ258" s="805" t="s">
        <v>2195</v>
      </c>
      <c r="DK258" s="805"/>
      <c r="DL258" s="805" t="s">
        <v>1985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3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str">
        <f t="shared" si="140"/>
        <v/>
      </c>
      <c r="DB259" s="10">
        <v>1228929</v>
      </c>
      <c r="DE259" s="10">
        <v>1100751</v>
      </c>
      <c r="DF259" s="10" t="s">
        <v>2197</v>
      </c>
      <c r="DG259" s="10" t="s">
        <v>2197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3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str">
        <f t="shared" si="140"/>
        <v/>
      </c>
      <c r="DB260" s="10">
        <v>1165838</v>
      </c>
      <c r="DE260" s="10">
        <v>1165880</v>
      </c>
      <c r="DF260" s="10" t="s">
        <v>2198</v>
      </c>
      <c r="DG260" s="10" t="s">
        <v>2198</v>
      </c>
      <c r="DH260" s="10">
        <v>13</v>
      </c>
      <c r="DI260" s="10">
        <v>1313</v>
      </c>
      <c r="DJ260" s="10" t="s">
        <v>2199</v>
      </c>
      <c r="DL260" s="10" t="s">
        <v>1985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3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str">
        <f t="shared" si="140"/>
        <v/>
      </c>
      <c r="DB261" s="10">
        <v>1071262</v>
      </c>
      <c r="DE261" s="10">
        <v>1257653</v>
      </c>
      <c r="DF261" s="10" t="s">
        <v>2204</v>
      </c>
      <c r="DG261" s="10" t="s">
        <v>2204</v>
      </c>
      <c r="DH261" s="10">
        <v>13</v>
      </c>
      <c r="DI261" s="10">
        <v>1313</v>
      </c>
      <c r="DJ261" t="s">
        <v>2122</v>
      </c>
      <c r="DL261" s="10" t="s">
        <v>2159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3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str">
        <f t="shared" si="140"/>
        <v/>
      </c>
      <c r="DB262" s="10">
        <v>1146742</v>
      </c>
      <c r="DE262" s="10">
        <v>1126402</v>
      </c>
      <c r="DF262" s="10" t="s">
        <v>2224</v>
      </c>
      <c r="DG262" s="10" t="s">
        <v>2224</v>
      </c>
      <c r="DH262" s="10">
        <v>16</v>
      </c>
      <c r="DI262" s="10">
        <v>1613</v>
      </c>
      <c r="DJ262" s="10" t="s">
        <v>1488</v>
      </c>
      <c r="DL262" s="10" t="s">
        <v>2225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0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 t="str">
        <f t="shared" si="117"/>
        <v/>
      </c>
      <c r="EP262" t="str">
        <f t="shared" si="118"/>
        <v/>
      </c>
      <c r="ES262" t="str">
        <f t="shared" si="119"/>
        <v/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3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str">
        <f t="shared" si="140"/>
        <v/>
      </c>
      <c r="DB263" s="10">
        <v>1100739</v>
      </c>
      <c r="DE263" s="10">
        <v>1100753</v>
      </c>
      <c r="DF263" s="10" t="s">
        <v>2248</v>
      </c>
      <c r="DG263" s="10" t="s">
        <v>2248</v>
      </c>
      <c r="DH263" s="10">
        <v>16</v>
      </c>
      <c r="DI263" s="10">
        <v>1608</v>
      </c>
      <c r="DJ263" s="10" t="s">
        <v>1488</v>
      </c>
      <c r="DL263" s="10" t="s">
        <v>2072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3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str">
        <f t="shared" si="140"/>
        <v/>
      </c>
      <c r="DB264" s="10">
        <v>1261615</v>
      </c>
      <c r="DE264" s="10">
        <v>1220688</v>
      </c>
      <c r="DF264" s="10" t="s">
        <v>2251</v>
      </c>
      <c r="DG264" s="10" t="s">
        <v>2251</v>
      </c>
      <c r="DH264" s="10">
        <v>10</v>
      </c>
      <c r="DI264" s="10">
        <v>1005</v>
      </c>
      <c r="DJ264" s="10" t="s">
        <v>1983</v>
      </c>
      <c r="DL264" s="10" t="s">
        <v>2159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3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str">
        <f t="shared" si="140"/>
        <v/>
      </c>
      <c r="DB265" s="10">
        <v>1163820</v>
      </c>
      <c r="DE265" s="10">
        <v>1189972</v>
      </c>
      <c r="DF265" s="10" t="s">
        <v>2267</v>
      </c>
      <c r="DG265" s="10" t="s">
        <v>2267</v>
      </c>
      <c r="DH265" s="10">
        <v>12</v>
      </c>
      <c r="DI265" s="10" t="s">
        <v>2268</v>
      </c>
      <c r="DJ265" s="10" t="s">
        <v>2269</v>
      </c>
      <c r="DL265" s="10" t="s">
        <v>2061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3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str">
        <f t="shared" si="140"/>
        <v/>
      </c>
      <c r="DB266" s="10">
        <v>653400</v>
      </c>
      <c r="DE266" s="10">
        <v>1228929</v>
      </c>
      <c r="DF266" s="10" t="s">
        <v>2270</v>
      </c>
      <c r="DG266" s="10" t="s">
        <v>2270</v>
      </c>
      <c r="DH266" s="10">
        <v>13</v>
      </c>
      <c r="DI266" s="10">
        <v>1313</v>
      </c>
      <c r="DJ266" s="10" t="s">
        <v>2271</v>
      </c>
      <c r="DL266" s="10" t="s">
        <v>1985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3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str">
        <f t="shared" si="140"/>
        <v/>
      </c>
      <c r="DB267" s="10">
        <v>1288721</v>
      </c>
      <c r="DE267" s="10">
        <v>1165838</v>
      </c>
      <c r="DF267" s="10" t="s">
        <v>2272</v>
      </c>
      <c r="DG267" s="10" t="s">
        <v>2272</v>
      </c>
      <c r="DH267" s="10">
        <v>13</v>
      </c>
      <c r="DI267" s="10">
        <v>1313</v>
      </c>
      <c r="DJ267" s="10" t="s">
        <v>2025</v>
      </c>
      <c r="DL267" s="10" t="s">
        <v>1985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3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str">
        <f t="shared" si="140"/>
        <v/>
      </c>
      <c r="DB268" s="10">
        <v>1290837</v>
      </c>
      <c r="DE268" s="10">
        <v>1071262</v>
      </c>
      <c r="DF268" s="10" t="s">
        <v>2273</v>
      </c>
      <c r="DG268" s="10" t="s">
        <v>2273</v>
      </c>
      <c r="DH268" s="10">
        <v>13</v>
      </c>
      <c r="DI268" s="10">
        <v>1308</v>
      </c>
      <c r="DJ268" s="10" t="s">
        <v>2274</v>
      </c>
      <c r="DL268" s="10" t="s">
        <v>2066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3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str">
        <f t="shared" si="140"/>
        <v/>
      </c>
      <c r="DB269" s="10">
        <v>1263929</v>
      </c>
      <c r="DE269" s="10">
        <v>1146742</v>
      </c>
      <c r="DF269" s="10" t="s">
        <v>2288</v>
      </c>
      <c r="DG269" s="10" t="s">
        <v>2288</v>
      </c>
      <c r="DH269" s="10">
        <v>19</v>
      </c>
      <c r="DI269" s="10">
        <v>1913</v>
      </c>
      <c r="DJ269" s="10" t="s">
        <v>1231</v>
      </c>
      <c r="DL269" s="10" t="s">
        <v>2278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3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str">
        <f t="shared" si="140"/>
        <v/>
      </c>
      <c r="DB270" s="10">
        <v>2001060</v>
      </c>
      <c r="DE270" s="10">
        <v>1100739</v>
      </c>
      <c r="DF270" s="10" t="s">
        <v>2290</v>
      </c>
      <c r="DG270" s="10" t="s">
        <v>2290</v>
      </c>
      <c r="DH270" s="10">
        <v>16</v>
      </c>
      <c r="DI270" s="10">
        <v>1608</v>
      </c>
      <c r="DJ270" s="10" t="s">
        <v>1231</v>
      </c>
      <c r="DL270" s="10" t="s">
        <v>2072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3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str">
        <f t="shared" si="140"/>
        <v/>
      </c>
      <c r="DB271" s="10">
        <v>1288783</v>
      </c>
      <c r="DE271" s="10">
        <v>1261615</v>
      </c>
      <c r="DF271" s="10" t="s">
        <v>2293</v>
      </c>
      <c r="DG271" s="10" t="s">
        <v>2293</v>
      </c>
      <c r="DH271" s="10">
        <v>16</v>
      </c>
      <c r="DI271" s="10">
        <v>1613</v>
      </c>
      <c r="DJ271" s="10" t="s">
        <v>2294</v>
      </c>
      <c r="DL271" s="10" t="s">
        <v>1985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3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str">
        <f t="shared" si="140"/>
        <v/>
      </c>
      <c r="DB272" s="10">
        <v>1282369</v>
      </c>
      <c r="DE272" s="10">
        <v>1163820</v>
      </c>
      <c r="DF272" s="10" t="s">
        <v>2295</v>
      </c>
      <c r="DG272" s="10" t="s">
        <v>2295</v>
      </c>
      <c r="DH272" s="10">
        <v>16</v>
      </c>
      <c r="DI272" s="10">
        <v>1613</v>
      </c>
      <c r="DJ272" s="10" t="s">
        <v>1994</v>
      </c>
      <c r="DL272" s="10" t="s">
        <v>2072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3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str">
        <f t="shared" si="140"/>
        <v/>
      </c>
      <c r="DB273" s="10">
        <v>1186963</v>
      </c>
      <c r="DE273" s="10">
        <v>653400</v>
      </c>
      <c r="DF273" s="10" t="s">
        <v>2304</v>
      </c>
      <c r="DG273" s="10" t="s">
        <v>2304</v>
      </c>
      <c r="DH273" s="10">
        <v>13</v>
      </c>
      <c r="DI273" s="10" t="s">
        <v>2043</v>
      </c>
      <c r="DJ273" s="10" t="s">
        <v>101</v>
      </c>
      <c r="DL273" s="10" t="s">
        <v>2072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3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str">
        <f t="shared" si="140"/>
        <v/>
      </c>
      <c r="DB274" s="10">
        <v>2013726</v>
      </c>
      <c r="DE274" s="10">
        <v>1288721</v>
      </c>
      <c r="DF274" s="10" t="s">
        <v>2313</v>
      </c>
      <c r="DG274" s="10" t="s">
        <v>2313</v>
      </c>
      <c r="DH274" s="10">
        <v>16</v>
      </c>
      <c r="DI274" s="10">
        <v>1613</v>
      </c>
      <c r="DJ274" s="10" t="s">
        <v>2314</v>
      </c>
      <c r="DL274" s="10" t="s">
        <v>2225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3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str">
        <f t="shared" si="140"/>
        <v/>
      </c>
      <c r="DB275" s="10">
        <v>1201518</v>
      </c>
      <c r="DE275" s="10">
        <v>1290837</v>
      </c>
      <c r="DF275" s="10" t="s">
        <v>2318</v>
      </c>
      <c r="DG275" s="10" t="s">
        <v>2318</v>
      </c>
      <c r="DH275" s="10">
        <v>16</v>
      </c>
      <c r="DI275" s="10">
        <v>1613</v>
      </c>
      <c r="DJ275" s="10" t="s">
        <v>2319</v>
      </c>
      <c r="DL275" s="10" t="s">
        <v>1985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3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str">
        <f t="shared" si="140"/>
        <v/>
      </c>
      <c r="DB276" s="10">
        <v>1255773</v>
      </c>
      <c r="DE276" s="10">
        <v>1263929</v>
      </c>
      <c r="DF276" s="10" t="s">
        <v>2320</v>
      </c>
      <c r="DG276" s="10" t="s">
        <v>2320</v>
      </c>
      <c r="DH276" s="10">
        <v>16</v>
      </c>
      <c r="DI276" s="10">
        <v>1613</v>
      </c>
      <c r="DJ276" s="10" t="s">
        <v>2321</v>
      </c>
      <c r="DL276" s="10" t="s">
        <v>2225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3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str">
        <f t="shared" si="140"/>
        <v/>
      </c>
      <c r="DB277" s="10">
        <v>1168064</v>
      </c>
      <c r="DE277" s="10">
        <v>2001060</v>
      </c>
      <c r="DF277" s="10" t="s">
        <v>2362</v>
      </c>
      <c r="DG277" s="10" t="s">
        <v>2362</v>
      </c>
      <c r="DH277" s="10">
        <v>16</v>
      </c>
      <c r="DI277" s="10">
        <v>1613</v>
      </c>
      <c r="DJ277" s="10" t="s">
        <v>2341</v>
      </c>
      <c r="DL277" s="10" t="s">
        <v>2159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3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str">
        <f t="shared" si="140"/>
        <v/>
      </c>
      <c r="DB278" s="10">
        <v>1296685</v>
      </c>
      <c r="DE278" s="10">
        <v>1288783</v>
      </c>
      <c r="DF278" s="10" t="s">
        <v>2340</v>
      </c>
      <c r="DG278" s="10" t="s">
        <v>2340</v>
      </c>
      <c r="DH278" s="10">
        <v>16</v>
      </c>
      <c r="DI278" s="10">
        <v>1613</v>
      </c>
      <c r="DJ278" s="10" t="s">
        <v>2342</v>
      </c>
      <c r="DL278" s="10" t="s">
        <v>2165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3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str">
        <f t="shared" si="140"/>
        <v/>
      </c>
      <c r="DB279" s="10">
        <v>2001155</v>
      </c>
      <c r="DE279" s="10">
        <v>1282369</v>
      </c>
      <c r="DF279" s="10" t="s">
        <v>2346</v>
      </c>
      <c r="DG279" s="10" t="s">
        <v>2346</v>
      </c>
      <c r="DH279" s="10">
        <v>13</v>
      </c>
      <c r="DI279" s="10">
        <v>1313</v>
      </c>
      <c r="DJ279" s="10" t="s">
        <v>2347</v>
      </c>
      <c r="DL279" s="10" t="s">
        <v>2159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3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str">
        <f t="shared" si="140"/>
        <v/>
      </c>
      <c r="DB280" s="10">
        <v>1100694</v>
      </c>
      <c r="DE280" s="10">
        <v>1186963</v>
      </c>
      <c r="DF280" s="10" t="s">
        <v>2348</v>
      </c>
      <c r="DG280" s="10" t="s">
        <v>2348</v>
      </c>
      <c r="DH280" s="10">
        <v>13</v>
      </c>
      <c r="DI280" s="10">
        <v>1313</v>
      </c>
      <c r="DJ280" s="10" t="s">
        <v>2349</v>
      </c>
      <c r="DL280" s="10" t="s">
        <v>2350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35">
      <c r="D281" s="671"/>
      <c r="L281" s="10" t="s">
        <v>1928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str">
        <f t="shared" si="140"/>
        <v/>
      </c>
      <c r="DB281" s="10">
        <v>1192901</v>
      </c>
      <c r="DE281" s="10">
        <v>2013726</v>
      </c>
      <c r="DF281" s="10" t="s">
        <v>2352</v>
      </c>
      <c r="DG281" s="10" t="s">
        <v>2352</v>
      </c>
      <c r="DH281" s="10">
        <v>19</v>
      </c>
      <c r="DI281" s="10">
        <v>1913</v>
      </c>
      <c r="DJ281" s="10" t="s">
        <v>2173</v>
      </c>
      <c r="DL281" s="10" t="s">
        <v>2225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3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str">
        <f t="shared" si="140"/>
        <v/>
      </c>
      <c r="DB282" s="10">
        <v>1201518</v>
      </c>
      <c r="DE282" s="10">
        <v>1255773</v>
      </c>
      <c r="DF282" s="10" t="s">
        <v>2367</v>
      </c>
      <c r="DG282" s="10" t="s">
        <v>2354</v>
      </c>
      <c r="DH282" s="10">
        <v>16</v>
      </c>
      <c r="DI282" s="10">
        <v>1613</v>
      </c>
      <c r="DJ282" s="10" t="s">
        <v>1990</v>
      </c>
      <c r="DL282" s="10" t="s">
        <v>2355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3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str">
        <f t="shared" si="140"/>
        <v/>
      </c>
      <c r="DB283" s="10">
        <v>1274176</v>
      </c>
      <c r="DE283" s="10">
        <v>1168064</v>
      </c>
      <c r="DF283" s="10" t="s">
        <v>2356</v>
      </c>
      <c r="DG283" s="10" t="s">
        <v>2356</v>
      </c>
      <c r="DH283" s="10">
        <v>16</v>
      </c>
      <c r="DI283" s="10">
        <v>1613</v>
      </c>
      <c r="DJ283" s="10" t="s">
        <v>2357</v>
      </c>
      <c r="DL283" s="10" t="s">
        <v>2165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3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str">
        <f t="shared" si="140"/>
        <v/>
      </c>
      <c r="DB284" s="10">
        <v>1272937</v>
      </c>
      <c r="DE284" s="10">
        <v>1201518</v>
      </c>
      <c r="DF284" s="10" t="s">
        <v>2358</v>
      </c>
      <c r="DG284" s="10" t="s">
        <v>2358</v>
      </c>
      <c r="DH284" s="10">
        <v>12</v>
      </c>
      <c r="DI284" s="10">
        <v>12</v>
      </c>
      <c r="DJ284" s="10" t="s">
        <v>2359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35">
      <c r="D285" s="671"/>
      <c r="L285" s="10" t="s">
        <v>2074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str">
        <f t="shared" si="140"/>
        <v/>
      </c>
      <c r="DB285" s="10">
        <v>1282370</v>
      </c>
      <c r="DE285" s="10">
        <v>1296685</v>
      </c>
      <c r="DF285" s="10" t="s">
        <v>2366</v>
      </c>
      <c r="DG285" s="10" t="s">
        <v>2360</v>
      </c>
      <c r="DH285" s="10">
        <v>16</v>
      </c>
      <c r="DI285" s="10">
        <v>1613</v>
      </c>
      <c r="DJ285" s="10" t="s">
        <v>2361</v>
      </c>
      <c r="DL285" s="10" t="s">
        <v>1985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35">
      <c r="D286" s="671"/>
      <c r="L286" s="10" t="s">
        <v>1929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str">
        <f t="shared" si="140"/>
        <v/>
      </c>
      <c r="DB286" s="10">
        <v>2002243</v>
      </c>
      <c r="DE286" s="10">
        <v>2001155</v>
      </c>
      <c r="DF286" s="10" t="s">
        <v>2368</v>
      </c>
      <c r="DG286" s="10" t="s">
        <v>2368</v>
      </c>
      <c r="DH286" s="10">
        <v>13</v>
      </c>
      <c r="DI286" s="10">
        <v>1313</v>
      </c>
      <c r="DJ286" s="10" t="s">
        <v>2341</v>
      </c>
      <c r="DL286" s="10" t="s">
        <v>2159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 t="str">
        <f t="shared" si="148"/>
        <v/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3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str">
        <f t="shared" si="140"/>
        <v/>
      </c>
      <c r="DB287" s="10">
        <v>2004484</v>
      </c>
      <c r="DE287" s="10">
        <v>1100694</v>
      </c>
      <c r="DF287" s="10" t="s">
        <v>2369</v>
      </c>
      <c r="DG287" s="10" t="s">
        <v>2369</v>
      </c>
      <c r="DH287" s="10">
        <v>13</v>
      </c>
      <c r="DI287" s="10">
        <v>1308</v>
      </c>
      <c r="DJ287" s="10" t="s">
        <v>1231</v>
      </c>
      <c r="DL287" s="10" t="s">
        <v>2066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3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str">
        <f t="shared" si="140"/>
        <v/>
      </c>
      <c r="DB288" s="10">
        <v>2002299</v>
      </c>
      <c r="DE288" s="10">
        <v>1272937</v>
      </c>
      <c r="DF288" s="10" t="s">
        <v>2371</v>
      </c>
      <c r="DG288" s="10" t="s">
        <v>2371</v>
      </c>
      <c r="DH288" s="10">
        <v>13</v>
      </c>
      <c r="DI288" s="10">
        <v>1313</v>
      </c>
      <c r="DJ288" s="10" t="s">
        <v>2372</v>
      </c>
      <c r="DL288" s="10" t="s">
        <v>2165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3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str">
        <f t="shared" si="140"/>
        <v/>
      </c>
      <c r="DB289" s="10">
        <v>1282369</v>
      </c>
      <c r="DE289" s="10">
        <v>1274176</v>
      </c>
      <c r="DF289" s="10" t="s">
        <v>2373</v>
      </c>
      <c r="DG289" s="10" t="s">
        <v>2373</v>
      </c>
      <c r="DH289" s="10">
        <v>16</v>
      </c>
      <c r="DI289" s="10">
        <v>1613</v>
      </c>
      <c r="DJ289" s="10" t="s">
        <v>2374</v>
      </c>
      <c r="DL289" s="10" t="s">
        <v>2376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3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str">
        <f t="shared" si="140"/>
        <v/>
      </c>
      <c r="DB290" s="10">
        <v>2002244</v>
      </c>
      <c r="DE290" s="10">
        <v>1192901</v>
      </c>
      <c r="DF290" s="10" t="s">
        <v>2375</v>
      </c>
      <c r="DG290" s="10" t="s">
        <v>2375</v>
      </c>
      <c r="DH290" s="10">
        <v>12</v>
      </c>
      <c r="DI290" s="10" t="s">
        <v>2268</v>
      </c>
      <c r="DJ290" s="10" t="s">
        <v>2175</v>
      </c>
      <c r="DL290" s="10" t="s">
        <v>2061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3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str">
        <f t="shared" si="140"/>
        <v/>
      </c>
      <c r="DB291" s="10">
        <v>1228501</v>
      </c>
      <c r="DE291" s="10">
        <v>1282370</v>
      </c>
      <c r="DF291" s="10" t="s">
        <v>2415</v>
      </c>
      <c r="DG291" s="10" t="s">
        <v>2415</v>
      </c>
      <c r="DH291" s="10">
        <v>16</v>
      </c>
      <c r="DI291" s="10">
        <v>1613</v>
      </c>
      <c r="DJ291" s="10" t="s">
        <v>2416</v>
      </c>
      <c r="DL291" s="10" t="s">
        <v>2159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3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str">
        <f t="shared" si="140"/>
        <v/>
      </c>
      <c r="DB292" s="10">
        <v>1199265</v>
      </c>
      <c r="DE292" s="10">
        <v>2002243</v>
      </c>
      <c r="DF292" s="10" t="s">
        <v>2419</v>
      </c>
      <c r="DG292" s="10" t="s">
        <v>2419</v>
      </c>
      <c r="DH292" s="10">
        <v>13</v>
      </c>
      <c r="DI292" s="10">
        <v>1308</v>
      </c>
      <c r="DJ292" s="10" t="s">
        <v>2417</v>
      </c>
      <c r="DL292" s="10" t="s">
        <v>2159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35">
      <c r="D293" s="671"/>
      <c r="L293" s="10" t="s">
        <v>1930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str">
        <f t="shared" si="140"/>
        <v/>
      </c>
      <c r="DB293" s="10">
        <v>2002186</v>
      </c>
      <c r="DE293" s="10">
        <v>2004484</v>
      </c>
      <c r="DF293" s="10" t="s">
        <v>2420</v>
      </c>
      <c r="DG293" s="10" t="s">
        <v>2420</v>
      </c>
      <c r="DH293" s="10">
        <v>13</v>
      </c>
      <c r="DI293" s="10">
        <v>1308</v>
      </c>
      <c r="DJ293" s="10" t="s">
        <v>2418</v>
      </c>
      <c r="DL293" s="10" t="s">
        <v>2159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3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str">
        <f t="shared" si="140"/>
        <v/>
      </c>
      <c r="DB294" s="10">
        <v>1172481</v>
      </c>
      <c r="DE294" s="10">
        <v>2002299</v>
      </c>
      <c r="DF294" s="10" t="s">
        <v>2421</v>
      </c>
      <c r="DG294" s="10" t="s">
        <v>2421</v>
      </c>
      <c r="DH294" s="10">
        <v>16</v>
      </c>
      <c r="DI294" s="10">
        <v>1613</v>
      </c>
      <c r="DJ294" s="10" t="s">
        <v>2418</v>
      </c>
      <c r="DL294" s="10" t="s">
        <v>2159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35">
      <c r="D295" s="671"/>
      <c r="L295" s="10" t="s">
        <v>1931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str">
        <f t="shared" si="140"/>
        <v/>
      </c>
      <c r="DB295" s="1125">
        <v>1192902</v>
      </c>
      <c r="DE295" s="10">
        <v>2002244</v>
      </c>
      <c r="DF295" s="10" t="s">
        <v>2425</v>
      </c>
      <c r="DG295" s="10" t="s">
        <v>2425</v>
      </c>
      <c r="DH295" s="10">
        <v>13</v>
      </c>
      <c r="DI295" s="10">
        <v>1313</v>
      </c>
      <c r="DJ295" s="10" t="s">
        <v>2417</v>
      </c>
      <c r="DL295" s="10" t="s">
        <v>2159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3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str">
        <f t="shared" si="140"/>
        <v/>
      </c>
      <c r="DE296" s="10">
        <v>1228501</v>
      </c>
      <c r="DF296" s="10" t="s">
        <v>2427</v>
      </c>
      <c r="DG296" s="10" t="s">
        <v>2427</v>
      </c>
      <c r="DH296" s="10">
        <v>16</v>
      </c>
      <c r="DI296" s="10">
        <v>1618</v>
      </c>
      <c r="DJ296" s="10" t="s">
        <v>1232</v>
      </c>
      <c r="DL296" s="10" t="s">
        <v>2159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3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str">
        <f t="shared" si="140"/>
        <v/>
      </c>
      <c r="DE297" s="10">
        <v>1199265</v>
      </c>
      <c r="DF297" s="10" t="s">
        <v>2515</v>
      </c>
      <c r="DG297" s="10" t="s">
        <v>2515</v>
      </c>
      <c r="DH297" s="10">
        <v>16</v>
      </c>
      <c r="DI297" s="10">
        <v>1613</v>
      </c>
      <c r="DJ297" s="10" t="s">
        <v>2133</v>
      </c>
      <c r="DL297" s="10" t="s">
        <v>2072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3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str">
        <f t="shared" si="140"/>
        <v/>
      </c>
      <c r="DE298" s="10">
        <v>1100740</v>
      </c>
      <c r="DF298" s="10" t="s">
        <v>2516</v>
      </c>
      <c r="DG298" s="10" t="s">
        <v>2516</v>
      </c>
      <c r="DH298" s="10">
        <v>16</v>
      </c>
      <c r="DI298" s="10">
        <v>1613</v>
      </c>
      <c r="DJ298" s="10" t="s">
        <v>1231</v>
      </c>
      <c r="DL298" s="10" t="s">
        <v>2066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3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str">
        <f t="shared" si="140"/>
        <v/>
      </c>
      <c r="DE299" s="10">
        <v>2002186</v>
      </c>
      <c r="DF299" s="10" t="s">
        <v>2518</v>
      </c>
      <c r="DG299" s="10" t="s">
        <v>2518</v>
      </c>
      <c r="DH299" s="10">
        <v>13</v>
      </c>
      <c r="DI299" s="10">
        <v>1313</v>
      </c>
      <c r="DJ299" s="10" t="s">
        <v>2418</v>
      </c>
      <c r="DL299" s="10" t="s">
        <v>2159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3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str">
        <f t="shared" si="140"/>
        <v/>
      </c>
      <c r="DE300" s="10">
        <v>1172481</v>
      </c>
      <c r="DF300" s="10" t="s">
        <v>2523</v>
      </c>
      <c r="DG300" s="10" t="s">
        <v>2523</v>
      </c>
      <c r="DH300" s="10">
        <v>13</v>
      </c>
      <c r="DI300" s="10">
        <v>13</v>
      </c>
      <c r="DJ300" s="10" t="s">
        <v>2522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3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str">
        <f t="shared" si="140"/>
        <v/>
      </c>
      <c r="DE301" s="10">
        <v>1192902</v>
      </c>
      <c r="DF301" s="10" t="s">
        <v>2528</v>
      </c>
      <c r="DG301" s="10" t="s">
        <v>2528</v>
      </c>
      <c r="DH301" s="10">
        <v>12</v>
      </c>
      <c r="DI301" s="10">
        <v>12</v>
      </c>
      <c r="DJ301" s="10" t="s">
        <v>2529</v>
      </c>
      <c r="DO301" s="10">
        <v>360</v>
      </c>
      <c r="DR301" s="10" t="str">
        <f t="shared" ref="DR301:DR302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35">
      <c r="L302" s="10" t="s">
        <v>1932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str">
        <f t="shared" si="140"/>
        <v/>
      </c>
      <c r="CQ302" s="1050"/>
      <c r="CR302" s="1051"/>
      <c r="CS302" s="1051"/>
      <c r="DE302" s="10">
        <v>1146737</v>
      </c>
      <c r="DF302" s="10" t="s">
        <v>2530</v>
      </c>
      <c r="DG302" s="10" t="s">
        <v>2530</v>
      </c>
      <c r="DH302" s="10">
        <v>16</v>
      </c>
      <c r="DI302" s="10">
        <v>1613</v>
      </c>
      <c r="DJ302" s="10" t="s">
        <v>1231</v>
      </c>
      <c r="DL302" s="10" t="s">
        <v>2225</v>
      </c>
      <c r="DO302" s="10">
        <v>497</v>
      </c>
      <c r="DR302" s="10" t="str">
        <f t="shared" si="170"/>
        <v xml:space="preserve">1613 CT418 </v>
      </c>
      <c r="DS302" s="37">
        <f t="shared" ref="DS302" si="189">DT302*1.3</f>
        <v>374.10880000000003</v>
      </c>
      <c r="DT302" s="10">
        <v>287.77600000000001</v>
      </c>
      <c r="DV302" s="10" t="s">
        <v>49</v>
      </c>
      <c r="DW302" s="10" t="s">
        <v>1590</v>
      </c>
      <c r="DX302" s="10">
        <v>30</v>
      </c>
      <c r="DY302" s="10" t="s">
        <v>1673</v>
      </c>
      <c r="DZ302" s="10" t="s">
        <v>1668</v>
      </c>
      <c r="EA302" s="10">
        <v>1</v>
      </c>
      <c r="EB302" s="10" t="s">
        <v>1513</v>
      </c>
      <c r="EC302" s="10">
        <v>662</v>
      </c>
      <c r="ED302" s="10" t="s">
        <v>1736</v>
      </c>
      <c r="EE302" s="10">
        <f t="shared" si="139"/>
        <v>0</v>
      </c>
      <c r="EF302">
        <f>ROWS($DE$2:DE302)</f>
        <v>301</v>
      </c>
      <c r="EG302" t="str">
        <f t="shared" ref="EG302" si="190">IF($CY$60&lt;&gt;0,IF($CY$60=DE302,EF302,""),"")</f>
        <v/>
      </c>
      <c r="EJ302" t="str">
        <f t="shared" ref="EJ302" si="191">IF($CY$61&lt;&gt;0,IF($CY$61=DE302,EF302,""),"")</f>
        <v/>
      </c>
      <c r="EM302" t="str">
        <f t="shared" ref="EM302" si="192">IF($CY$62&lt;&gt;0,IF($CY$62=DE302,EF302,""),"")</f>
        <v/>
      </c>
      <c r="EP302" t="str">
        <f t="shared" ref="EP302" si="193">IF($CY$63&lt;&gt;0,IF($CY$63=DE302,EF302,""),"")</f>
        <v/>
      </c>
      <c r="ES302" t="str">
        <f t="shared" ref="ES302" si="194">IF($CY$64&lt;&gt;0,IF($CY$64=DE302,EF302,""),"")</f>
        <v/>
      </c>
      <c r="EV302" t="str">
        <f t="shared" ref="EV302" si="195">IF($CY$65&lt;&gt;0,IF($CY$65=DE302,EF302,""),"")</f>
        <v/>
      </c>
      <c r="EY302" t="str">
        <f t="shared" ref="EY302" si="196">IF($CY$66&lt;&gt;0,IF($CY$66=DE302,EF302,""),"")</f>
        <v/>
      </c>
      <c r="FB302" t="str">
        <f t="shared" ref="FB302" si="197">IF($CY$67&lt;&gt;0,IF($CY$67=DE302,EF302,""),"")</f>
        <v/>
      </c>
      <c r="FE302" t="str">
        <f t="shared" ref="FE302" si="198">IF($CY$68&lt;&gt;0,IF($CY$68=DE302,EF302,""),"")</f>
        <v/>
      </c>
      <c r="FH302" t="str">
        <f t="shared" ref="FH302" si="199">IF($CY$69&lt;&gt;0,IF($CY$69=DE302,EF302,""),"")</f>
        <v/>
      </c>
      <c r="FK302" t="str">
        <f t="shared" ref="FK302" si="200">IF($CY$70&lt;&gt;0, IF($CY$70=DE302, EF302, ""), "")</f>
        <v/>
      </c>
      <c r="FN302" t="str">
        <f t="shared" ref="FN302" si="201">IF($CY$71&lt;&gt;0, IF($CY$71=DE302, EF302, ""), "")</f>
        <v/>
      </c>
      <c r="FQ302" t="str">
        <f t="shared" ref="FQ302" si="202">IF($CY$72&lt;&gt;0, IF($CY$72=DE302, EF302, ""), "")</f>
        <v/>
      </c>
      <c r="FT302" t="str">
        <f t="shared" ref="FT302" si="203">IF($CY$73&lt;&gt;0, IF($CY$73=DE302, EF302, ""), "")</f>
        <v/>
      </c>
      <c r="FW302" t="str">
        <f t="shared" ref="FW302" si="204">IF($CY$74&lt;&gt;0, IF($CY$74=DE302, EF302, ""), "")</f>
        <v/>
      </c>
      <c r="FZ302" t="str">
        <f t="shared" ref="FZ302" si="205">IF($CY$75&lt;&gt;0, IF($CY$75=DE302, EF302, ""), "")</f>
        <v/>
      </c>
      <c r="GC302" t="str">
        <f t="shared" ref="GC302" si="206">IF($CY$76&lt;&gt;0, IF($CY$76=DE302, EF302, ""), "")</f>
        <v/>
      </c>
      <c r="GE302" s="155"/>
    </row>
    <row r="303" spans="4:187" ht="15" customHeight="1" x14ac:dyDescent="0.3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str">
        <f t="shared" ref="BG303:BG366" si="207">IF(VALUE(SUBSTITUTE($B$5,"M",""))=U303,BF303,"")</f>
        <v/>
      </c>
      <c r="CQ303" s="1049"/>
      <c r="CR303" s="1048"/>
      <c r="CS303" s="1048"/>
    </row>
    <row r="304" spans="4:187" ht="15" customHeight="1" x14ac:dyDescent="0.3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str">
        <f t="shared" si="207"/>
        <v/>
      </c>
    </row>
    <row r="305" spans="12:105" ht="15" customHeight="1" x14ac:dyDescent="0.35">
      <c r="L305" s="10" t="s">
        <v>1933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str">
        <f t="shared" si="207"/>
        <v/>
      </c>
      <c r="CZ305" s="1049"/>
      <c r="DA305" s="1048"/>
    </row>
    <row r="306" spans="12:105" ht="15" customHeight="1" x14ac:dyDescent="0.3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str">
        <f t="shared" si="207"/>
        <v/>
      </c>
    </row>
    <row r="307" spans="12:105" ht="15" customHeight="1" x14ac:dyDescent="0.3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str">
        <f t="shared" si="207"/>
        <v/>
      </c>
    </row>
    <row r="308" spans="12:105" ht="15" customHeight="1" x14ac:dyDescent="0.3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str">
        <f t="shared" si="207"/>
        <v/>
      </c>
    </row>
    <row r="309" spans="12:105" ht="15.75" customHeight="1" x14ac:dyDescent="0.3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str">
        <f t="shared" si="207"/>
        <v/>
      </c>
    </row>
    <row r="310" spans="12:105" ht="15" customHeight="1" x14ac:dyDescent="0.3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str">
        <f t="shared" si="207"/>
        <v/>
      </c>
    </row>
    <row r="311" spans="12:105" ht="15" customHeight="1" x14ac:dyDescent="0.3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str">
        <f t="shared" si="207"/>
        <v/>
      </c>
    </row>
    <row r="312" spans="12:105" ht="15" customHeight="1" x14ac:dyDescent="0.3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str">
        <f t="shared" si="207"/>
        <v/>
      </c>
    </row>
    <row r="313" spans="12:105" ht="15" customHeight="1" x14ac:dyDescent="0.3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str">
        <f t="shared" si="207"/>
        <v/>
      </c>
    </row>
    <row r="314" spans="12:105" ht="15" customHeight="1" x14ac:dyDescent="0.3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str">
        <f t="shared" si="207"/>
        <v/>
      </c>
    </row>
    <row r="315" spans="12:105" ht="15" customHeight="1" x14ac:dyDescent="0.3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str">
        <f t="shared" si="207"/>
        <v/>
      </c>
    </row>
    <row r="316" spans="12:105" ht="15" customHeight="1" x14ac:dyDescent="0.3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str">
        <f t="shared" si="207"/>
        <v/>
      </c>
    </row>
    <row r="317" spans="12:105" ht="15.75" customHeight="1" x14ac:dyDescent="0.3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str">
        <f t="shared" si="207"/>
        <v/>
      </c>
    </row>
    <row r="318" spans="12:105" ht="15" customHeight="1" x14ac:dyDescent="0.3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str">
        <f t="shared" si="207"/>
        <v/>
      </c>
    </row>
    <row r="319" spans="12:105" ht="15" customHeight="1" x14ac:dyDescent="0.3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str">
        <f t="shared" si="207"/>
        <v/>
      </c>
    </row>
    <row r="320" spans="12:105" ht="15" customHeight="1" x14ac:dyDescent="0.3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str">
        <f t="shared" si="207"/>
        <v/>
      </c>
    </row>
    <row r="321" spans="12:59" ht="15" customHeight="1" x14ac:dyDescent="0.3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str">
        <f t="shared" si="207"/>
        <v/>
      </c>
    </row>
    <row r="322" spans="12:59" ht="15" customHeight="1" x14ac:dyDescent="0.3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str">
        <f t="shared" si="207"/>
        <v/>
      </c>
    </row>
    <row r="323" spans="12:59" ht="15" customHeight="1" x14ac:dyDescent="0.3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str">
        <f t="shared" si="207"/>
        <v/>
      </c>
    </row>
    <row r="324" spans="12:59" ht="15" customHeight="1" x14ac:dyDescent="0.35">
      <c r="L324" s="10" t="s">
        <v>1980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str">
        <f t="shared" si="207"/>
        <v/>
      </c>
    </row>
    <row r="325" spans="12:59" ht="15.75" customHeight="1" x14ac:dyDescent="0.3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str">
        <f t="shared" si="207"/>
        <v/>
      </c>
    </row>
    <row r="326" spans="12:59" ht="15" customHeight="1" thickBot="1" x14ac:dyDescent="0.4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str">
        <f t="shared" si="207"/>
        <v/>
      </c>
    </row>
    <row r="327" spans="12:59" ht="15" customHeight="1" x14ac:dyDescent="0.3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str">
        <f t="shared" si="207"/>
        <v/>
      </c>
    </row>
    <row r="328" spans="12:59" ht="15" customHeight="1" x14ac:dyDescent="0.3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str">
        <f t="shared" si="207"/>
        <v/>
      </c>
    </row>
    <row r="329" spans="12:59" ht="15" customHeight="1" x14ac:dyDescent="0.3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str">
        <f t="shared" si="207"/>
        <v/>
      </c>
    </row>
    <row r="330" spans="12:59" ht="15" customHeight="1" x14ac:dyDescent="0.3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str">
        <f t="shared" si="207"/>
        <v/>
      </c>
    </row>
    <row r="331" spans="12:59" ht="15.75" customHeight="1" x14ac:dyDescent="0.3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str">
        <f t="shared" si="207"/>
        <v/>
      </c>
    </row>
    <row r="332" spans="12:59" ht="15" customHeight="1" x14ac:dyDescent="0.35">
      <c r="L332" s="10" t="s">
        <v>2139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str">
        <f t="shared" si="207"/>
        <v/>
      </c>
    </row>
    <row r="333" spans="12:59" ht="15" customHeight="1" x14ac:dyDescent="0.3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str">
        <f t="shared" si="207"/>
        <v/>
      </c>
    </row>
    <row r="334" spans="12:59" ht="15" customHeight="1" thickBot="1" x14ac:dyDescent="0.4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str">
        <f t="shared" si="207"/>
        <v/>
      </c>
    </row>
    <row r="335" spans="12:59" ht="15" customHeight="1" x14ac:dyDescent="0.35">
      <c r="L335" s="10" t="s">
        <v>2101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str">
        <f t="shared" si="207"/>
        <v/>
      </c>
    </row>
    <row r="336" spans="12:59" ht="15" customHeight="1" x14ac:dyDescent="0.3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str">
        <f t="shared" si="207"/>
        <v/>
      </c>
    </row>
    <row r="337" spans="12:59" ht="15" customHeight="1" x14ac:dyDescent="0.3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str">
        <f t="shared" si="207"/>
        <v/>
      </c>
    </row>
    <row r="338" spans="12:59" ht="15.75" customHeight="1" x14ac:dyDescent="0.3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str">
        <f t="shared" si="207"/>
        <v/>
      </c>
    </row>
    <row r="339" spans="12:59" ht="15" customHeight="1" x14ac:dyDescent="0.3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str">
        <f t="shared" si="207"/>
        <v/>
      </c>
    </row>
    <row r="340" spans="12:59" ht="15" customHeight="1" x14ac:dyDescent="0.3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str">
        <f t="shared" si="207"/>
        <v/>
      </c>
    </row>
    <row r="341" spans="12:59" ht="15" customHeight="1" x14ac:dyDescent="0.3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str">
        <f t="shared" si="207"/>
        <v/>
      </c>
    </row>
    <row r="342" spans="12:59" ht="15" customHeight="1" thickBot="1" x14ac:dyDescent="0.4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str">
        <f t="shared" si="207"/>
        <v/>
      </c>
    </row>
    <row r="343" spans="12:59" ht="15.75" customHeight="1" x14ac:dyDescent="0.3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str">
        <f t="shared" si="207"/>
        <v/>
      </c>
    </row>
    <row r="344" spans="12:59" ht="15" customHeight="1" x14ac:dyDescent="0.3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str">
        <f t="shared" si="207"/>
        <v/>
      </c>
    </row>
    <row r="345" spans="12:59" ht="15" customHeight="1" x14ac:dyDescent="0.3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str">
        <f t="shared" si="207"/>
        <v/>
      </c>
    </row>
    <row r="346" spans="12:59" ht="15" customHeight="1" x14ac:dyDescent="0.3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str">
        <f t="shared" si="207"/>
        <v/>
      </c>
    </row>
    <row r="347" spans="12:59" ht="15" customHeight="1" x14ac:dyDescent="0.35">
      <c r="L347" s="10" t="s">
        <v>1946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str">
        <f t="shared" si="207"/>
        <v/>
      </c>
    </row>
    <row r="348" spans="12:59" ht="15" customHeight="1" thickBot="1" x14ac:dyDescent="0.4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str">
        <f t="shared" si="207"/>
        <v/>
      </c>
    </row>
    <row r="349" spans="12:59" ht="15" customHeight="1" x14ac:dyDescent="0.3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str">
        <f t="shared" si="207"/>
        <v/>
      </c>
    </row>
    <row r="350" spans="12:59" ht="15" customHeight="1" x14ac:dyDescent="0.3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str">
        <f t="shared" si="207"/>
        <v/>
      </c>
    </row>
    <row r="351" spans="12:59" ht="15.75" customHeight="1" x14ac:dyDescent="0.3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str">
        <f t="shared" si="207"/>
        <v/>
      </c>
    </row>
    <row r="352" spans="12:59" ht="15" customHeight="1" x14ac:dyDescent="0.3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str">
        <f t="shared" si="207"/>
        <v/>
      </c>
    </row>
    <row r="353" spans="12:59" ht="15" customHeight="1" thickBot="1" x14ac:dyDescent="0.4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str">
        <f t="shared" si="207"/>
        <v/>
      </c>
    </row>
    <row r="354" spans="12:59" ht="15" customHeight="1" x14ac:dyDescent="0.35">
      <c r="L354" s="10" t="s">
        <v>1485</v>
      </c>
      <c r="N354">
        <f t="shared" ref="N354:N359" si="208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str">
        <f t="shared" si="207"/>
        <v/>
      </c>
    </row>
    <row r="355" spans="12:59" ht="15" customHeight="1" x14ac:dyDescent="0.35">
      <c r="L355" s="10" t="s">
        <v>1381</v>
      </c>
      <c r="N355">
        <f t="shared" si="208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str">
        <f t="shared" si="207"/>
        <v/>
      </c>
    </row>
    <row r="356" spans="12:59" ht="15" customHeight="1" x14ac:dyDescent="0.35">
      <c r="L356" s="10" t="s">
        <v>1190</v>
      </c>
      <c r="N356">
        <f t="shared" si="208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str">
        <f t="shared" si="207"/>
        <v/>
      </c>
    </row>
    <row r="357" spans="12:59" ht="15" customHeight="1" x14ac:dyDescent="0.35">
      <c r="L357" s="10" t="s">
        <v>1394</v>
      </c>
      <c r="N357">
        <f t="shared" si="208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str">
        <f t="shared" si="207"/>
        <v/>
      </c>
    </row>
    <row r="358" spans="12:59" ht="15.75" customHeight="1" x14ac:dyDescent="0.35">
      <c r="L358" s="10" t="s">
        <v>1201</v>
      </c>
      <c r="N358">
        <f t="shared" si="208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str">
        <f t="shared" si="207"/>
        <v/>
      </c>
    </row>
    <row r="359" spans="12:59" ht="15" customHeight="1" x14ac:dyDescent="0.35">
      <c r="L359" s="10" t="s">
        <v>1208</v>
      </c>
      <c r="N359">
        <f t="shared" si="208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str">
        <f t="shared" si="207"/>
        <v/>
      </c>
    </row>
    <row r="360" spans="12:59" ht="15" customHeight="1" thickBot="1" x14ac:dyDescent="0.4">
      <c r="L360" s="10" t="s">
        <v>1962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str">
        <f t="shared" si="207"/>
        <v/>
      </c>
    </row>
    <row r="361" spans="12:59" ht="15" customHeight="1" x14ac:dyDescent="0.35">
      <c r="L361" s="10" t="s">
        <v>1947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str">
        <f t="shared" si="207"/>
        <v/>
      </c>
    </row>
    <row r="362" spans="12:59" ht="15" customHeight="1" x14ac:dyDescent="0.35">
      <c r="L362" s="10" t="s">
        <v>1922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str">
        <f t="shared" si="207"/>
        <v/>
      </c>
    </row>
    <row r="363" spans="12:59" ht="15" customHeight="1" x14ac:dyDescent="0.35">
      <c r="L363" s="10" t="s">
        <v>2099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str">
        <f t="shared" si="207"/>
        <v/>
      </c>
    </row>
    <row r="364" spans="12:59" ht="15.75" customHeight="1" x14ac:dyDescent="0.35">
      <c r="L364" s="10" t="s">
        <v>1949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str">
        <f t="shared" si="207"/>
        <v/>
      </c>
    </row>
    <row r="365" spans="12:59" ht="15" customHeight="1" x14ac:dyDescent="0.3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str">
        <f t="shared" si="207"/>
        <v/>
      </c>
    </row>
    <row r="366" spans="12:59" ht="15" customHeight="1" x14ac:dyDescent="0.3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str">
        <f t="shared" si="207"/>
        <v/>
      </c>
    </row>
    <row r="367" spans="12:59" ht="15" customHeight="1" x14ac:dyDescent="0.3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str">
        <f t="shared" ref="BG367:BG430" si="209">IF(VALUE(SUBSTITUTE($B$5,"M",""))=U367,BF367,"")</f>
        <v/>
      </c>
    </row>
    <row r="368" spans="12:59" ht="15" customHeight="1" thickBot="1" x14ac:dyDescent="0.4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str">
        <f t="shared" si="209"/>
        <v/>
      </c>
    </row>
    <row r="369" spans="12:59" ht="15" customHeight="1" x14ac:dyDescent="0.3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str">
        <f t="shared" si="209"/>
        <v/>
      </c>
    </row>
    <row r="370" spans="12:59" ht="15" customHeight="1" x14ac:dyDescent="0.35">
      <c r="L370" s="10" t="s">
        <v>2023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str">
        <f t="shared" si="209"/>
        <v/>
      </c>
    </row>
    <row r="371" spans="12:59" ht="15" customHeight="1" x14ac:dyDescent="0.35">
      <c r="L371" s="10" t="s">
        <v>2135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str">
        <f t="shared" si="209"/>
        <v/>
      </c>
    </row>
    <row r="372" spans="12:59" ht="15.75" customHeight="1" x14ac:dyDescent="0.3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str">
        <f t="shared" si="209"/>
        <v/>
      </c>
    </row>
    <row r="373" spans="12:59" ht="15" customHeight="1" x14ac:dyDescent="0.35">
      <c r="L373" s="10" t="s">
        <v>2077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str">
        <f t="shared" si="209"/>
        <v/>
      </c>
    </row>
    <row r="374" spans="12:59" ht="15" customHeight="1" x14ac:dyDescent="0.3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str">
        <f t="shared" si="209"/>
        <v/>
      </c>
    </row>
    <row r="375" spans="12:59" ht="15" customHeight="1" thickBot="1" x14ac:dyDescent="0.4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str">
        <f t="shared" si="209"/>
        <v/>
      </c>
    </row>
    <row r="376" spans="12:59" ht="15" customHeight="1" x14ac:dyDescent="0.3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str">
        <f t="shared" si="209"/>
        <v/>
      </c>
    </row>
    <row r="377" spans="12:59" ht="15" customHeight="1" x14ac:dyDescent="0.3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str">
        <f t="shared" si="209"/>
        <v/>
      </c>
    </row>
    <row r="378" spans="12:59" ht="15" customHeight="1" x14ac:dyDescent="0.3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str">
        <f t="shared" si="209"/>
        <v/>
      </c>
    </row>
    <row r="379" spans="12:59" ht="15" customHeight="1" x14ac:dyDescent="0.3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str">
        <f t="shared" si="209"/>
        <v/>
      </c>
    </row>
    <row r="380" spans="12:59" ht="15" customHeight="1" x14ac:dyDescent="0.3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str">
        <f t="shared" si="209"/>
        <v/>
      </c>
    </row>
    <row r="381" spans="12:59" ht="15" customHeight="1" thickBot="1" x14ac:dyDescent="0.4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str">
        <f t="shared" si="209"/>
        <v/>
      </c>
    </row>
    <row r="382" spans="12:59" ht="15" customHeight="1" x14ac:dyDescent="0.3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str">
        <f t="shared" si="209"/>
        <v/>
      </c>
    </row>
    <row r="383" spans="12:59" ht="15" customHeight="1" x14ac:dyDescent="0.35">
      <c r="L383" s="10" t="s">
        <v>1991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str">
        <f t="shared" si="209"/>
        <v/>
      </c>
    </row>
    <row r="384" spans="12:59" ht="15" customHeight="1" x14ac:dyDescent="0.3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str">
        <f t="shared" si="209"/>
        <v/>
      </c>
    </row>
    <row r="385" spans="12:59" ht="15" customHeight="1" x14ac:dyDescent="0.35">
      <c r="L385" s="10" t="s">
        <v>1924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str">
        <f t="shared" si="209"/>
        <v/>
      </c>
    </row>
    <row r="386" spans="12:59" ht="15" customHeight="1" x14ac:dyDescent="0.3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str">
        <f t="shared" si="209"/>
        <v/>
      </c>
    </row>
    <row r="387" spans="12:59" ht="15" customHeight="1" thickBot="1" x14ac:dyDescent="0.4">
      <c r="L387" s="10" t="s">
        <v>1969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str">
        <f t="shared" si="209"/>
        <v/>
      </c>
    </row>
    <row r="388" spans="12:59" ht="15" customHeight="1" x14ac:dyDescent="0.3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str">
        <f t="shared" si="209"/>
        <v/>
      </c>
    </row>
    <row r="389" spans="12:59" ht="15" customHeight="1" x14ac:dyDescent="0.35">
      <c r="L389" s="10" t="s">
        <v>2015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str">
        <f t="shared" si="209"/>
        <v/>
      </c>
    </row>
    <row r="390" spans="12:59" ht="15" customHeight="1" x14ac:dyDescent="0.3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str">
        <f t="shared" si="209"/>
        <v/>
      </c>
    </row>
    <row r="391" spans="12:59" ht="15" customHeight="1" x14ac:dyDescent="0.35">
      <c r="L391" s="10" t="s">
        <v>2019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str">
        <f t="shared" si="209"/>
        <v/>
      </c>
    </row>
    <row r="392" spans="12:59" ht="15" customHeight="1" x14ac:dyDescent="0.3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str">
        <f t="shared" si="209"/>
        <v/>
      </c>
    </row>
    <row r="393" spans="12:59" ht="15" customHeight="1" x14ac:dyDescent="0.35">
      <c r="L393" s="10" t="s">
        <v>1948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str">
        <f t="shared" si="209"/>
        <v/>
      </c>
    </row>
    <row r="394" spans="12:59" ht="15" customHeight="1" x14ac:dyDescent="0.35">
      <c r="L394" s="10" t="s">
        <v>1971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str">
        <f t="shared" si="209"/>
        <v/>
      </c>
    </row>
    <row r="395" spans="12:59" ht="15" customHeight="1" thickBot="1" x14ac:dyDescent="0.4">
      <c r="L395" s="10" t="s">
        <v>1963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str">
        <f t="shared" si="209"/>
        <v/>
      </c>
    </row>
    <row r="396" spans="12:59" ht="15" customHeight="1" x14ac:dyDescent="0.35">
      <c r="L396" s="10" t="s">
        <v>1972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str">
        <f t="shared" si="209"/>
        <v/>
      </c>
    </row>
    <row r="397" spans="12:59" ht="15" customHeight="1" x14ac:dyDescent="0.35">
      <c r="L397" s="10" t="s">
        <v>1998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str">
        <f t="shared" si="209"/>
        <v/>
      </c>
    </row>
    <row r="398" spans="12:59" ht="15" customHeight="1" x14ac:dyDescent="0.35">
      <c r="L398" s="10" t="s">
        <v>2138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str">
        <f t="shared" si="209"/>
        <v/>
      </c>
    </row>
    <row r="399" spans="12:59" ht="15" customHeight="1" x14ac:dyDescent="0.35">
      <c r="L399" s="10" t="s">
        <v>1979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str">
        <f t="shared" si="209"/>
        <v/>
      </c>
    </row>
    <row r="400" spans="12:59" ht="15" customHeight="1" x14ac:dyDescent="0.35">
      <c r="L400" s="10" t="s">
        <v>2002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str">
        <f t="shared" si="209"/>
        <v/>
      </c>
    </row>
    <row r="401" spans="12:59" ht="15" customHeight="1" x14ac:dyDescent="0.35">
      <c r="L401" s="10" t="s">
        <v>1981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str">
        <f t="shared" si="209"/>
        <v/>
      </c>
    </row>
    <row r="402" spans="12:59" ht="15" customHeight="1" x14ac:dyDescent="0.35">
      <c r="L402" s="10" t="s">
        <v>2003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str">
        <f t="shared" si="209"/>
        <v/>
      </c>
    </row>
    <row r="403" spans="12:59" ht="15" customHeight="1" thickBot="1" x14ac:dyDescent="0.4">
      <c r="L403" s="10" t="s">
        <v>2103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str">
        <f t="shared" si="209"/>
        <v/>
      </c>
    </row>
    <row r="404" spans="12:59" ht="15" customHeight="1" x14ac:dyDescent="0.35">
      <c r="L404" s="10" t="s">
        <v>2026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str">
        <f t="shared" si="209"/>
        <v/>
      </c>
    </row>
    <row r="405" spans="12:59" ht="15" customHeight="1" x14ac:dyDescent="0.35">
      <c r="L405" s="10" t="s">
        <v>2011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str">
        <f t="shared" si="209"/>
        <v/>
      </c>
    </row>
    <row r="406" spans="12:59" ht="15" customHeight="1" x14ac:dyDescent="0.35">
      <c r="L406" s="10" t="s">
        <v>2052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str">
        <f t="shared" si="209"/>
        <v/>
      </c>
    </row>
    <row r="407" spans="12:59" ht="15" customHeight="1" x14ac:dyDescent="0.35">
      <c r="L407" s="10" t="s">
        <v>2012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str">
        <f t="shared" si="209"/>
        <v/>
      </c>
    </row>
    <row r="408" spans="12:59" ht="15" customHeight="1" x14ac:dyDescent="0.35">
      <c r="L408" s="10" t="s">
        <v>2013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str">
        <f t="shared" si="209"/>
        <v/>
      </c>
    </row>
    <row r="409" spans="12:59" ht="15" customHeight="1" x14ac:dyDescent="0.35">
      <c r="L409" s="10" t="s">
        <v>2060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str">
        <f t="shared" si="209"/>
        <v/>
      </c>
    </row>
    <row r="410" spans="12:59" ht="15" customHeight="1" thickBot="1" x14ac:dyDescent="0.4">
      <c r="L410" s="10" t="s">
        <v>2045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str">
        <f t="shared" si="209"/>
        <v/>
      </c>
    </row>
    <row r="411" spans="12:59" ht="15" customHeight="1" x14ac:dyDescent="0.35">
      <c r="L411" s="10" t="s">
        <v>2094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str">
        <f t="shared" si="209"/>
        <v/>
      </c>
    </row>
    <row r="412" spans="12:59" ht="15" customHeight="1" x14ac:dyDescent="0.35">
      <c r="L412" s="10" t="s">
        <v>2054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str">
        <f t="shared" si="209"/>
        <v/>
      </c>
    </row>
    <row r="413" spans="12:59" ht="15" customHeight="1" x14ac:dyDescent="0.35">
      <c r="L413" s="10" t="s">
        <v>2057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str">
        <f t="shared" si="209"/>
        <v/>
      </c>
    </row>
    <row r="414" spans="12:59" ht="15" customHeight="1" x14ac:dyDescent="0.35">
      <c r="L414" s="10" t="s">
        <v>2033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str">
        <f t="shared" si="209"/>
        <v/>
      </c>
    </row>
    <row r="415" spans="12:59" ht="15" customHeight="1" x14ac:dyDescent="0.35">
      <c r="L415" s="10" t="s">
        <v>2070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str">
        <f t="shared" si="209"/>
        <v/>
      </c>
    </row>
    <row r="416" spans="12:59" ht="15" customHeight="1" thickBot="1" x14ac:dyDescent="0.4">
      <c r="L416" s="10" t="s">
        <v>2116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str">
        <f t="shared" si="209"/>
        <v/>
      </c>
    </row>
    <row r="417" spans="12:59" ht="15" customHeight="1" x14ac:dyDescent="0.35">
      <c r="L417" s="10" t="s">
        <v>2065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str">
        <f t="shared" si="209"/>
        <v/>
      </c>
    </row>
    <row r="418" spans="12:59" ht="15" customHeight="1" x14ac:dyDescent="0.35">
      <c r="L418" s="10" t="s">
        <v>2029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str">
        <f t="shared" si="209"/>
        <v/>
      </c>
    </row>
    <row r="419" spans="12:59" ht="15" customHeight="1" x14ac:dyDescent="0.35">
      <c r="L419" s="10" t="s">
        <v>2167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str">
        <f t="shared" si="209"/>
        <v/>
      </c>
    </row>
    <row r="420" spans="12:59" ht="15" customHeight="1" x14ac:dyDescent="0.35">
      <c r="L420" s="10" t="s">
        <v>2093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str">
        <f t="shared" si="209"/>
        <v/>
      </c>
    </row>
    <row r="421" spans="12:59" ht="15" customHeight="1" x14ac:dyDescent="0.35">
      <c r="L421" s="10" t="s">
        <v>2136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str">
        <f t="shared" si="209"/>
        <v/>
      </c>
    </row>
    <row r="422" spans="12:59" ht="15" customHeight="1" x14ac:dyDescent="0.35">
      <c r="L422" s="10" t="s">
        <v>2096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str">
        <f t="shared" si="209"/>
        <v/>
      </c>
    </row>
    <row r="423" spans="12:59" ht="15" customHeight="1" x14ac:dyDescent="0.35">
      <c r="L423" s="10" t="s">
        <v>2110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str">
        <f t="shared" si="209"/>
        <v/>
      </c>
    </row>
    <row r="424" spans="12:59" ht="15" customHeight="1" thickBot="1" x14ac:dyDescent="0.4">
      <c r="L424" s="10" t="s">
        <v>2168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str">
        <f t="shared" si="209"/>
        <v/>
      </c>
    </row>
    <row r="425" spans="12:59" ht="15" customHeight="1" x14ac:dyDescent="0.35">
      <c r="L425" s="10" t="s">
        <v>2137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str">
        <f t="shared" si="209"/>
        <v/>
      </c>
    </row>
    <row r="426" spans="12:59" ht="15" customHeight="1" x14ac:dyDescent="0.35">
      <c r="L426" s="10" t="s">
        <v>2108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str">
        <f t="shared" si="209"/>
        <v/>
      </c>
    </row>
    <row r="427" spans="12:59" ht="15" customHeight="1" x14ac:dyDescent="0.35">
      <c r="L427" s="10" t="s">
        <v>2134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str">
        <f t="shared" si="209"/>
        <v/>
      </c>
    </row>
    <row r="428" spans="12:59" ht="15" customHeight="1" x14ac:dyDescent="0.35">
      <c r="L428" s="10" t="s">
        <v>2120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str">
        <f t="shared" si="209"/>
        <v/>
      </c>
    </row>
    <row r="429" spans="12:59" ht="15" customHeight="1" x14ac:dyDescent="0.35">
      <c r="L429" s="10" t="s">
        <v>2117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str">
        <f t="shared" si="209"/>
        <v/>
      </c>
    </row>
    <row r="430" spans="12:59" ht="15" customHeight="1" thickBot="1" x14ac:dyDescent="0.4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str">
        <f t="shared" si="209"/>
        <v/>
      </c>
    </row>
    <row r="431" spans="12:59" ht="15" customHeight="1" x14ac:dyDescent="0.3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str">
        <f t="shared" ref="BG431:BG494" si="210">IF(VALUE(SUBSTITUTE($B$5,"M",""))=U431,BF431,"")</f>
        <v/>
      </c>
    </row>
    <row r="432" spans="12:59" ht="15" customHeight="1" x14ac:dyDescent="0.35">
      <c r="L432" s="10" t="s">
        <v>2084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str">
        <f t="shared" si="210"/>
        <v/>
      </c>
    </row>
    <row r="433" spans="12:59" ht="15" customHeight="1" x14ac:dyDescent="0.3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str">
        <f t="shared" si="210"/>
        <v/>
      </c>
    </row>
    <row r="434" spans="12:59" ht="15" customHeight="1" x14ac:dyDescent="0.3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str">
        <f t="shared" si="210"/>
        <v/>
      </c>
    </row>
    <row r="435" spans="12:59" ht="15" customHeight="1" x14ac:dyDescent="0.3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str">
        <f t="shared" si="210"/>
        <v/>
      </c>
    </row>
    <row r="436" spans="12:59" ht="15" customHeight="1" x14ac:dyDescent="0.3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str">
        <f t="shared" si="210"/>
        <v/>
      </c>
    </row>
    <row r="437" spans="12:59" ht="15" customHeight="1" thickBot="1" x14ac:dyDescent="0.4">
      <c r="L437" s="10" t="s">
        <v>2091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str">
        <f t="shared" si="210"/>
        <v/>
      </c>
    </row>
    <row r="438" spans="12:59" ht="15" customHeight="1" x14ac:dyDescent="0.3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str">
        <f t="shared" si="210"/>
        <v/>
      </c>
    </row>
    <row r="439" spans="12:59" ht="15" customHeight="1" x14ac:dyDescent="0.3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str">
        <f t="shared" si="210"/>
        <v/>
      </c>
    </row>
    <row r="440" spans="12:59" ht="15" customHeight="1" x14ac:dyDescent="0.3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str">
        <f t="shared" si="210"/>
        <v/>
      </c>
    </row>
    <row r="441" spans="12:59" ht="15" customHeight="1" x14ac:dyDescent="0.3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str">
        <f t="shared" si="210"/>
        <v/>
      </c>
    </row>
    <row r="442" spans="12:59" ht="15" customHeight="1" x14ac:dyDescent="0.35">
      <c r="L442" s="10" t="s">
        <v>2080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str">
        <f t="shared" si="210"/>
        <v/>
      </c>
    </row>
    <row r="443" spans="12:59" ht="15" customHeight="1" x14ac:dyDescent="0.3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str">
        <f t="shared" si="210"/>
        <v/>
      </c>
    </row>
    <row r="444" spans="12:59" ht="15" customHeight="1" x14ac:dyDescent="0.3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str">
        <f t="shared" si="210"/>
        <v/>
      </c>
    </row>
    <row r="445" spans="12:59" ht="15" customHeight="1" thickBot="1" x14ac:dyDescent="0.4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str">
        <f t="shared" si="210"/>
        <v/>
      </c>
    </row>
    <row r="446" spans="12:59" ht="15" customHeight="1" x14ac:dyDescent="0.3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str">
        <f t="shared" si="210"/>
        <v/>
      </c>
    </row>
    <row r="447" spans="12:59" ht="15" customHeight="1" x14ac:dyDescent="0.35">
      <c r="L447" s="10" t="s">
        <v>1927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str">
        <f t="shared" si="210"/>
        <v/>
      </c>
    </row>
    <row r="448" spans="12:59" ht="15" customHeight="1" x14ac:dyDescent="0.3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str">
        <f t="shared" si="210"/>
        <v/>
      </c>
    </row>
    <row r="449" spans="12:59" ht="15" customHeight="1" x14ac:dyDescent="0.3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str">
        <f t="shared" si="210"/>
        <v/>
      </c>
    </row>
    <row r="450" spans="12:59" ht="15" customHeight="1" x14ac:dyDescent="0.3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str">
        <f t="shared" si="210"/>
        <v/>
      </c>
    </row>
    <row r="451" spans="12:59" ht="15" customHeight="1" x14ac:dyDescent="0.3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str">
        <f t="shared" si="210"/>
        <v/>
      </c>
    </row>
    <row r="452" spans="12:59" ht="15" customHeight="1" thickBot="1" x14ac:dyDescent="0.4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str">
        <f t="shared" si="210"/>
        <v/>
      </c>
    </row>
    <row r="453" spans="12:59" ht="15" customHeight="1" x14ac:dyDescent="0.3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str">
        <f t="shared" si="210"/>
        <v/>
      </c>
    </row>
    <row r="454" spans="12:59" ht="15" customHeight="1" x14ac:dyDescent="0.3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str">
        <f t="shared" si="210"/>
        <v/>
      </c>
    </row>
    <row r="455" spans="12:59" ht="15" customHeight="1" x14ac:dyDescent="0.3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str">
        <f t="shared" si="210"/>
        <v/>
      </c>
    </row>
    <row r="456" spans="12:59" ht="15" customHeight="1" x14ac:dyDescent="0.35">
      <c r="L456" s="10" t="s">
        <v>2079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str">
        <f t="shared" si="210"/>
        <v/>
      </c>
    </row>
    <row r="457" spans="12:59" ht="15" customHeight="1" x14ac:dyDescent="0.35">
      <c r="L457" s="10" t="s">
        <v>1936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str">
        <f t="shared" si="210"/>
        <v/>
      </c>
    </row>
    <row r="458" spans="12:59" ht="15" customHeight="1" x14ac:dyDescent="0.3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str">
        <f t="shared" si="210"/>
        <v/>
      </c>
    </row>
    <row r="459" spans="12:59" ht="15" customHeight="1" x14ac:dyDescent="0.35">
      <c r="L459" s="10" t="s">
        <v>1934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str">
        <f t="shared" si="210"/>
        <v/>
      </c>
    </row>
    <row r="460" spans="12:59" ht="15" customHeight="1" x14ac:dyDescent="0.3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str">
        <f t="shared" si="210"/>
        <v/>
      </c>
    </row>
    <row r="461" spans="12:59" ht="15" customHeight="1" thickBot="1" x14ac:dyDescent="0.4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str">
        <f t="shared" si="210"/>
        <v/>
      </c>
    </row>
    <row r="462" spans="12:59" ht="15" customHeight="1" x14ac:dyDescent="0.3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str">
        <f t="shared" si="210"/>
        <v/>
      </c>
    </row>
    <row r="463" spans="12:59" ht="15" customHeight="1" x14ac:dyDescent="0.3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str">
        <f t="shared" si="210"/>
        <v/>
      </c>
    </row>
    <row r="464" spans="12:59" ht="15" customHeight="1" x14ac:dyDescent="0.3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str">
        <f t="shared" si="210"/>
        <v/>
      </c>
    </row>
    <row r="465" spans="12:59" ht="15" customHeight="1" x14ac:dyDescent="0.3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str">
        <f t="shared" si="210"/>
        <v/>
      </c>
    </row>
    <row r="466" spans="12:59" ht="15" customHeight="1" x14ac:dyDescent="0.3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str">
        <f t="shared" si="210"/>
        <v/>
      </c>
    </row>
    <row r="467" spans="12:59" ht="15" customHeight="1" x14ac:dyDescent="0.3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str">
        <f t="shared" si="210"/>
        <v/>
      </c>
    </row>
    <row r="468" spans="12:59" ht="15" customHeight="1" x14ac:dyDescent="0.3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str">
        <f t="shared" si="210"/>
        <v/>
      </c>
    </row>
    <row r="469" spans="12:59" ht="15" customHeight="1" thickBot="1" x14ac:dyDescent="0.4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str">
        <f t="shared" si="210"/>
        <v/>
      </c>
    </row>
    <row r="470" spans="12:59" ht="15" customHeight="1" x14ac:dyDescent="0.3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str">
        <f t="shared" si="210"/>
        <v/>
      </c>
    </row>
    <row r="471" spans="12:59" ht="15" customHeight="1" x14ac:dyDescent="0.3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str">
        <f t="shared" si="210"/>
        <v/>
      </c>
    </row>
    <row r="472" spans="12:59" ht="15" customHeight="1" x14ac:dyDescent="0.3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str">
        <f t="shared" si="210"/>
        <v/>
      </c>
    </row>
    <row r="473" spans="12:59" ht="15" customHeight="1" x14ac:dyDescent="0.3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str">
        <f t="shared" si="210"/>
        <v/>
      </c>
    </row>
    <row r="474" spans="12:59" ht="15" customHeight="1" x14ac:dyDescent="0.3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str">
        <f t="shared" si="210"/>
        <v/>
      </c>
    </row>
    <row r="475" spans="12:59" ht="15" customHeight="1" x14ac:dyDescent="0.35">
      <c r="L475" s="10" t="s">
        <v>1925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str">
        <f t="shared" si="210"/>
        <v/>
      </c>
    </row>
    <row r="476" spans="12:59" ht="15" customHeight="1" x14ac:dyDescent="0.3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str">
        <f t="shared" si="210"/>
        <v/>
      </c>
    </row>
    <row r="477" spans="12:59" ht="15" customHeight="1" thickBot="1" x14ac:dyDescent="0.4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str">
        <f t="shared" si="210"/>
        <v/>
      </c>
    </row>
    <row r="478" spans="12:59" ht="15" customHeight="1" x14ac:dyDescent="0.3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str">
        <f t="shared" si="210"/>
        <v/>
      </c>
    </row>
    <row r="479" spans="12:59" ht="15" customHeight="1" x14ac:dyDescent="0.3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str">
        <f t="shared" si="210"/>
        <v/>
      </c>
    </row>
    <row r="480" spans="12:59" ht="15" customHeight="1" x14ac:dyDescent="0.3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str">
        <f t="shared" si="210"/>
        <v/>
      </c>
    </row>
    <row r="481" spans="12:59" ht="15" customHeight="1" x14ac:dyDescent="0.3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str">
        <f t="shared" si="210"/>
        <v/>
      </c>
    </row>
    <row r="482" spans="12:59" ht="15" customHeight="1" x14ac:dyDescent="0.3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str">
        <f t="shared" si="210"/>
        <v/>
      </c>
    </row>
    <row r="483" spans="12:59" ht="15" customHeight="1" x14ac:dyDescent="0.3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str">
        <f t="shared" si="210"/>
        <v/>
      </c>
    </row>
    <row r="484" spans="12:59" ht="15" customHeight="1" x14ac:dyDescent="0.3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str">
        <f t="shared" si="210"/>
        <v/>
      </c>
    </row>
    <row r="485" spans="12:59" ht="15" customHeight="1" thickBot="1" x14ac:dyDescent="0.4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str">
        <f t="shared" si="210"/>
        <v/>
      </c>
    </row>
    <row r="486" spans="12:59" ht="15" customHeight="1" x14ac:dyDescent="0.3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 t="str">
        <f t="shared" si="210"/>
        <v/>
      </c>
    </row>
    <row r="487" spans="12:59" ht="15" customHeight="1" x14ac:dyDescent="0.3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 t="str">
        <f t="shared" si="210"/>
        <v/>
      </c>
    </row>
    <row r="488" spans="12:59" ht="15" customHeight="1" x14ac:dyDescent="0.3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 t="str">
        <f t="shared" si="210"/>
        <v/>
      </c>
    </row>
    <row r="489" spans="12:59" ht="15" customHeight="1" x14ac:dyDescent="0.3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 t="str">
        <f t="shared" si="210"/>
        <v/>
      </c>
    </row>
    <row r="490" spans="12:59" ht="15" customHeight="1" x14ac:dyDescent="0.3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 t="str">
        <f t="shared" si="210"/>
        <v/>
      </c>
    </row>
    <row r="491" spans="12:59" ht="15" customHeight="1" thickBot="1" x14ac:dyDescent="0.4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 t="str">
        <f t="shared" si="210"/>
        <v/>
      </c>
    </row>
    <row r="492" spans="12:59" ht="15" customHeight="1" x14ac:dyDescent="0.3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str">
        <f t="shared" si="210"/>
        <v/>
      </c>
    </row>
    <row r="493" spans="12:59" ht="15" customHeight="1" x14ac:dyDescent="0.3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str">
        <f t="shared" si="210"/>
        <v/>
      </c>
    </row>
    <row r="494" spans="12:59" ht="15" customHeight="1" x14ac:dyDescent="0.3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str">
        <f t="shared" si="210"/>
        <v/>
      </c>
    </row>
    <row r="495" spans="12:59" ht="15" customHeight="1" x14ac:dyDescent="0.3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str">
        <f t="shared" ref="BG495:BG558" si="211">IF(VALUE(SUBSTITUTE($B$5,"M",""))=U495,BF495,"")</f>
        <v/>
      </c>
    </row>
    <row r="496" spans="12:59" ht="15" customHeight="1" x14ac:dyDescent="0.3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str">
        <f t="shared" si="211"/>
        <v/>
      </c>
    </row>
    <row r="497" spans="12:59" ht="15" customHeight="1" thickBot="1" x14ac:dyDescent="0.4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str">
        <f t="shared" si="211"/>
        <v/>
      </c>
    </row>
    <row r="498" spans="12:59" ht="15" customHeight="1" x14ac:dyDescent="0.35">
      <c r="L498" s="10" t="s">
        <v>1926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str">
        <f t="shared" si="211"/>
        <v/>
      </c>
    </row>
    <row r="499" spans="12:59" ht="15" customHeight="1" x14ac:dyDescent="0.3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str">
        <f t="shared" si="211"/>
        <v/>
      </c>
    </row>
    <row r="500" spans="12:59" ht="15" customHeight="1" x14ac:dyDescent="0.3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str">
        <f t="shared" si="211"/>
        <v/>
      </c>
    </row>
    <row r="501" spans="12:59" ht="15" customHeight="1" x14ac:dyDescent="0.3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str">
        <f t="shared" si="211"/>
        <v/>
      </c>
    </row>
    <row r="502" spans="12:59" ht="15" customHeight="1" thickBot="1" x14ac:dyDescent="0.4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str">
        <f t="shared" si="211"/>
        <v/>
      </c>
    </row>
    <row r="503" spans="12:59" ht="15" customHeight="1" x14ac:dyDescent="0.35">
      <c r="L503" s="10" t="s">
        <v>2140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str">
        <f t="shared" si="211"/>
        <v/>
      </c>
    </row>
    <row r="504" spans="12:59" ht="15" customHeight="1" x14ac:dyDescent="0.3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str">
        <f t="shared" si="211"/>
        <v/>
      </c>
    </row>
    <row r="505" spans="12:59" ht="15" customHeight="1" x14ac:dyDescent="0.35">
      <c r="L505" s="10" t="s">
        <v>2142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str">
        <f t="shared" si="211"/>
        <v/>
      </c>
    </row>
    <row r="506" spans="12:59" ht="15" customHeight="1" x14ac:dyDescent="0.3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str">
        <f t="shared" si="211"/>
        <v/>
      </c>
    </row>
    <row r="507" spans="12:59" ht="15" customHeight="1" x14ac:dyDescent="0.35">
      <c r="L507" s="10" t="s">
        <v>2144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str">
        <f t="shared" si="211"/>
        <v/>
      </c>
    </row>
    <row r="508" spans="12:59" ht="15" customHeight="1" x14ac:dyDescent="0.3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str">
        <f t="shared" si="211"/>
        <v/>
      </c>
    </row>
    <row r="509" spans="12:59" ht="15" customHeight="1" thickBot="1" x14ac:dyDescent="0.4">
      <c r="L509" s="10" t="s">
        <v>2170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str">
        <f t="shared" si="211"/>
        <v/>
      </c>
    </row>
    <row r="510" spans="12:59" ht="15" customHeight="1" x14ac:dyDescent="0.3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str">
        <f t="shared" si="211"/>
        <v/>
      </c>
    </row>
    <row r="511" spans="12:59" ht="15" customHeight="1" x14ac:dyDescent="0.35">
      <c r="L511" s="10" t="s">
        <v>2149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str">
        <f t="shared" si="211"/>
        <v/>
      </c>
    </row>
    <row r="512" spans="12:59" ht="15" customHeight="1" x14ac:dyDescent="0.3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str">
        <f t="shared" si="211"/>
        <v/>
      </c>
    </row>
    <row r="513" spans="12:59" ht="15" customHeight="1" x14ac:dyDescent="0.35">
      <c r="L513" s="10" t="s">
        <v>2153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str">
        <f t="shared" si="211"/>
        <v/>
      </c>
    </row>
    <row r="514" spans="12:59" ht="15" customHeight="1" x14ac:dyDescent="0.3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str">
        <f t="shared" si="211"/>
        <v/>
      </c>
    </row>
    <row r="515" spans="12:59" ht="15" customHeight="1" x14ac:dyDescent="0.35">
      <c r="L515" s="10" t="s">
        <v>2158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str">
        <f t="shared" si="211"/>
        <v/>
      </c>
    </row>
    <row r="516" spans="12:59" ht="15" customHeight="1" x14ac:dyDescent="0.3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str">
        <f t="shared" si="211"/>
        <v/>
      </c>
    </row>
    <row r="517" spans="12:59" ht="15" customHeight="1" thickBot="1" x14ac:dyDescent="0.4">
      <c r="L517" s="10" t="s">
        <v>2161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str">
        <f t="shared" si="211"/>
        <v/>
      </c>
    </row>
    <row r="518" spans="12:59" ht="15" customHeight="1" x14ac:dyDescent="0.3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str">
        <f t="shared" si="211"/>
        <v/>
      </c>
    </row>
    <row r="519" spans="12:59" ht="15" customHeight="1" x14ac:dyDescent="0.35">
      <c r="L519" s="10" t="s">
        <v>2163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str">
        <f t="shared" si="211"/>
        <v/>
      </c>
    </row>
    <row r="520" spans="12:59" ht="15" customHeight="1" x14ac:dyDescent="0.3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str">
        <f t="shared" si="211"/>
        <v/>
      </c>
    </row>
    <row r="521" spans="12:59" ht="15" customHeight="1" x14ac:dyDescent="0.35">
      <c r="L521" s="10" t="s">
        <v>2169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str">
        <f t="shared" si="211"/>
        <v/>
      </c>
    </row>
    <row r="522" spans="12:59" ht="15" customHeight="1" x14ac:dyDescent="0.3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str">
        <f t="shared" si="211"/>
        <v/>
      </c>
    </row>
    <row r="523" spans="12:59" ht="15" customHeight="1" x14ac:dyDescent="0.35">
      <c r="L523" s="10" t="s">
        <v>2171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str">
        <f t="shared" si="211"/>
        <v/>
      </c>
    </row>
    <row r="524" spans="12:59" ht="15" customHeight="1" x14ac:dyDescent="0.3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str">
        <f t="shared" si="211"/>
        <v/>
      </c>
    </row>
    <row r="525" spans="12:59" ht="15" customHeight="1" x14ac:dyDescent="0.35">
      <c r="L525" s="10" t="s">
        <v>2178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str">
        <f t="shared" si="211"/>
        <v/>
      </c>
    </row>
    <row r="526" spans="12:59" ht="15" customHeight="1" thickBot="1" x14ac:dyDescent="0.4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str">
        <f t="shared" si="211"/>
        <v/>
      </c>
    </row>
    <row r="527" spans="12:59" ht="15" customHeight="1" x14ac:dyDescent="0.35">
      <c r="L527" s="10" t="s">
        <v>2183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str">
        <f t="shared" si="211"/>
        <v/>
      </c>
    </row>
    <row r="528" spans="12:59" ht="15" customHeight="1" x14ac:dyDescent="0.3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str">
        <f t="shared" si="211"/>
        <v/>
      </c>
    </row>
    <row r="529" spans="12:59" ht="15" customHeight="1" x14ac:dyDescent="0.35">
      <c r="L529" s="10" t="s">
        <v>2186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str">
        <f t="shared" si="211"/>
        <v/>
      </c>
    </row>
    <row r="530" spans="12:59" ht="15" customHeight="1" x14ac:dyDescent="0.3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str">
        <f t="shared" si="211"/>
        <v/>
      </c>
    </row>
    <row r="531" spans="12:59" ht="15" customHeight="1" x14ac:dyDescent="0.35">
      <c r="L531" s="10" t="s">
        <v>2187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str">
        <f t="shared" si="211"/>
        <v/>
      </c>
    </row>
    <row r="532" spans="12:59" ht="15" customHeight="1" x14ac:dyDescent="0.3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str">
        <f t="shared" si="211"/>
        <v/>
      </c>
    </row>
    <row r="533" spans="12:59" ht="15" customHeight="1" thickBot="1" x14ac:dyDescent="0.4">
      <c r="L533" s="10" t="s">
        <v>2189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str">
        <f t="shared" si="211"/>
        <v/>
      </c>
    </row>
    <row r="534" spans="12:59" ht="15" customHeight="1" x14ac:dyDescent="0.3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str">
        <f t="shared" si="211"/>
        <v/>
      </c>
    </row>
    <row r="535" spans="12:59" ht="15" customHeight="1" x14ac:dyDescent="0.35">
      <c r="L535" s="10" t="s">
        <v>2202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str">
        <f t="shared" si="211"/>
        <v/>
      </c>
    </row>
    <row r="536" spans="12:59" ht="15" customHeight="1" x14ac:dyDescent="0.3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str">
        <f t="shared" si="211"/>
        <v/>
      </c>
    </row>
    <row r="537" spans="12:59" ht="15" customHeight="1" x14ac:dyDescent="0.35">
      <c r="L537" s="10" t="s">
        <v>2203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str">
        <f t="shared" si="211"/>
        <v/>
      </c>
    </row>
    <row r="538" spans="12:59" ht="15" customHeight="1" x14ac:dyDescent="0.3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str">
        <f t="shared" si="211"/>
        <v/>
      </c>
    </row>
    <row r="539" spans="12:59" ht="15" customHeight="1" x14ac:dyDescent="0.35">
      <c r="L539" s="10" t="s">
        <v>2217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str">
        <f t="shared" si="211"/>
        <v/>
      </c>
    </row>
    <row r="540" spans="12:59" ht="15" customHeight="1" x14ac:dyDescent="0.3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str">
        <f t="shared" si="211"/>
        <v/>
      </c>
    </row>
    <row r="541" spans="12:59" ht="15" customHeight="1" x14ac:dyDescent="0.35">
      <c r="L541" s="10" t="s">
        <v>2245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str">
        <f t="shared" si="211"/>
        <v/>
      </c>
    </row>
    <row r="542" spans="12:59" ht="15" customHeight="1" thickBot="1" x14ac:dyDescent="0.4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str">
        <f t="shared" si="211"/>
        <v/>
      </c>
    </row>
    <row r="543" spans="12:59" ht="15" customHeight="1" x14ac:dyDescent="0.35">
      <c r="L543" s="10" t="s">
        <v>2246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str">
        <f t="shared" si="211"/>
        <v/>
      </c>
    </row>
    <row r="544" spans="12:59" ht="15" customHeight="1" x14ac:dyDescent="0.3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str">
        <f t="shared" si="211"/>
        <v/>
      </c>
    </row>
    <row r="545" spans="12:59" ht="15" customHeight="1" x14ac:dyDescent="0.35">
      <c r="L545" s="10" t="s">
        <v>2250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str">
        <f t="shared" si="211"/>
        <v/>
      </c>
    </row>
    <row r="546" spans="12:59" ht="15" customHeight="1" x14ac:dyDescent="0.3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str">
        <f t="shared" si="211"/>
        <v/>
      </c>
    </row>
    <row r="547" spans="12:59" ht="15" customHeight="1" x14ac:dyDescent="0.35">
      <c r="L547" s="10" t="s">
        <v>2256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str">
        <f t="shared" si="211"/>
        <v/>
      </c>
    </row>
    <row r="548" spans="12:59" ht="15" customHeight="1" thickBot="1" x14ac:dyDescent="0.4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str">
        <f t="shared" si="211"/>
        <v/>
      </c>
    </row>
    <row r="549" spans="12:59" ht="15" customHeight="1" x14ac:dyDescent="0.35">
      <c r="L549" s="10" t="s">
        <v>2257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str">
        <f t="shared" si="211"/>
        <v/>
      </c>
    </row>
    <row r="550" spans="12:59" ht="15" customHeight="1" x14ac:dyDescent="0.3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str">
        <f t="shared" si="211"/>
        <v/>
      </c>
    </row>
    <row r="551" spans="12:59" ht="15" customHeight="1" x14ac:dyDescent="0.35">
      <c r="L551" s="10" t="s">
        <v>2258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str">
        <f t="shared" si="211"/>
        <v/>
      </c>
    </row>
    <row r="552" spans="12:59" ht="15" customHeight="1" x14ac:dyDescent="0.3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str">
        <f t="shared" si="211"/>
        <v/>
      </c>
    </row>
    <row r="553" spans="12:59" ht="15" customHeight="1" x14ac:dyDescent="0.35">
      <c r="L553" s="10" t="s">
        <v>2259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str">
        <f t="shared" si="211"/>
        <v/>
      </c>
    </row>
    <row r="554" spans="12:59" ht="15" customHeight="1" thickBot="1" x14ac:dyDescent="0.4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str">
        <f t="shared" si="211"/>
        <v/>
      </c>
    </row>
    <row r="555" spans="12:59" ht="15" customHeight="1" x14ac:dyDescent="0.35">
      <c r="L555" s="10" t="s">
        <v>2260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str">
        <f t="shared" si="211"/>
        <v/>
      </c>
    </row>
    <row r="556" spans="12:59" ht="15" customHeight="1" x14ac:dyDescent="0.3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str">
        <f t="shared" si="211"/>
        <v/>
      </c>
    </row>
    <row r="557" spans="12:59" ht="15" customHeight="1" x14ac:dyDescent="0.35">
      <c r="L557" s="10" t="s">
        <v>2275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str">
        <f t="shared" si="211"/>
        <v/>
      </c>
    </row>
    <row r="558" spans="12:59" ht="15" customHeight="1" x14ac:dyDescent="0.3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str">
        <f t="shared" si="211"/>
        <v/>
      </c>
    </row>
    <row r="559" spans="12:59" ht="15" customHeight="1" x14ac:dyDescent="0.35">
      <c r="L559" s="10" t="s">
        <v>2277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str">
        <f t="shared" ref="BG559:BG622" si="212">IF(VALUE(SUBSTITUTE($B$5,"M",""))=U559,BF559,"")</f>
        <v/>
      </c>
    </row>
    <row r="560" spans="12:59" ht="15" customHeight="1" thickBot="1" x14ac:dyDescent="0.4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str">
        <f t="shared" si="212"/>
        <v/>
      </c>
    </row>
    <row r="561" spans="8:59" ht="15" customHeight="1" x14ac:dyDescent="0.35">
      <c r="L561" s="10" t="s">
        <v>2284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str">
        <f t="shared" si="212"/>
        <v/>
      </c>
    </row>
    <row r="562" spans="8:59" ht="15" customHeight="1" thickBot="1" x14ac:dyDescent="0.4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str">
        <f t="shared" si="212"/>
        <v/>
      </c>
    </row>
    <row r="563" spans="8:59" ht="15" customHeight="1" x14ac:dyDescent="0.35">
      <c r="L563" s="10" t="s">
        <v>2285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str">
        <f t="shared" si="212"/>
        <v/>
      </c>
    </row>
    <row r="564" spans="8:59" ht="15" customHeight="1" thickBot="1" x14ac:dyDescent="0.4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str">
        <f t="shared" si="212"/>
        <v/>
      </c>
    </row>
    <row r="565" spans="8:59" ht="15" customHeight="1" x14ac:dyDescent="0.35">
      <c r="L565" s="10" t="s">
        <v>2286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str">
        <f t="shared" si="212"/>
        <v/>
      </c>
    </row>
    <row r="566" spans="8:59" ht="15" customHeight="1" thickBot="1" x14ac:dyDescent="0.4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str">
        <f t="shared" si="212"/>
        <v/>
      </c>
    </row>
    <row r="567" spans="8:59" ht="15" customHeight="1" x14ac:dyDescent="0.35">
      <c r="L567" s="10" t="s">
        <v>2287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str">
        <f t="shared" si="212"/>
        <v/>
      </c>
    </row>
    <row r="568" spans="8:59" ht="15" customHeight="1" x14ac:dyDescent="0.3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str">
        <f t="shared" si="212"/>
        <v/>
      </c>
    </row>
    <row r="569" spans="8:59" ht="15" customHeight="1" x14ac:dyDescent="0.35">
      <c r="L569" s="10" t="s">
        <v>2289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str">
        <f t="shared" si="212"/>
        <v/>
      </c>
    </row>
    <row r="570" spans="8:59" ht="15" customHeight="1" x14ac:dyDescent="0.3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str">
        <f t="shared" si="212"/>
        <v/>
      </c>
    </row>
    <row r="571" spans="8:59" ht="15" customHeight="1" x14ac:dyDescent="0.35">
      <c r="H571" s="10"/>
      <c r="J571" s="10"/>
      <c r="K571" s="10"/>
      <c r="L571" s="10" t="s">
        <v>2291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str">
        <f t="shared" si="212"/>
        <v/>
      </c>
    </row>
    <row r="572" spans="8:59" ht="15" customHeight="1" x14ac:dyDescent="0.3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str">
        <f t="shared" si="212"/>
        <v/>
      </c>
    </row>
    <row r="573" spans="8:59" ht="15" customHeight="1" thickBot="1" x14ac:dyDescent="0.4">
      <c r="H573" s="10"/>
      <c r="J573" s="10"/>
      <c r="K573" s="10"/>
      <c r="L573" s="10" t="s">
        <v>2292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str">
        <f t="shared" si="212"/>
        <v/>
      </c>
    </row>
    <row r="574" spans="8:59" ht="15" customHeight="1" x14ac:dyDescent="0.3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str">
        <f t="shared" si="212"/>
        <v/>
      </c>
    </row>
    <row r="575" spans="8:59" ht="15" customHeight="1" x14ac:dyDescent="0.35">
      <c r="H575" s="240"/>
      <c r="I575" s="568"/>
      <c r="J575" s="240"/>
      <c r="K575" s="240"/>
      <c r="L575" s="240" t="s">
        <v>2298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str">
        <f t="shared" si="212"/>
        <v/>
      </c>
    </row>
    <row r="576" spans="8:59" ht="15" customHeight="1" x14ac:dyDescent="0.3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str">
        <f t="shared" si="212"/>
        <v/>
      </c>
    </row>
    <row r="577" spans="8:59" ht="15" customHeight="1" x14ac:dyDescent="0.35">
      <c r="H577" s="240"/>
      <c r="I577" s="568"/>
      <c r="J577" s="240"/>
      <c r="K577" s="240"/>
      <c r="L577" s="240" t="s">
        <v>2299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str">
        <f t="shared" si="212"/>
        <v/>
      </c>
    </row>
    <row r="578" spans="8:59" ht="15" customHeight="1" x14ac:dyDescent="0.3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str">
        <f t="shared" si="212"/>
        <v/>
      </c>
    </row>
    <row r="579" spans="8:59" ht="15" customHeight="1" x14ac:dyDescent="0.35">
      <c r="H579" s="10"/>
      <c r="J579" s="10"/>
      <c r="K579" s="10"/>
      <c r="L579" s="10" t="s">
        <v>2300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str">
        <f t="shared" si="212"/>
        <v/>
      </c>
    </row>
    <row r="580" spans="8:59" ht="15" customHeight="1" thickBot="1" x14ac:dyDescent="0.4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str">
        <f t="shared" si="212"/>
        <v/>
      </c>
    </row>
    <row r="581" spans="8:59" ht="15" customHeight="1" x14ac:dyDescent="0.35">
      <c r="H581" s="10"/>
      <c r="J581" s="10"/>
      <c r="K581" s="10"/>
      <c r="L581" s="10" t="s">
        <v>2301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str">
        <f t="shared" si="212"/>
        <v/>
      </c>
    </row>
    <row r="582" spans="8:59" ht="15" customHeight="1" x14ac:dyDescent="0.3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str">
        <f t="shared" si="212"/>
        <v/>
      </c>
    </row>
    <row r="583" spans="8:59" ht="15" customHeight="1" x14ac:dyDescent="0.35">
      <c r="H583" s="240"/>
      <c r="I583" s="568"/>
      <c r="J583" s="240"/>
      <c r="K583" s="240"/>
      <c r="L583" s="240" t="s">
        <v>2303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str">
        <f t="shared" si="212"/>
        <v/>
      </c>
    </row>
    <row r="584" spans="8:59" ht="15" customHeight="1" x14ac:dyDescent="0.3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str">
        <f t="shared" si="212"/>
        <v/>
      </c>
    </row>
    <row r="585" spans="8:59" ht="15" customHeight="1" x14ac:dyDescent="0.35">
      <c r="H585" s="240"/>
      <c r="I585" s="568"/>
      <c r="J585" s="240"/>
      <c r="K585" s="240"/>
      <c r="L585" s="240" t="s">
        <v>2305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str">
        <f t="shared" si="212"/>
        <v/>
      </c>
    </row>
    <row r="586" spans="8:59" ht="15" customHeight="1" x14ac:dyDescent="0.3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str">
        <f t="shared" si="212"/>
        <v/>
      </c>
    </row>
    <row r="587" spans="8:59" ht="15" customHeight="1" x14ac:dyDescent="0.35">
      <c r="H587" s="10"/>
      <c r="J587" s="10"/>
      <c r="K587" s="240"/>
      <c r="L587" s="10" t="s">
        <v>2310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str">
        <f t="shared" si="212"/>
        <v/>
      </c>
    </row>
    <row r="588" spans="8:59" ht="15" customHeight="1" thickBot="1" x14ac:dyDescent="0.4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str">
        <f t="shared" si="212"/>
        <v/>
      </c>
    </row>
    <row r="589" spans="8:59" ht="15" customHeight="1" x14ac:dyDescent="0.35">
      <c r="H589" s="10"/>
      <c r="J589" s="10"/>
      <c r="K589" s="240"/>
      <c r="L589" s="10" t="s">
        <v>2317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str">
        <f t="shared" si="212"/>
        <v/>
      </c>
    </row>
    <row r="590" spans="8:59" ht="15" customHeight="1" x14ac:dyDescent="0.3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str">
        <f t="shared" si="212"/>
        <v/>
      </c>
    </row>
    <row r="591" spans="8:59" ht="15" customHeight="1" x14ac:dyDescent="0.35">
      <c r="H591" s="10"/>
      <c r="J591" s="10"/>
      <c r="K591" s="240"/>
      <c r="L591" s="10" t="s">
        <v>2323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str">
        <f t="shared" si="212"/>
        <v/>
      </c>
    </row>
    <row r="592" spans="8:59" ht="15" customHeight="1" x14ac:dyDescent="0.3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str">
        <f t="shared" si="212"/>
        <v/>
      </c>
    </row>
    <row r="593" spans="8:59" ht="15" customHeight="1" x14ac:dyDescent="0.35">
      <c r="H593" s="10"/>
      <c r="J593" s="10"/>
      <c r="K593" s="10"/>
      <c r="L593" s="10" t="s">
        <v>2339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str">
        <f t="shared" si="212"/>
        <v/>
      </c>
    </row>
    <row r="594" spans="8:59" ht="15" customHeight="1" x14ac:dyDescent="0.3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str">
        <f t="shared" si="212"/>
        <v/>
      </c>
    </row>
    <row r="595" spans="8:59" ht="15" customHeight="1" thickBot="1" x14ac:dyDescent="0.4">
      <c r="H595" s="10"/>
      <c r="J595" s="10"/>
      <c r="K595" s="10"/>
      <c r="L595" s="10" t="s">
        <v>2344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str">
        <f t="shared" si="212"/>
        <v/>
      </c>
    </row>
    <row r="596" spans="8:59" ht="15" customHeight="1" x14ac:dyDescent="0.3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str">
        <f t="shared" si="212"/>
        <v/>
      </c>
    </row>
    <row r="597" spans="8:59" ht="15" customHeight="1" x14ac:dyDescent="0.35">
      <c r="H597" s="10"/>
      <c r="J597" s="10"/>
      <c r="K597" s="10"/>
      <c r="L597" s="10" t="s">
        <v>2351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str">
        <f t="shared" si="212"/>
        <v/>
      </c>
    </row>
    <row r="598" spans="8:59" ht="15" customHeight="1" x14ac:dyDescent="0.3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str">
        <f t="shared" si="212"/>
        <v/>
      </c>
    </row>
    <row r="599" spans="8:59" ht="15" customHeight="1" x14ac:dyDescent="0.35">
      <c r="H599" s="10"/>
      <c r="J599" s="10"/>
      <c r="K599" s="10"/>
      <c r="L599" s="10" t="s">
        <v>2353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str">
        <f t="shared" si="212"/>
        <v/>
      </c>
    </row>
    <row r="600" spans="8:59" ht="15" customHeight="1" thickBot="1" x14ac:dyDescent="0.4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str">
        <f t="shared" si="212"/>
        <v/>
      </c>
    </row>
    <row r="601" spans="8:59" ht="15" customHeight="1" x14ac:dyDescent="0.35">
      <c r="H601" s="10"/>
      <c r="J601" s="10"/>
      <c r="K601" s="10"/>
      <c r="L601" s="10" t="s">
        <v>2365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str">
        <f t="shared" si="212"/>
        <v/>
      </c>
    </row>
    <row r="602" spans="8:59" ht="15" customHeight="1" x14ac:dyDescent="0.35">
      <c r="H602" s="240"/>
      <c r="I602" s="568"/>
      <c r="J602" s="240"/>
      <c r="K602" s="240"/>
      <c r="L602" s="1026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str">
        <f t="shared" si="212"/>
        <v/>
      </c>
    </row>
    <row r="603" spans="8:59" ht="15" customHeight="1" x14ac:dyDescent="0.35">
      <c r="H603" s="240"/>
      <c r="I603" s="568"/>
      <c r="J603" s="240"/>
      <c r="K603" s="240"/>
      <c r="L603" s="1027" t="s">
        <v>2370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str">
        <f t="shared" si="212"/>
        <v/>
      </c>
    </row>
    <row r="604" spans="8:59" ht="15" customHeight="1" x14ac:dyDescent="0.3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str">
        <f t="shared" si="212"/>
        <v/>
      </c>
    </row>
    <row r="605" spans="8:59" ht="15" customHeight="1" x14ac:dyDescent="0.35">
      <c r="H605" s="240"/>
      <c r="I605" s="568"/>
      <c r="J605" s="240"/>
      <c r="K605" s="240"/>
      <c r="L605" s="10" t="s">
        <v>2413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str">
        <f t="shared" si="212"/>
        <v/>
      </c>
    </row>
    <row r="606" spans="8:59" ht="15" customHeight="1" thickBot="1" x14ac:dyDescent="0.4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str">
        <f t="shared" si="212"/>
        <v/>
      </c>
    </row>
    <row r="607" spans="8:59" ht="15" customHeight="1" x14ac:dyDescent="0.35">
      <c r="H607" s="10"/>
      <c r="J607" s="10"/>
      <c r="K607" s="10"/>
      <c r="L607" s="10" t="s">
        <v>2422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str">
        <f t="shared" si="212"/>
        <v/>
      </c>
    </row>
    <row r="608" spans="8:59" ht="15" customHeight="1" x14ac:dyDescent="0.3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str">
        <f t="shared" si="212"/>
        <v/>
      </c>
    </row>
    <row r="609" spans="8:59" ht="15" customHeight="1" x14ac:dyDescent="0.35">
      <c r="H609" s="10"/>
      <c r="J609" s="10"/>
      <c r="K609" s="10"/>
      <c r="L609" s="10" t="s">
        <v>2424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str">
        <f t="shared" si="212"/>
        <v/>
      </c>
    </row>
    <row r="610" spans="8:59" ht="15" customHeight="1" x14ac:dyDescent="0.35">
      <c r="H610" s="10"/>
      <c r="J610" s="10"/>
      <c r="K610" s="10"/>
      <c r="L610" s="1064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str">
        <f t="shared" si="212"/>
        <v/>
      </c>
    </row>
    <row r="611" spans="8:59" ht="15" customHeight="1" x14ac:dyDescent="0.35">
      <c r="H611" s="10"/>
      <c r="J611" s="10"/>
      <c r="K611" s="240"/>
      <c r="L611" s="1064" t="s">
        <v>2431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str">
        <f t="shared" si="212"/>
        <v/>
      </c>
    </row>
    <row r="612" spans="8:59" ht="15" customHeight="1" x14ac:dyDescent="0.3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str">
        <f t="shared" si="212"/>
        <v/>
      </c>
    </row>
    <row r="613" spans="8:59" ht="15" customHeight="1" x14ac:dyDescent="0.35">
      <c r="H613" s="10"/>
      <c r="J613" s="10"/>
      <c r="K613" s="240"/>
      <c r="L613" s="10" t="s">
        <v>2482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str">
        <f t="shared" si="212"/>
        <v/>
      </c>
    </row>
    <row r="614" spans="8:59" ht="15" customHeight="1" thickBot="1" x14ac:dyDescent="0.4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str">
        <f t="shared" si="212"/>
        <v/>
      </c>
    </row>
    <row r="615" spans="8:59" ht="15" customHeight="1" x14ac:dyDescent="0.35">
      <c r="H615" s="10"/>
      <c r="J615" s="10"/>
      <c r="K615" s="240"/>
      <c r="L615" s="10" t="s">
        <v>2483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str">
        <f t="shared" si="212"/>
        <v/>
      </c>
    </row>
    <row r="616" spans="8:59" ht="15" customHeight="1" x14ac:dyDescent="0.3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str">
        <f t="shared" si="212"/>
        <v/>
      </c>
    </row>
    <row r="617" spans="8:59" ht="15" customHeight="1" x14ac:dyDescent="0.35">
      <c r="L617" s="10" t="s">
        <v>2485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str">
        <f t="shared" si="212"/>
        <v/>
      </c>
    </row>
    <row r="618" spans="8:59" ht="15" customHeight="1" x14ac:dyDescent="0.3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str">
        <f t="shared" si="212"/>
        <v/>
      </c>
    </row>
    <row r="619" spans="8:59" ht="15" customHeight="1" x14ac:dyDescent="0.35">
      <c r="L619" s="10" t="s">
        <v>2517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str">
        <f t="shared" si="212"/>
        <v/>
      </c>
    </row>
    <row r="620" spans="8:59" ht="15" customHeight="1" x14ac:dyDescent="0.3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str">
        <f t="shared" si="212"/>
        <v/>
      </c>
    </row>
    <row r="621" spans="8:59" ht="15" customHeight="1" x14ac:dyDescent="0.35">
      <c r="L621" s="10" t="s">
        <v>2519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str">
        <f t="shared" si="212"/>
        <v/>
      </c>
    </row>
    <row r="622" spans="8:59" ht="15" customHeight="1" thickBot="1" x14ac:dyDescent="0.4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str">
        <f t="shared" si="212"/>
        <v/>
      </c>
    </row>
    <row r="623" spans="8:59" ht="15" customHeight="1" x14ac:dyDescent="0.35">
      <c r="L623" s="10" t="s">
        <v>2521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str">
        <f t="shared" ref="BG623:BG686" si="213">IF(VALUE(SUBSTITUTE($B$5,"M",""))=U623,BF623,"")</f>
        <v/>
      </c>
    </row>
    <row r="624" spans="8:59" ht="15" customHeight="1" x14ac:dyDescent="0.35">
      <c r="L624" s="10" t="s">
        <v>2525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str">
        <f t="shared" si="213"/>
        <v/>
      </c>
    </row>
    <row r="625" spans="9:59" ht="15" customHeight="1" x14ac:dyDescent="0.3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str">
        <f t="shared" si="213"/>
        <v/>
      </c>
    </row>
    <row r="626" spans="9:59" ht="15" customHeight="1" x14ac:dyDescent="0.3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str">
        <f t="shared" si="213"/>
        <v/>
      </c>
    </row>
    <row r="627" spans="9:59" ht="15" customHeight="1" x14ac:dyDescent="0.3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str">
        <f t="shared" si="213"/>
        <v/>
      </c>
    </row>
    <row r="628" spans="9:59" ht="15" customHeight="1" x14ac:dyDescent="0.3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str">
        <f t="shared" si="213"/>
        <v/>
      </c>
    </row>
    <row r="629" spans="9:59" ht="15" customHeight="1" thickBot="1" x14ac:dyDescent="0.4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str">
        <f t="shared" si="213"/>
        <v/>
      </c>
    </row>
    <row r="630" spans="9:59" ht="15" customHeight="1" x14ac:dyDescent="0.3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str">
        <f t="shared" si="213"/>
        <v/>
      </c>
    </row>
    <row r="631" spans="9:59" ht="15" customHeight="1" x14ac:dyDescent="0.3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str">
        <f t="shared" si="213"/>
        <v/>
      </c>
    </row>
    <row r="632" spans="9:59" ht="15" customHeight="1" x14ac:dyDescent="0.3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str">
        <f t="shared" si="213"/>
        <v/>
      </c>
    </row>
    <row r="633" spans="9:59" ht="15" customHeight="1" x14ac:dyDescent="0.3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str">
        <f t="shared" si="213"/>
        <v/>
      </c>
    </row>
    <row r="634" spans="9:59" ht="15" customHeight="1" x14ac:dyDescent="0.3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str">
        <f t="shared" si="213"/>
        <v/>
      </c>
    </row>
    <row r="635" spans="9:59" ht="15" customHeight="1" x14ac:dyDescent="0.3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str">
        <f t="shared" si="213"/>
        <v/>
      </c>
    </row>
    <row r="636" spans="9:59" ht="15" customHeight="1" thickBot="1" x14ac:dyDescent="0.4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str">
        <f t="shared" si="213"/>
        <v/>
      </c>
    </row>
    <row r="637" spans="9:59" ht="15" customHeight="1" x14ac:dyDescent="0.3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str">
        <f t="shared" si="213"/>
        <v/>
      </c>
    </row>
    <row r="638" spans="9:59" ht="15" customHeight="1" x14ac:dyDescent="0.3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str">
        <f t="shared" si="213"/>
        <v/>
      </c>
    </row>
    <row r="639" spans="9:59" ht="15" customHeight="1" x14ac:dyDescent="0.3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str">
        <f t="shared" si="213"/>
        <v/>
      </c>
    </row>
    <row r="640" spans="9:59" ht="15" customHeight="1" x14ac:dyDescent="0.3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str">
        <f t="shared" si="213"/>
        <v/>
      </c>
    </row>
    <row r="641" spans="9:59" ht="15" customHeight="1" x14ac:dyDescent="0.3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str">
        <f t="shared" si="213"/>
        <v/>
      </c>
    </row>
    <row r="642" spans="9:59" ht="15" customHeight="1" x14ac:dyDescent="0.3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str">
        <f t="shared" si="213"/>
        <v/>
      </c>
    </row>
    <row r="643" spans="9:59" ht="15" customHeight="1" x14ac:dyDescent="0.3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str">
        <f t="shared" si="213"/>
        <v/>
      </c>
    </row>
    <row r="644" spans="9:59" ht="15" customHeight="1" thickBot="1" x14ac:dyDescent="0.4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str">
        <f t="shared" si="213"/>
        <v/>
      </c>
    </row>
    <row r="645" spans="9:59" ht="15" customHeight="1" x14ac:dyDescent="0.3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str">
        <f t="shared" si="213"/>
        <v/>
      </c>
    </row>
    <row r="646" spans="9:59" ht="15" customHeight="1" x14ac:dyDescent="0.3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str">
        <f t="shared" si="213"/>
        <v/>
      </c>
    </row>
    <row r="647" spans="9:59" ht="15" customHeight="1" x14ac:dyDescent="0.3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str">
        <f t="shared" si="213"/>
        <v/>
      </c>
    </row>
    <row r="648" spans="9:59" ht="15" customHeight="1" x14ac:dyDescent="0.3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str">
        <f t="shared" si="213"/>
        <v/>
      </c>
    </row>
    <row r="649" spans="9:59" ht="15" customHeight="1" x14ac:dyDescent="0.3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str">
        <f t="shared" si="213"/>
        <v/>
      </c>
    </row>
    <row r="650" spans="9:59" ht="15" customHeight="1" x14ac:dyDescent="0.3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str">
        <f t="shared" si="213"/>
        <v/>
      </c>
    </row>
    <row r="651" spans="9:59" ht="15" customHeight="1" thickBot="1" x14ac:dyDescent="0.4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str">
        <f t="shared" si="213"/>
        <v/>
      </c>
    </row>
    <row r="652" spans="9:59" ht="15" customHeight="1" x14ac:dyDescent="0.3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str">
        <f t="shared" si="213"/>
        <v/>
      </c>
    </row>
    <row r="653" spans="9:59" ht="15" customHeight="1" x14ac:dyDescent="0.3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str">
        <f t="shared" si="213"/>
        <v/>
      </c>
    </row>
    <row r="654" spans="9:59" ht="15" customHeight="1" x14ac:dyDescent="0.3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str">
        <f t="shared" si="213"/>
        <v/>
      </c>
    </row>
    <row r="655" spans="9:59" ht="15" customHeight="1" x14ac:dyDescent="0.3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str">
        <f t="shared" si="213"/>
        <v/>
      </c>
    </row>
    <row r="656" spans="9:59" ht="15" customHeight="1" x14ac:dyDescent="0.3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str">
        <f t="shared" si="213"/>
        <v/>
      </c>
    </row>
    <row r="657" spans="14:59" ht="15" customHeight="1" thickBot="1" x14ac:dyDescent="0.4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str">
        <f t="shared" si="213"/>
        <v/>
      </c>
    </row>
    <row r="658" spans="14:59" ht="15" customHeight="1" x14ac:dyDescent="0.3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str">
        <f t="shared" si="213"/>
        <v/>
      </c>
    </row>
    <row r="659" spans="14:59" ht="15" customHeight="1" x14ac:dyDescent="0.3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str">
        <f t="shared" si="213"/>
        <v/>
      </c>
    </row>
    <row r="660" spans="14:59" ht="15" customHeight="1" x14ac:dyDescent="0.3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str">
        <f t="shared" si="213"/>
        <v/>
      </c>
    </row>
    <row r="661" spans="14:59" ht="15" customHeight="1" x14ac:dyDescent="0.3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str">
        <f t="shared" si="213"/>
        <v/>
      </c>
    </row>
    <row r="662" spans="14:59" ht="15" customHeight="1" x14ac:dyDescent="0.3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str">
        <f t="shared" si="213"/>
        <v/>
      </c>
    </row>
    <row r="663" spans="14:59" ht="15" customHeight="1" x14ac:dyDescent="0.3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str">
        <f t="shared" si="213"/>
        <v/>
      </c>
    </row>
    <row r="664" spans="14:59" ht="15" customHeight="1" thickBot="1" x14ac:dyDescent="0.4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str">
        <f t="shared" si="213"/>
        <v/>
      </c>
    </row>
    <row r="665" spans="14:59" ht="15" customHeight="1" x14ac:dyDescent="0.3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str">
        <f t="shared" si="213"/>
        <v/>
      </c>
    </row>
    <row r="666" spans="14:59" ht="15" customHeight="1" x14ac:dyDescent="0.3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str">
        <f t="shared" si="213"/>
        <v/>
      </c>
    </row>
    <row r="667" spans="14:59" ht="15" customHeight="1" x14ac:dyDescent="0.3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str">
        <f t="shared" si="213"/>
        <v/>
      </c>
    </row>
    <row r="668" spans="14:59" ht="15" customHeight="1" x14ac:dyDescent="0.3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str">
        <f t="shared" si="213"/>
        <v/>
      </c>
    </row>
    <row r="669" spans="14:59" ht="15" customHeight="1" x14ac:dyDescent="0.3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str">
        <f t="shared" si="213"/>
        <v/>
      </c>
    </row>
    <row r="670" spans="14:59" ht="15" customHeight="1" x14ac:dyDescent="0.3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str">
        <f t="shared" si="213"/>
        <v/>
      </c>
    </row>
    <row r="671" spans="14:59" ht="15" customHeight="1" thickBot="1" x14ac:dyDescent="0.4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str">
        <f t="shared" si="213"/>
        <v/>
      </c>
    </row>
    <row r="672" spans="14:59" ht="15" customHeight="1" x14ac:dyDescent="0.3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str">
        <f t="shared" si="213"/>
        <v/>
      </c>
    </row>
    <row r="673" spans="15:59" ht="15" customHeight="1" x14ac:dyDescent="0.3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str">
        <f t="shared" si="213"/>
        <v/>
      </c>
    </row>
    <row r="674" spans="15:59" ht="15" customHeight="1" x14ac:dyDescent="0.3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str">
        <f t="shared" si="213"/>
        <v/>
      </c>
    </row>
    <row r="675" spans="15:59" ht="15" customHeight="1" x14ac:dyDescent="0.3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str">
        <f t="shared" si="213"/>
        <v/>
      </c>
    </row>
    <row r="676" spans="15:59" ht="15" customHeight="1" x14ac:dyDescent="0.3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str">
        <f t="shared" si="213"/>
        <v/>
      </c>
    </row>
    <row r="677" spans="15:59" ht="15" customHeight="1" thickBot="1" x14ac:dyDescent="0.4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str">
        <f t="shared" si="213"/>
        <v/>
      </c>
    </row>
    <row r="678" spans="15:59" ht="15" customHeight="1" x14ac:dyDescent="0.3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str">
        <f t="shared" si="213"/>
        <v/>
      </c>
    </row>
    <row r="679" spans="15:59" ht="15" customHeight="1" x14ac:dyDescent="0.3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str">
        <f t="shared" si="213"/>
        <v/>
      </c>
    </row>
    <row r="680" spans="15:59" ht="15" customHeight="1" x14ac:dyDescent="0.3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str">
        <f t="shared" si="213"/>
        <v/>
      </c>
    </row>
    <row r="681" spans="15:59" ht="15" customHeight="1" x14ac:dyDescent="0.3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str">
        <f t="shared" si="213"/>
        <v/>
      </c>
    </row>
    <row r="682" spans="15:59" ht="15" customHeight="1" x14ac:dyDescent="0.3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str">
        <f t="shared" si="213"/>
        <v/>
      </c>
    </row>
    <row r="683" spans="15:59" ht="15" customHeight="1" thickBot="1" x14ac:dyDescent="0.4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str">
        <f t="shared" si="213"/>
        <v/>
      </c>
    </row>
    <row r="684" spans="15:59" ht="15" customHeight="1" x14ac:dyDescent="0.3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str">
        <f t="shared" si="213"/>
        <v/>
      </c>
    </row>
    <row r="685" spans="15:59" ht="15" customHeight="1" x14ac:dyDescent="0.3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str">
        <f t="shared" si="213"/>
        <v/>
      </c>
    </row>
    <row r="686" spans="15:59" ht="15" customHeight="1" x14ac:dyDescent="0.3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str">
        <f t="shared" si="213"/>
        <v/>
      </c>
    </row>
    <row r="687" spans="15:59" ht="15" customHeight="1" x14ac:dyDescent="0.3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str">
        <f t="shared" ref="BG687:BG750" si="214">IF(VALUE(SUBSTITUTE($B$5,"M",""))=U687,BF687,"")</f>
        <v/>
      </c>
    </row>
    <row r="688" spans="15:59" ht="15" customHeight="1" x14ac:dyDescent="0.3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str">
        <f t="shared" si="214"/>
        <v/>
      </c>
    </row>
    <row r="689" spans="15:59" ht="15" customHeight="1" thickBot="1" x14ac:dyDescent="0.4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str">
        <f t="shared" si="214"/>
        <v/>
      </c>
    </row>
    <row r="690" spans="15:59" ht="15" customHeight="1" x14ac:dyDescent="0.3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str">
        <f t="shared" si="214"/>
        <v/>
      </c>
    </row>
    <row r="691" spans="15:59" ht="15" customHeight="1" x14ac:dyDescent="0.3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str">
        <f t="shared" si="214"/>
        <v/>
      </c>
    </row>
    <row r="692" spans="15:59" ht="15" customHeight="1" x14ac:dyDescent="0.3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str">
        <f t="shared" si="214"/>
        <v/>
      </c>
    </row>
    <row r="693" spans="15:59" ht="15" customHeight="1" x14ac:dyDescent="0.3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str">
        <f t="shared" si="214"/>
        <v/>
      </c>
    </row>
    <row r="694" spans="15:59" ht="15" customHeight="1" x14ac:dyDescent="0.3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str">
        <f t="shared" si="214"/>
        <v/>
      </c>
    </row>
    <row r="695" spans="15:59" ht="15" customHeight="1" thickBot="1" x14ac:dyDescent="0.4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str">
        <f t="shared" si="214"/>
        <v/>
      </c>
    </row>
    <row r="696" spans="15:59" ht="15" customHeight="1" x14ac:dyDescent="0.3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str">
        <f t="shared" si="214"/>
        <v/>
      </c>
    </row>
    <row r="697" spans="15:59" ht="15" customHeight="1" x14ac:dyDescent="0.3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str">
        <f t="shared" si="214"/>
        <v/>
      </c>
    </row>
    <row r="698" spans="15:59" ht="15" customHeight="1" x14ac:dyDescent="0.3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str">
        <f t="shared" si="214"/>
        <v/>
      </c>
    </row>
    <row r="699" spans="15:59" ht="15" customHeight="1" x14ac:dyDescent="0.3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str">
        <f t="shared" si="214"/>
        <v/>
      </c>
    </row>
    <row r="700" spans="15:59" ht="15" customHeight="1" x14ac:dyDescent="0.3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str">
        <f t="shared" si="214"/>
        <v/>
      </c>
    </row>
    <row r="701" spans="15:59" ht="15" customHeight="1" thickBot="1" x14ac:dyDescent="0.4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str">
        <f t="shared" si="214"/>
        <v/>
      </c>
    </row>
    <row r="702" spans="15:59" ht="15" customHeight="1" x14ac:dyDescent="0.3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str">
        <f t="shared" si="214"/>
        <v/>
      </c>
    </row>
    <row r="703" spans="15:59" ht="15" customHeight="1" x14ac:dyDescent="0.3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str">
        <f t="shared" si="214"/>
        <v/>
      </c>
    </row>
    <row r="704" spans="15:59" ht="15" customHeight="1" x14ac:dyDescent="0.3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str">
        <f t="shared" si="214"/>
        <v/>
      </c>
    </row>
    <row r="705" spans="15:59" ht="15" customHeight="1" x14ac:dyDescent="0.3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str">
        <f t="shared" si="214"/>
        <v/>
      </c>
    </row>
    <row r="706" spans="15:59" ht="15" customHeight="1" x14ac:dyDescent="0.3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str">
        <f t="shared" si="214"/>
        <v/>
      </c>
    </row>
    <row r="707" spans="15:59" ht="15" customHeight="1" thickBot="1" x14ac:dyDescent="0.4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str">
        <f t="shared" si="214"/>
        <v/>
      </c>
    </row>
    <row r="708" spans="15:59" ht="15" customHeight="1" x14ac:dyDescent="0.3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str">
        <f t="shared" si="214"/>
        <v/>
      </c>
    </row>
    <row r="709" spans="15:59" ht="15" customHeight="1" x14ac:dyDescent="0.3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str">
        <f t="shared" si="214"/>
        <v/>
      </c>
    </row>
    <row r="710" spans="15:59" ht="15" customHeight="1" x14ac:dyDescent="0.3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str">
        <f t="shared" si="214"/>
        <v/>
      </c>
    </row>
    <row r="711" spans="15:59" ht="15" customHeight="1" x14ac:dyDescent="0.3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str">
        <f t="shared" si="214"/>
        <v/>
      </c>
    </row>
    <row r="712" spans="15:59" ht="15" customHeight="1" x14ac:dyDescent="0.3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str">
        <f t="shared" si="214"/>
        <v/>
      </c>
    </row>
    <row r="713" spans="15:59" ht="15" customHeight="1" x14ac:dyDescent="0.3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str">
        <f t="shared" si="214"/>
        <v/>
      </c>
    </row>
    <row r="714" spans="15:59" ht="15" customHeight="1" thickBot="1" x14ac:dyDescent="0.4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str">
        <f t="shared" si="214"/>
        <v/>
      </c>
    </row>
    <row r="715" spans="15:59" ht="15" customHeight="1" x14ac:dyDescent="0.3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str">
        <f t="shared" si="214"/>
        <v/>
      </c>
    </row>
    <row r="716" spans="15:59" ht="15" customHeight="1" x14ac:dyDescent="0.3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str">
        <f t="shared" si="214"/>
        <v/>
      </c>
    </row>
    <row r="717" spans="15:59" ht="15" customHeight="1" x14ac:dyDescent="0.3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str">
        <f t="shared" si="214"/>
        <v/>
      </c>
    </row>
    <row r="718" spans="15:59" ht="15" customHeight="1" x14ac:dyDescent="0.3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str">
        <f t="shared" si="214"/>
        <v/>
      </c>
    </row>
    <row r="719" spans="15:59" ht="15" customHeight="1" x14ac:dyDescent="0.3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str">
        <f t="shared" si="214"/>
        <v/>
      </c>
    </row>
    <row r="720" spans="15:59" ht="15" customHeight="1" thickBot="1" x14ac:dyDescent="0.4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str">
        <f t="shared" si="214"/>
        <v/>
      </c>
    </row>
    <row r="721" spans="15:59" ht="15" customHeight="1" x14ac:dyDescent="0.3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>
        <f t="shared" si="214"/>
        <v>676</v>
      </c>
    </row>
    <row r="722" spans="15:59" ht="15" customHeight="1" x14ac:dyDescent="0.3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>
        <f t="shared" si="214"/>
        <v>677</v>
      </c>
    </row>
    <row r="723" spans="15:59" ht="15" customHeight="1" x14ac:dyDescent="0.3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>
        <f t="shared" si="214"/>
        <v>678</v>
      </c>
    </row>
    <row r="724" spans="15:59" ht="15" customHeight="1" x14ac:dyDescent="0.3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>
        <f t="shared" si="214"/>
        <v>679</v>
      </c>
    </row>
    <row r="725" spans="15:59" ht="15" customHeight="1" x14ac:dyDescent="0.3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>
        <f t="shared" si="214"/>
        <v>680</v>
      </c>
    </row>
    <row r="726" spans="15:59" ht="15" customHeight="1" thickBot="1" x14ac:dyDescent="0.4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>
        <f t="shared" si="214"/>
        <v>681</v>
      </c>
    </row>
    <row r="727" spans="15:59" ht="15" customHeight="1" x14ac:dyDescent="0.3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str">
        <f t="shared" si="214"/>
        <v/>
      </c>
    </row>
    <row r="728" spans="15:59" ht="15" customHeight="1" x14ac:dyDescent="0.3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str">
        <f t="shared" si="214"/>
        <v/>
      </c>
    </row>
    <row r="729" spans="15:59" ht="15" customHeight="1" x14ac:dyDescent="0.3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str">
        <f t="shared" si="214"/>
        <v/>
      </c>
    </row>
    <row r="730" spans="15:59" ht="15" customHeight="1" x14ac:dyDescent="0.3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str">
        <f t="shared" si="214"/>
        <v/>
      </c>
    </row>
    <row r="731" spans="15:59" ht="15" customHeight="1" x14ac:dyDescent="0.3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str">
        <f t="shared" si="214"/>
        <v/>
      </c>
    </row>
    <row r="732" spans="15:59" ht="15" customHeight="1" thickBot="1" x14ac:dyDescent="0.4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str">
        <f t="shared" si="214"/>
        <v/>
      </c>
    </row>
    <row r="733" spans="15:59" ht="15" customHeight="1" x14ac:dyDescent="0.3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str">
        <f t="shared" si="214"/>
        <v/>
      </c>
    </row>
    <row r="734" spans="15:59" ht="15" customHeight="1" x14ac:dyDescent="0.3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str">
        <f t="shared" si="214"/>
        <v/>
      </c>
    </row>
    <row r="735" spans="15:59" ht="15" customHeight="1" x14ac:dyDescent="0.3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str">
        <f t="shared" si="214"/>
        <v/>
      </c>
    </row>
    <row r="736" spans="15:59" ht="15" customHeight="1" x14ac:dyDescent="0.3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str">
        <f t="shared" si="214"/>
        <v/>
      </c>
    </row>
    <row r="737" spans="15:59" ht="15" customHeight="1" x14ac:dyDescent="0.3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str">
        <f t="shared" si="214"/>
        <v/>
      </c>
    </row>
    <row r="738" spans="15:59" ht="15" customHeight="1" thickBot="1" x14ac:dyDescent="0.4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str">
        <f t="shared" si="214"/>
        <v/>
      </c>
    </row>
    <row r="739" spans="15:59" ht="15" customHeight="1" x14ac:dyDescent="0.3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str">
        <f t="shared" si="214"/>
        <v/>
      </c>
    </row>
    <row r="740" spans="15:59" ht="15" customHeight="1" x14ac:dyDescent="0.3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str">
        <f t="shared" si="214"/>
        <v/>
      </c>
    </row>
    <row r="741" spans="15:59" ht="15" customHeight="1" x14ac:dyDescent="0.3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str">
        <f t="shared" si="214"/>
        <v/>
      </c>
    </row>
    <row r="742" spans="15:59" ht="15" customHeight="1" x14ac:dyDescent="0.3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str">
        <f t="shared" si="214"/>
        <v/>
      </c>
    </row>
    <row r="743" spans="15:59" ht="15" customHeight="1" x14ac:dyDescent="0.3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str">
        <f t="shared" si="214"/>
        <v/>
      </c>
    </row>
    <row r="744" spans="15:59" ht="15" customHeight="1" x14ac:dyDescent="0.3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str">
        <f t="shared" si="214"/>
        <v/>
      </c>
    </row>
    <row r="745" spans="15:59" ht="15" customHeight="1" thickBot="1" x14ac:dyDescent="0.4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str">
        <f t="shared" si="214"/>
        <v/>
      </c>
    </row>
    <row r="746" spans="15:59" ht="15" customHeight="1" x14ac:dyDescent="0.3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str">
        <f t="shared" si="214"/>
        <v/>
      </c>
    </row>
    <row r="747" spans="15:59" ht="15" customHeight="1" x14ac:dyDescent="0.3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str">
        <f t="shared" si="214"/>
        <v/>
      </c>
    </row>
    <row r="748" spans="15:59" ht="15" customHeight="1" x14ac:dyDescent="0.3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str">
        <f t="shared" si="214"/>
        <v/>
      </c>
    </row>
    <row r="749" spans="15:59" ht="15" customHeight="1" x14ac:dyDescent="0.3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str">
        <f t="shared" si="214"/>
        <v/>
      </c>
    </row>
    <row r="750" spans="15:59" ht="15" customHeight="1" x14ac:dyDescent="0.3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str">
        <f t="shared" si="214"/>
        <v/>
      </c>
    </row>
    <row r="751" spans="15:59" ht="15" customHeight="1" x14ac:dyDescent="0.3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str">
        <f t="shared" ref="BG751:BG814" si="215">IF(VALUE(SUBSTITUTE($B$5,"M",""))=U751,BF751,"")</f>
        <v/>
      </c>
    </row>
    <row r="752" spans="15:59" ht="15" customHeight="1" thickBot="1" x14ac:dyDescent="0.4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str">
        <f t="shared" si="215"/>
        <v/>
      </c>
    </row>
    <row r="753" spans="7:59" ht="15" customHeight="1" x14ac:dyDescent="0.3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str">
        <f t="shared" si="215"/>
        <v/>
      </c>
    </row>
    <row r="754" spans="7:59" ht="15" customHeight="1" x14ac:dyDescent="0.3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str">
        <f t="shared" si="215"/>
        <v/>
      </c>
    </row>
    <row r="755" spans="7:59" ht="15" customHeight="1" x14ac:dyDescent="0.3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str">
        <f t="shared" si="215"/>
        <v/>
      </c>
    </row>
    <row r="756" spans="7:59" ht="15" customHeight="1" x14ac:dyDescent="0.3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str">
        <f t="shared" si="215"/>
        <v/>
      </c>
    </row>
    <row r="757" spans="7:59" ht="15" customHeight="1" x14ac:dyDescent="0.3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str">
        <f t="shared" si="215"/>
        <v/>
      </c>
    </row>
    <row r="758" spans="7:59" ht="15" customHeight="1" thickBot="1" x14ac:dyDescent="0.4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str">
        <f t="shared" si="215"/>
        <v/>
      </c>
    </row>
    <row r="759" spans="7:59" ht="15" customHeight="1" x14ac:dyDescent="0.3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str">
        <f t="shared" si="215"/>
        <v/>
      </c>
    </row>
    <row r="760" spans="7:59" ht="15" customHeight="1" x14ac:dyDescent="0.3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str">
        <f t="shared" si="215"/>
        <v/>
      </c>
    </row>
    <row r="761" spans="7:59" ht="15" customHeight="1" x14ac:dyDescent="0.3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str">
        <f t="shared" si="215"/>
        <v/>
      </c>
    </row>
    <row r="762" spans="7:59" ht="15" customHeight="1" x14ac:dyDescent="0.3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str">
        <f t="shared" si="215"/>
        <v/>
      </c>
    </row>
    <row r="763" spans="7:59" ht="15" customHeight="1" x14ac:dyDescent="0.3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str">
        <f t="shared" si="215"/>
        <v/>
      </c>
    </row>
    <row r="764" spans="7:59" ht="15" customHeight="1" thickBot="1" x14ac:dyDescent="0.4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str">
        <f t="shared" si="215"/>
        <v/>
      </c>
    </row>
    <row r="765" spans="7:59" ht="15" customHeight="1" x14ac:dyDescent="0.3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str">
        <f t="shared" si="215"/>
        <v/>
      </c>
    </row>
    <row r="766" spans="7:59" ht="15" customHeight="1" x14ac:dyDescent="0.3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str">
        <f t="shared" si="215"/>
        <v/>
      </c>
    </row>
    <row r="767" spans="7:59" ht="15" customHeight="1" x14ac:dyDescent="0.3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str">
        <f t="shared" si="215"/>
        <v/>
      </c>
    </row>
    <row r="768" spans="7:59" ht="15" customHeight="1" x14ac:dyDescent="0.3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str">
        <f t="shared" si="215"/>
        <v/>
      </c>
    </row>
    <row r="769" spans="15:59" ht="15" customHeight="1" thickBot="1" x14ac:dyDescent="0.4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str">
        <f t="shared" si="215"/>
        <v/>
      </c>
    </row>
    <row r="770" spans="15:59" ht="15" customHeight="1" x14ac:dyDescent="0.3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str">
        <f t="shared" si="215"/>
        <v/>
      </c>
    </row>
    <row r="771" spans="15:59" ht="15" customHeight="1" x14ac:dyDescent="0.3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str">
        <f t="shared" si="215"/>
        <v/>
      </c>
    </row>
    <row r="772" spans="15:59" ht="15" customHeight="1" x14ac:dyDescent="0.3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str">
        <f t="shared" si="215"/>
        <v/>
      </c>
    </row>
    <row r="773" spans="15:59" ht="15" customHeight="1" x14ac:dyDescent="0.3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str">
        <f t="shared" si="215"/>
        <v/>
      </c>
    </row>
    <row r="774" spans="15:59" ht="15" customHeight="1" x14ac:dyDescent="0.3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str">
        <f t="shared" si="215"/>
        <v/>
      </c>
    </row>
    <row r="775" spans="15:59" ht="15" customHeight="1" thickBot="1" x14ac:dyDescent="0.4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str">
        <f t="shared" si="215"/>
        <v/>
      </c>
    </row>
    <row r="776" spans="15:59" ht="15" customHeight="1" x14ac:dyDescent="0.3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str">
        <f t="shared" si="215"/>
        <v/>
      </c>
    </row>
    <row r="777" spans="15:59" ht="15" customHeight="1" x14ac:dyDescent="0.3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str">
        <f t="shared" si="215"/>
        <v/>
      </c>
    </row>
    <row r="778" spans="15:59" ht="15" customHeight="1" x14ac:dyDescent="0.3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str">
        <f t="shared" si="215"/>
        <v/>
      </c>
    </row>
    <row r="779" spans="15:59" ht="15" customHeight="1" x14ac:dyDescent="0.3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str">
        <f t="shared" si="215"/>
        <v/>
      </c>
    </row>
    <row r="780" spans="15:59" ht="15" customHeight="1" x14ac:dyDescent="0.3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str">
        <f t="shared" si="215"/>
        <v/>
      </c>
    </row>
    <row r="781" spans="15:59" ht="15" customHeight="1" thickBot="1" x14ac:dyDescent="0.4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str">
        <f t="shared" si="215"/>
        <v/>
      </c>
    </row>
    <row r="782" spans="15:59" ht="15" customHeight="1" x14ac:dyDescent="0.3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str">
        <f t="shared" si="215"/>
        <v/>
      </c>
    </row>
    <row r="783" spans="15:59" ht="15" customHeight="1" x14ac:dyDescent="0.3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str">
        <f t="shared" si="215"/>
        <v/>
      </c>
    </row>
    <row r="784" spans="15:59" ht="15" customHeight="1" x14ac:dyDescent="0.3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str">
        <f t="shared" si="215"/>
        <v/>
      </c>
    </row>
    <row r="785" spans="15:59" ht="15" customHeight="1" x14ac:dyDescent="0.3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str">
        <f t="shared" si="215"/>
        <v/>
      </c>
    </row>
    <row r="786" spans="15:59" ht="15" customHeight="1" x14ac:dyDescent="0.3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str">
        <f t="shared" si="215"/>
        <v/>
      </c>
    </row>
    <row r="787" spans="15:59" ht="15" customHeight="1" thickBot="1" x14ac:dyDescent="0.4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str">
        <f t="shared" si="215"/>
        <v/>
      </c>
    </row>
    <row r="788" spans="15:59" ht="15" customHeight="1" x14ac:dyDescent="0.3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str">
        <f t="shared" si="215"/>
        <v/>
      </c>
    </row>
    <row r="789" spans="15:59" ht="15" customHeight="1" x14ac:dyDescent="0.3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str">
        <f t="shared" si="215"/>
        <v/>
      </c>
    </row>
    <row r="790" spans="15:59" ht="15" customHeight="1" x14ac:dyDescent="0.3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str">
        <f t="shared" si="215"/>
        <v/>
      </c>
    </row>
    <row r="791" spans="15:59" ht="15" customHeight="1" x14ac:dyDescent="0.3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str">
        <f t="shared" si="215"/>
        <v/>
      </c>
    </row>
    <row r="792" spans="15:59" ht="15" customHeight="1" x14ac:dyDescent="0.3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str">
        <f t="shared" si="215"/>
        <v/>
      </c>
    </row>
    <row r="793" spans="15:59" ht="15" customHeight="1" thickBot="1" x14ac:dyDescent="0.4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str">
        <f t="shared" si="215"/>
        <v/>
      </c>
    </row>
    <row r="794" spans="15:59" ht="15" customHeight="1" x14ac:dyDescent="0.3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str">
        <f t="shared" si="215"/>
        <v/>
      </c>
    </row>
    <row r="795" spans="15:59" ht="15" customHeight="1" x14ac:dyDescent="0.3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str">
        <f t="shared" si="215"/>
        <v/>
      </c>
    </row>
    <row r="796" spans="15:59" ht="15" customHeight="1" x14ac:dyDescent="0.3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str">
        <f t="shared" si="215"/>
        <v/>
      </c>
    </row>
    <row r="797" spans="15:59" ht="15" customHeight="1" x14ac:dyDescent="0.3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str">
        <f t="shared" si="215"/>
        <v/>
      </c>
    </row>
    <row r="798" spans="15:59" ht="15" customHeight="1" x14ac:dyDescent="0.3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str">
        <f t="shared" si="215"/>
        <v/>
      </c>
    </row>
    <row r="799" spans="15:59" ht="15" customHeight="1" x14ac:dyDescent="0.3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str">
        <f t="shared" si="215"/>
        <v/>
      </c>
    </row>
    <row r="800" spans="15:59" ht="15" customHeight="1" x14ac:dyDescent="0.3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str">
        <f t="shared" si="215"/>
        <v/>
      </c>
    </row>
    <row r="801" spans="15:59" ht="15" customHeight="1" thickBot="1" x14ac:dyDescent="0.4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str">
        <f t="shared" si="215"/>
        <v/>
      </c>
    </row>
    <row r="802" spans="15:59" ht="15" customHeight="1" x14ac:dyDescent="0.3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str">
        <f t="shared" si="215"/>
        <v/>
      </c>
    </row>
    <row r="803" spans="15:59" ht="15" customHeight="1" x14ac:dyDescent="0.3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str">
        <f t="shared" si="215"/>
        <v/>
      </c>
    </row>
    <row r="804" spans="15:59" ht="15" customHeight="1" x14ac:dyDescent="0.3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str">
        <f t="shared" si="215"/>
        <v/>
      </c>
    </row>
    <row r="805" spans="15:59" ht="15" customHeight="1" x14ac:dyDescent="0.3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str">
        <f t="shared" si="215"/>
        <v/>
      </c>
    </row>
    <row r="806" spans="15:59" ht="15" customHeight="1" x14ac:dyDescent="0.3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str">
        <f t="shared" si="215"/>
        <v/>
      </c>
    </row>
    <row r="807" spans="15:59" ht="15" customHeight="1" x14ac:dyDescent="0.3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str">
        <f t="shared" si="215"/>
        <v/>
      </c>
    </row>
    <row r="808" spans="15:59" ht="15" customHeight="1" x14ac:dyDescent="0.3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str">
        <f t="shared" si="215"/>
        <v/>
      </c>
    </row>
    <row r="809" spans="15:59" ht="15" customHeight="1" thickBot="1" x14ac:dyDescent="0.4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str">
        <f t="shared" si="215"/>
        <v/>
      </c>
    </row>
    <row r="810" spans="15:59" ht="15" customHeight="1" x14ac:dyDescent="0.3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str">
        <f t="shared" si="215"/>
        <v/>
      </c>
    </row>
    <row r="811" spans="15:59" ht="15" customHeight="1" x14ac:dyDescent="0.3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str">
        <f t="shared" si="215"/>
        <v/>
      </c>
    </row>
    <row r="812" spans="15:59" ht="15" customHeight="1" x14ac:dyDescent="0.3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str">
        <f t="shared" si="215"/>
        <v/>
      </c>
    </row>
    <row r="813" spans="15:59" ht="15" customHeight="1" x14ac:dyDescent="0.3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str">
        <f t="shared" si="215"/>
        <v/>
      </c>
    </row>
    <row r="814" spans="15:59" ht="15" customHeight="1" x14ac:dyDescent="0.3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str">
        <f t="shared" si="215"/>
        <v/>
      </c>
    </row>
    <row r="815" spans="15:59" ht="15" customHeight="1" x14ac:dyDescent="0.3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str">
        <f t="shared" ref="BG815:BG878" si="216">IF(VALUE(SUBSTITUTE($B$5,"M",""))=U815,BF815,"")</f>
        <v/>
      </c>
    </row>
    <row r="816" spans="15:59" ht="15" customHeight="1" x14ac:dyDescent="0.3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str">
        <f t="shared" si="216"/>
        <v/>
      </c>
    </row>
    <row r="817" spans="10:59" ht="15" customHeight="1" thickBot="1" x14ac:dyDescent="0.4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str">
        <f t="shared" si="216"/>
        <v/>
      </c>
    </row>
    <row r="818" spans="10:59" ht="15" customHeight="1" x14ac:dyDescent="0.3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str">
        <f t="shared" si="216"/>
        <v/>
      </c>
    </row>
    <row r="819" spans="10:59" ht="15" customHeight="1" x14ac:dyDescent="0.3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str">
        <f t="shared" si="216"/>
        <v/>
      </c>
    </row>
    <row r="820" spans="10:59" ht="15" customHeight="1" x14ac:dyDescent="0.3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str">
        <f t="shared" si="216"/>
        <v/>
      </c>
    </row>
    <row r="821" spans="10:59" ht="15" customHeight="1" x14ac:dyDescent="0.3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str">
        <f t="shared" si="216"/>
        <v/>
      </c>
    </row>
    <row r="822" spans="10:59" ht="15" customHeight="1" x14ac:dyDescent="0.3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str">
        <f t="shared" si="216"/>
        <v/>
      </c>
    </row>
    <row r="823" spans="10:59" ht="15" customHeight="1" x14ac:dyDescent="0.3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str">
        <f t="shared" si="216"/>
        <v/>
      </c>
    </row>
    <row r="824" spans="10:59" ht="15" customHeight="1" x14ac:dyDescent="0.3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str">
        <f t="shared" si="216"/>
        <v/>
      </c>
    </row>
    <row r="825" spans="10:59" ht="15" customHeight="1" x14ac:dyDescent="0.3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str">
        <f t="shared" si="216"/>
        <v/>
      </c>
    </row>
    <row r="826" spans="10:59" ht="15" customHeight="1" thickBot="1" x14ac:dyDescent="0.4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str">
        <f t="shared" si="216"/>
        <v/>
      </c>
    </row>
    <row r="827" spans="10:59" ht="15" customHeight="1" x14ac:dyDescent="0.3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str">
        <f t="shared" si="216"/>
        <v/>
      </c>
    </row>
    <row r="828" spans="10:59" ht="15" customHeight="1" x14ac:dyDescent="0.3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str">
        <f t="shared" si="216"/>
        <v/>
      </c>
    </row>
    <row r="829" spans="10:59" ht="15" customHeight="1" x14ac:dyDescent="0.3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str">
        <f t="shared" si="216"/>
        <v/>
      </c>
    </row>
    <row r="830" spans="10:59" ht="15" customHeight="1" x14ac:dyDescent="0.3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str">
        <f t="shared" si="216"/>
        <v/>
      </c>
    </row>
    <row r="831" spans="10:59" ht="15" customHeight="1" thickBot="1" x14ac:dyDescent="0.4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str">
        <f t="shared" si="216"/>
        <v/>
      </c>
    </row>
    <row r="832" spans="10:59" ht="15" customHeight="1" x14ac:dyDescent="0.3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str">
        <f t="shared" si="216"/>
        <v/>
      </c>
    </row>
    <row r="833" spans="14:59" ht="15" customHeight="1" x14ac:dyDescent="0.3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str">
        <f t="shared" si="216"/>
        <v/>
      </c>
    </row>
    <row r="834" spans="14:59" ht="15" customHeight="1" x14ac:dyDescent="0.3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str">
        <f t="shared" si="216"/>
        <v/>
      </c>
    </row>
    <row r="835" spans="14:59" ht="15" customHeight="1" x14ac:dyDescent="0.3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str">
        <f t="shared" si="216"/>
        <v/>
      </c>
    </row>
    <row r="836" spans="14:59" ht="15" customHeight="1" x14ac:dyDescent="0.3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str">
        <f t="shared" si="216"/>
        <v/>
      </c>
    </row>
    <row r="837" spans="14:59" ht="15" customHeight="1" thickBot="1" x14ac:dyDescent="0.4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str">
        <f t="shared" si="216"/>
        <v/>
      </c>
    </row>
    <row r="838" spans="14:59" ht="15" customHeight="1" x14ac:dyDescent="0.3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str">
        <f t="shared" si="216"/>
        <v/>
      </c>
    </row>
    <row r="839" spans="14:59" ht="15" customHeight="1" x14ac:dyDescent="0.3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str">
        <f t="shared" si="216"/>
        <v/>
      </c>
    </row>
    <row r="840" spans="14:59" ht="15" customHeight="1" x14ac:dyDescent="0.3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str">
        <f t="shared" si="216"/>
        <v/>
      </c>
    </row>
    <row r="841" spans="14:59" ht="15" customHeight="1" x14ac:dyDescent="0.3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str">
        <f t="shared" si="216"/>
        <v/>
      </c>
    </row>
    <row r="842" spans="14:59" ht="15" customHeight="1" thickBot="1" x14ac:dyDescent="0.4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str">
        <f t="shared" si="216"/>
        <v/>
      </c>
    </row>
    <row r="843" spans="14:59" ht="15" customHeight="1" x14ac:dyDescent="0.3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str">
        <f t="shared" si="216"/>
        <v/>
      </c>
    </row>
    <row r="844" spans="14:59" ht="15" customHeight="1" x14ac:dyDescent="0.3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str">
        <f t="shared" si="216"/>
        <v/>
      </c>
    </row>
    <row r="845" spans="14:59" ht="15" customHeight="1" x14ac:dyDescent="0.3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str">
        <f t="shared" si="216"/>
        <v/>
      </c>
    </row>
    <row r="846" spans="14:59" ht="15" customHeight="1" x14ac:dyDescent="0.3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str">
        <f t="shared" si="216"/>
        <v/>
      </c>
    </row>
    <row r="847" spans="14:59" ht="15" customHeight="1" x14ac:dyDescent="0.3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str">
        <f t="shared" si="216"/>
        <v/>
      </c>
    </row>
    <row r="848" spans="14:59" ht="15" customHeight="1" thickBot="1" x14ac:dyDescent="0.4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str">
        <f t="shared" si="216"/>
        <v/>
      </c>
    </row>
    <row r="849" spans="11:59" ht="15" customHeight="1" x14ac:dyDescent="0.3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str">
        <f t="shared" si="216"/>
        <v/>
      </c>
    </row>
    <row r="850" spans="11:59" ht="15" customHeight="1" x14ac:dyDescent="0.3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str">
        <f t="shared" si="216"/>
        <v/>
      </c>
    </row>
    <row r="851" spans="11:59" ht="15" customHeight="1" x14ac:dyDescent="0.3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str">
        <f t="shared" si="216"/>
        <v/>
      </c>
    </row>
    <row r="852" spans="11:59" ht="15" customHeight="1" x14ac:dyDescent="0.3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str">
        <f t="shared" si="216"/>
        <v/>
      </c>
    </row>
    <row r="853" spans="11:59" ht="15" customHeight="1" x14ac:dyDescent="0.3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str">
        <f t="shared" si="216"/>
        <v/>
      </c>
    </row>
    <row r="854" spans="11:59" ht="15" customHeight="1" x14ac:dyDescent="0.3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str">
        <f t="shared" si="216"/>
        <v/>
      </c>
    </row>
    <row r="855" spans="11:59" ht="15" customHeight="1" x14ac:dyDescent="0.3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str">
        <f t="shared" si="216"/>
        <v/>
      </c>
    </row>
    <row r="856" spans="11:59" ht="15" customHeight="1" x14ac:dyDescent="0.3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str">
        <f t="shared" si="216"/>
        <v/>
      </c>
    </row>
    <row r="857" spans="11:59" ht="15" customHeight="1" thickBot="1" x14ac:dyDescent="0.4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str">
        <f t="shared" si="216"/>
        <v/>
      </c>
    </row>
    <row r="858" spans="11:59" ht="15" customHeight="1" x14ac:dyDescent="0.3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str">
        <f t="shared" si="216"/>
        <v/>
      </c>
    </row>
    <row r="859" spans="11:59" ht="15" customHeight="1" x14ac:dyDescent="0.3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str">
        <f t="shared" si="216"/>
        <v/>
      </c>
    </row>
    <row r="860" spans="11:59" ht="15" customHeight="1" x14ac:dyDescent="0.3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str">
        <f t="shared" si="216"/>
        <v/>
      </c>
    </row>
    <row r="861" spans="11:59" ht="15" customHeight="1" x14ac:dyDescent="0.3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str">
        <f t="shared" si="216"/>
        <v/>
      </c>
    </row>
    <row r="862" spans="11:59" ht="15" customHeight="1" thickBot="1" x14ac:dyDescent="0.4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str">
        <f t="shared" si="216"/>
        <v/>
      </c>
    </row>
    <row r="863" spans="11:59" ht="15" customHeight="1" x14ac:dyDescent="0.3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str">
        <f t="shared" si="216"/>
        <v/>
      </c>
    </row>
    <row r="864" spans="11:59" ht="15" customHeight="1" x14ac:dyDescent="0.3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str">
        <f t="shared" si="216"/>
        <v/>
      </c>
    </row>
    <row r="865" spans="11:59" ht="15" customHeight="1" x14ac:dyDescent="0.3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str">
        <f t="shared" si="216"/>
        <v/>
      </c>
    </row>
    <row r="866" spans="11:59" ht="15" customHeight="1" x14ac:dyDescent="0.3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str">
        <f t="shared" si="216"/>
        <v/>
      </c>
    </row>
    <row r="867" spans="11:59" ht="15" customHeight="1" x14ac:dyDescent="0.3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str">
        <f t="shared" si="216"/>
        <v/>
      </c>
    </row>
    <row r="868" spans="11:59" ht="15" customHeight="1" x14ac:dyDescent="0.3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str">
        <f t="shared" si="216"/>
        <v/>
      </c>
    </row>
    <row r="869" spans="11:59" ht="15" customHeight="1" x14ac:dyDescent="0.3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str">
        <f t="shared" si="216"/>
        <v/>
      </c>
    </row>
    <row r="870" spans="11:59" ht="15" customHeight="1" thickBot="1" x14ac:dyDescent="0.4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str">
        <f t="shared" si="216"/>
        <v/>
      </c>
    </row>
    <row r="871" spans="11:59" ht="15" customHeight="1" x14ac:dyDescent="0.3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str">
        <f t="shared" si="216"/>
        <v/>
      </c>
    </row>
    <row r="872" spans="11:59" ht="15" customHeight="1" x14ac:dyDescent="0.3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str">
        <f t="shared" si="216"/>
        <v/>
      </c>
    </row>
    <row r="873" spans="11:59" ht="15" customHeight="1" x14ac:dyDescent="0.3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str">
        <f t="shared" si="216"/>
        <v/>
      </c>
    </row>
    <row r="874" spans="11:59" ht="15" customHeight="1" x14ac:dyDescent="0.3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str">
        <f t="shared" si="216"/>
        <v/>
      </c>
    </row>
    <row r="875" spans="11:59" ht="15" customHeight="1" x14ac:dyDescent="0.3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str">
        <f t="shared" si="216"/>
        <v/>
      </c>
    </row>
    <row r="876" spans="11:59" ht="15" customHeight="1" x14ac:dyDescent="0.3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str">
        <f t="shared" si="216"/>
        <v/>
      </c>
    </row>
    <row r="877" spans="11:59" ht="15" customHeight="1" thickBot="1" x14ac:dyDescent="0.4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str">
        <f t="shared" si="216"/>
        <v/>
      </c>
    </row>
    <row r="878" spans="11:59" ht="15" customHeight="1" x14ac:dyDescent="0.3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str">
        <f t="shared" si="216"/>
        <v/>
      </c>
    </row>
    <row r="879" spans="11:59" ht="15" customHeight="1" x14ac:dyDescent="0.3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str">
        <f t="shared" ref="BG879:BG942" si="217">IF(VALUE(SUBSTITUTE($B$5,"M",""))=U879,BF879,"")</f>
        <v/>
      </c>
    </row>
    <row r="880" spans="11:59" ht="15" customHeight="1" x14ac:dyDescent="0.3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str">
        <f t="shared" si="217"/>
        <v/>
      </c>
    </row>
    <row r="881" spans="14:59" ht="15" customHeight="1" x14ac:dyDescent="0.3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str">
        <f t="shared" si="217"/>
        <v/>
      </c>
    </row>
    <row r="882" spans="14:59" ht="15" customHeight="1" x14ac:dyDescent="0.3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str">
        <f t="shared" si="217"/>
        <v/>
      </c>
    </row>
    <row r="883" spans="14:59" ht="15" customHeight="1" x14ac:dyDescent="0.3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str">
        <f t="shared" si="217"/>
        <v/>
      </c>
    </row>
    <row r="884" spans="14:59" ht="15" customHeight="1" thickBot="1" x14ac:dyDescent="0.4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str">
        <f t="shared" si="217"/>
        <v/>
      </c>
    </row>
    <row r="885" spans="14:59" ht="15" customHeight="1" x14ac:dyDescent="0.3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str">
        <f t="shared" si="217"/>
        <v/>
      </c>
    </row>
    <row r="886" spans="14:59" ht="15" customHeight="1" x14ac:dyDescent="0.3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str">
        <f t="shared" si="217"/>
        <v/>
      </c>
    </row>
    <row r="887" spans="14:59" ht="15" customHeight="1" x14ac:dyDescent="0.3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str">
        <f t="shared" si="217"/>
        <v/>
      </c>
    </row>
    <row r="888" spans="14:59" ht="15" customHeight="1" x14ac:dyDescent="0.3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str">
        <f t="shared" si="217"/>
        <v/>
      </c>
    </row>
    <row r="889" spans="14:59" ht="15" customHeight="1" x14ac:dyDescent="0.3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str">
        <f t="shared" si="217"/>
        <v/>
      </c>
    </row>
    <row r="890" spans="14:59" ht="15" customHeight="1" thickBot="1" x14ac:dyDescent="0.4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str">
        <f t="shared" si="217"/>
        <v/>
      </c>
    </row>
    <row r="891" spans="14:59" ht="15" customHeight="1" x14ac:dyDescent="0.3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str">
        <f t="shared" si="217"/>
        <v/>
      </c>
    </row>
    <row r="892" spans="14:59" ht="15" customHeight="1" x14ac:dyDescent="0.35">
      <c r="N892">
        <f t="shared" ref="N892:N897" si="218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str">
        <f t="shared" si="217"/>
        <v/>
      </c>
    </row>
    <row r="893" spans="14:59" ht="15" customHeight="1" x14ac:dyDescent="0.35">
      <c r="N893">
        <f t="shared" si="218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str">
        <f t="shared" si="217"/>
        <v/>
      </c>
    </row>
    <row r="894" spans="14:59" ht="15" customHeight="1" x14ac:dyDescent="0.35">
      <c r="N894">
        <f t="shared" si="218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str">
        <f t="shared" si="217"/>
        <v/>
      </c>
    </row>
    <row r="895" spans="14:59" ht="15" customHeight="1" x14ac:dyDescent="0.35">
      <c r="N895">
        <f t="shared" si="218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str">
        <f t="shared" si="217"/>
        <v/>
      </c>
    </row>
    <row r="896" spans="14:59" ht="15" customHeight="1" x14ac:dyDescent="0.35">
      <c r="N896">
        <f t="shared" si="218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str">
        <f t="shared" si="217"/>
        <v/>
      </c>
    </row>
    <row r="897" spans="14:59" ht="15" customHeight="1" thickBot="1" x14ac:dyDescent="0.4">
      <c r="N897">
        <f t="shared" si="218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str">
        <f t="shared" si="217"/>
        <v/>
      </c>
    </row>
    <row r="898" spans="14:59" ht="15" customHeight="1" x14ac:dyDescent="0.3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str">
        <f t="shared" si="217"/>
        <v/>
      </c>
    </row>
    <row r="899" spans="14:59" ht="15" customHeight="1" x14ac:dyDescent="0.3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str">
        <f t="shared" si="217"/>
        <v/>
      </c>
    </row>
    <row r="900" spans="14:59" ht="15" customHeight="1" x14ac:dyDescent="0.3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str">
        <f t="shared" si="217"/>
        <v/>
      </c>
    </row>
    <row r="901" spans="14:59" ht="15" customHeight="1" x14ac:dyDescent="0.3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str">
        <f t="shared" si="217"/>
        <v/>
      </c>
    </row>
    <row r="902" spans="14:59" ht="15" customHeight="1" x14ac:dyDescent="0.3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str">
        <f t="shared" si="217"/>
        <v/>
      </c>
    </row>
    <row r="903" spans="14:59" ht="15" customHeight="1" x14ac:dyDescent="0.3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str">
        <f t="shared" si="217"/>
        <v/>
      </c>
    </row>
    <row r="904" spans="14:59" ht="15" customHeight="1" thickBot="1" x14ac:dyDescent="0.4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str">
        <f t="shared" si="217"/>
        <v/>
      </c>
    </row>
    <row r="905" spans="14:59" ht="15" customHeight="1" thickBot="1" x14ac:dyDescent="0.4">
      <c r="N905" s="934" t="s">
        <v>1937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str">
        <f t="shared" si="217"/>
        <v/>
      </c>
    </row>
    <row r="906" spans="14:59" ht="15" customHeight="1" x14ac:dyDescent="0.3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str">
        <f t="shared" si="217"/>
        <v/>
      </c>
    </row>
    <row r="907" spans="14:59" ht="15" customHeight="1" x14ac:dyDescent="0.3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str">
        <f t="shared" si="217"/>
        <v/>
      </c>
    </row>
    <row r="908" spans="14:59" ht="15" customHeight="1" x14ac:dyDescent="0.3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str">
        <f t="shared" si="217"/>
        <v/>
      </c>
    </row>
    <row r="909" spans="14:59" ht="15" customHeight="1" x14ac:dyDescent="0.3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str">
        <f t="shared" si="217"/>
        <v/>
      </c>
    </row>
    <row r="910" spans="14:59" ht="15" customHeight="1" x14ac:dyDescent="0.3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str">
        <f t="shared" si="217"/>
        <v/>
      </c>
    </row>
    <row r="911" spans="14:59" ht="15" customHeight="1" x14ac:dyDescent="0.3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str">
        <f t="shared" si="217"/>
        <v/>
      </c>
    </row>
    <row r="912" spans="14:59" ht="15" customHeight="1" thickBot="1" x14ac:dyDescent="0.4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str">
        <f t="shared" si="217"/>
        <v/>
      </c>
    </row>
    <row r="913" spans="15:59" ht="15" customHeight="1" x14ac:dyDescent="0.3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str">
        <f t="shared" si="217"/>
        <v/>
      </c>
    </row>
    <row r="914" spans="15:59" ht="15" customHeight="1" x14ac:dyDescent="0.3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str">
        <f t="shared" si="217"/>
        <v/>
      </c>
    </row>
    <row r="915" spans="15:59" ht="15" customHeight="1" x14ac:dyDescent="0.3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str">
        <f t="shared" si="217"/>
        <v/>
      </c>
    </row>
    <row r="916" spans="15:59" ht="15" customHeight="1" x14ac:dyDescent="0.3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str">
        <f t="shared" si="217"/>
        <v/>
      </c>
    </row>
    <row r="917" spans="15:59" ht="15" customHeight="1" x14ac:dyDescent="0.3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str">
        <f t="shared" si="217"/>
        <v/>
      </c>
    </row>
    <row r="918" spans="15:59" ht="15" customHeight="1" x14ac:dyDescent="0.3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str">
        <f t="shared" si="217"/>
        <v/>
      </c>
    </row>
    <row r="919" spans="15:59" ht="15" customHeight="1" x14ac:dyDescent="0.3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str">
        <f t="shared" si="217"/>
        <v/>
      </c>
    </row>
    <row r="920" spans="15:59" ht="15" customHeight="1" thickBot="1" x14ac:dyDescent="0.4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str">
        <f t="shared" si="217"/>
        <v/>
      </c>
    </row>
    <row r="921" spans="15:59" ht="15" customHeight="1" x14ac:dyDescent="0.3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str">
        <f t="shared" si="217"/>
        <v/>
      </c>
    </row>
    <row r="922" spans="15:59" ht="15" customHeight="1" x14ac:dyDescent="0.3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str">
        <f t="shared" si="217"/>
        <v/>
      </c>
    </row>
    <row r="923" spans="15:59" ht="15" customHeight="1" x14ac:dyDescent="0.3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str">
        <f t="shared" si="217"/>
        <v/>
      </c>
    </row>
    <row r="924" spans="15:59" ht="15" customHeight="1" x14ac:dyDescent="0.3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str">
        <f t="shared" si="217"/>
        <v/>
      </c>
    </row>
    <row r="925" spans="15:59" ht="15" customHeight="1" x14ac:dyDescent="0.3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str">
        <f t="shared" si="217"/>
        <v/>
      </c>
    </row>
    <row r="926" spans="15:59" ht="15" customHeight="1" x14ac:dyDescent="0.3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str">
        <f t="shared" si="217"/>
        <v/>
      </c>
    </row>
    <row r="927" spans="15:59" ht="15" customHeight="1" x14ac:dyDescent="0.3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str">
        <f t="shared" si="217"/>
        <v/>
      </c>
    </row>
    <row r="928" spans="15:59" ht="15" customHeight="1" thickBot="1" x14ac:dyDescent="0.4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str">
        <f t="shared" si="217"/>
        <v/>
      </c>
    </row>
    <row r="929" spans="15:59" ht="15" customHeight="1" x14ac:dyDescent="0.3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 t="str">
        <f t="shared" si="217"/>
        <v/>
      </c>
    </row>
    <row r="930" spans="15:59" ht="15" customHeight="1" x14ac:dyDescent="0.3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 t="str">
        <f t="shared" si="217"/>
        <v/>
      </c>
    </row>
    <row r="931" spans="15:59" ht="15" customHeight="1" x14ac:dyDescent="0.3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 t="str">
        <f t="shared" si="217"/>
        <v/>
      </c>
    </row>
    <row r="932" spans="15:59" ht="15" customHeight="1" x14ac:dyDescent="0.3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 t="str">
        <f t="shared" si="217"/>
        <v/>
      </c>
    </row>
    <row r="933" spans="15:59" ht="15" customHeight="1" x14ac:dyDescent="0.3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 t="str">
        <f t="shared" si="217"/>
        <v/>
      </c>
    </row>
    <row r="934" spans="15:59" ht="15" customHeight="1" x14ac:dyDescent="0.3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 t="str">
        <f t="shared" si="217"/>
        <v/>
      </c>
    </row>
    <row r="935" spans="15:59" ht="15" customHeight="1" x14ac:dyDescent="0.3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 t="str">
        <f t="shared" si="217"/>
        <v/>
      </c>
    </row>
    <row r="936" spans="15:59" ht="15" customHeight="1" thickBot="1" x14ac:dyDescent="0.4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 t="str">
        <f t="shared" si="217"/>
        <v/>
      </c>
    </row>
    <row r="937" spans="15:59" ht="15" customHeight="1" x14ac:dyDescent="0.3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str">
        <f t="shared" si="217"/>
        <v/>
      </c>
    </row>
    <row r="938" spans="15:59" ht="15" customHeight="1" x14ac:dyDescent="0.3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str">
        <f t="shared" si="217"/>
        <v/>
      </c>
    </row>
    <row r="939" spans="15:59" ht="15" customHeight="1" x14ac:dyDescent="0.3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str">
        <f t="shared" si="217"/>
        <v/>
      </c>
    </row>
    <row r="940" spans="15:59" ht="15" customHeight="1" x14ac:dyDescent="0.3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str">
        <f t="shared" si="217"/>
        <v/>
      </c>
    </row>
    <row r="941" spans="15:59" ht="15" customHeight="1" x14ac:dyDescent="0.3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str">
        <f t="shared" si="217"/>
        <v/>
      </c>
    </row>
    <row r="942" spans="15:59" ht="15" customHeight="1" x14ac:dyDescent="0.3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str">
        <f t="shared" si="217"/>
        <v/>
      </c>
    </row>
    <row r="943" spans="15:59" ht="15" customHeight="1" x14ac:dyDescent="0.3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str">
        <f t="shared" ref="BG943:BG1006" si="219">IF(VALUE(SUBSTITUTE($B$5,"M",""))=U943,BF943,"")</f>
        <v/>
      </c>
    </row>
    <row r="944" spans="15:59" ht="15" customHeight="1" thickBot="1" x14ac:dyDescent="0.4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str">
        <f t="shared" si="219"/>
        <v/>
      </c>
    </row>
    <row r="945" spans="15:59" ht="15" customHeight="1" x14ac:dyDescent="0.3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str">
        <f t="shared" si="219"/>
        <v/>
      </c>
    </row>
    <row r="946" spans="15:59" ht="15" customHeight="1" x14ac:dyDescent="0.3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str">
        <f t="shared" si="219"/>
        <v/>
      </c>
    </row>
    <row r="947" spans="15:59" ht="15" customHeight="1" x14ac:dyDescent="0.3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str">
        <f t="shared" si="219"/>
        <v/>
      </c>
    </row>
    <row r="948" spans="15:59" ht="15" customHeight="1" x14ac:dyDescent="0.3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str">
        <f t="shared" si="219"/>
        <v/>
      </c>
    </row>
    <row r="949" spans="15:59" ht="15" customHeight="1" x14ac:dyDescent="0.3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str">
        <f t="shared" si="219"/>
        <v/>
      </c>
    </row>
    <row r="950" spans="15:59" ht="15" customHeight="1" thickBot="1" x14ac:dyDescent="0.4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str">
        <f t="shared" si="219"/>
        <v/>
      </c>
    </row>
    <row r="951" spans="15:59" ht="15" customHeight="1" x14ac:dyDescent="0.3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str">
        <f t="shared" si="219"/>
        <v/>
      </c>
    </row>
    <row r="952" spans="15:59" ht="15" customHeight="1" x14ac:dyDescent="0.3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str">
        <f t="shared" si="219"/>
        <v/>
      </c>
    </row>
    <row r="953" spans="15:59" ht="15" customHeight="1" x14ac:dyDescent="0.3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str">
        <f t="shared" si="219"/>
        <v/>
      </c>
    </row>
    <row r="954" spans="15:59" ht="15" customHeight="1" x14ac:dyDescent="0.3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str">
        <f t="shared" si="219"/>
        <v/>
      </c>
    </row>
    <row r="955" spans="15:59" ht="15" customHeight="1" x14ac:dyDescent="0.3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str">
        <f t="shared" si="219"/>
        <v/>
      </c>
    </row>
    <row r="956" spans="15:59" ht="15" customHeight="1" thickBot="1" x14ac:dyDescent="0.4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str">
        <f t="shared" si="219"/>
        <v/>
      </c>
    </row>
    <row r="957" spans="15:59" ht="15" customHeight="1" x14ac:dyDescent="0.3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str">
        <f t="shared" si="219"/>
        <v/>
      </c>
    </row>
    <row r="958" spans="15:59" ht="15" customHeight="1" x14ac:dyDescent="0.3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str">
        <f t="shared" si="219"/>
        <v/>
      </c>
    </row>
    <row r="959" spans="15:59" ht="15" customHeight="1" x14ac:dyDescent="0.3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str">
        <f t="shared" si="219"/>
        <v/>
      </c>
    </row>
    <row r="960" spans="15:59" ht="15" customHeight="1" x14ac:dyDescent="0.3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str">
        <f t="shared" si="219"/>
        <v/>
      </c>
    </row>
    <row r="961" spans="15:59" ht="15" customHeight="1" x14ac:dyDescent="0.3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str">
        <f t="shared" si="219"/>
        <v/>
      </c>
    </row>
    <row r="962" spans="15:59" ht="15" customHeight="1" x14ac:dyDescent="0.3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str">
        <f t="shared" si="219"/>
        <v/>
      </c>
    </row>
    <row r="963" spans="15:59" ht="15" customHeight="1" thickBot="1" x14ac:dyDescent="0.4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str">
        <f t="shared" si="219"/>
        <v/>
      </c>
    </row>
    <row r="964" spans="15:59" ht="15" customHeight="1" x14ac:dyDescent="0.3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str">
        <f t="shared" si="219"/>
        <v/>
      </c>
    </row>
    <row r="965" spans="15:59" ht="15" customHeight="1" x14ac:dyDescent="0.3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str">
        <f t="shared" si="219"/>
        <v/>
      </c>
    </row>
    <row r="966" spans="15:59" ht="15" customHeight="1" x14ac:dyDescent="0.3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str">
        <f t="shared" si="219"/>
        <v/>
      </c>
    </row>
    <row r="967" spans="15:59" ht="15" customHeight="1" x14ac:dyDescent="0.3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str">
        <f t="shared" si="219"/>
        <v/>
      </c>
    </row>
    <row r="968" spans="15:59" ht="15" customHeight="1" x14ac:dyDescent="0.3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str">
        <f t="shared" si="219"/>
        <v/>
      </c>
    </row>
    <row r="969" spans="15:59" ht="15" customHeight="1" x14ac:dyDescent="0.3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str">
        <f t="shared" si="219"/>
        <v/>
      </c>
    </row>
    <row r="970" spans="15:59" ht="15" customHeight="1" x14ac:dyDescent="0.3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str">
        <f t="shared" si="219"/>
        <v/>
      </c>
    </row>
    <row r="971" spans="15:59" ht="15" customHeight="1" thickBot="1" x14ac:dyDescent="0.4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str">
        <f t="shared" si="219"/>
        <v/>
      </c>
    </row>
    <row r="972" spans="15:59" ht="15" customHeight="1" x14ac:dyDescent="0.3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str">
        <f t="shared" si="219"/>
        <v/>
      </c>
    </row>
    <row r="973" spans="15:59" ht="15" customHeight="1" x14ac:dyDescent="0.3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str">
        <f t="shared" si="219"/>
        <v/>
      </c>
    </row>
    <row r="974" spans="15:59" ht="15" customHeight="1" x14ac:dyDescent="0.3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str">
        <f t="shared" si="219"/>
        <v/>
      </c>
    </row>
    <row r="975" spans="15:59" ht="15" customHeight="1" x14ac:dyDescent="0.3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str">
        <f t="shared" si="219"/>
        <v/>
      </c>
    </row>
    <row r="976" spans="15:59" ht="15" customHeight="1" x14ac:dyDescent="0.3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str">
        <f t="shared" si="219"/>
        <v/>
      </c>
    </row>
    <row r="977" spans="9:59" ht="15" customHeight="1" x14ac:dyDescent="0.3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str">
        <f t="shared" si="219"/>
        <v/>
      </c>
    </row>
    <row r="978" spans="9:59" ht="15" customHeight="1" thickBot="1" x14ac:dyDescent="0.4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str">
        <f t="shared" si="219"/>
        <v/>
      </c>
    </row>
    <row r="979" spans="9:59" ht="15" customHeight="1" x14ac:dyDescent="0.3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str">
        <f t="shared" si="219"/>
        <v/>
      </c>
    </row>
    <row r="980" spans="9:59" ht="15" customHeight="1" x14ac:dyDescent="0.3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str">
        <f t="shared" si="219"/>
        <v/>
      </c>
    </row>
    <row r="981" spans="9:59" ht="15" customHeight="1" x14ac:dyDescent="0.3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str">
        <f t="shared" si="219"/>
        <v/>
      </c>
    </row>
    <row r="982" spans="9:59" ht="15" customHeight="1" x14ac:dyDescent="0.3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str">
        <f t="shared" si="219"/>
        <v/>
      </c>
    </row>
    <row r="983" spans="9:59" ht="15" customHeight="1" x14ac:dyDescent="0.3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str">
        <f t="shared" si="219"/>
        <v/>
      </c>
    </row>
    <row r="984" spans="9:59" ht="15" customHeight="1" x14ac:dyDescent="0.3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str">
        <f t="shared" si="219"/>
        <v/>
      </c>
    </row>
    <row r="985" spans="9:59" ht="15" customHeight="1" x14ac:dyDescent="0.3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str">
        <f t="shared" si="219"/>
        <v/>
      </c>
    </row>
    <row r="986" spans="9:59" ht="15" customHeight="1" x14ac:dyDescent="0.3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str">
        <f t="shared" si="219"/>
        <v/>
      </c>
    </row>
    <row r="987" spans="9:59" ht="15" customHeight="1" thickBot="1" x14ac:dyDescent="0.4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str">
        <f t="shared" si="219"/>
        <v/>
      </c>
    </row>
    <row r="988" spans="9:59" ht="15" customHeight="1" x14ac:dyDescent="0.3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str">
        <f t="shared" si="219"/>
        <v/>
      </c>
    </row>
    <row r="989" spans="9:59" ht="15" customHeight="1" x14ac:dyDescent="0.3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str">
        <f t="shared" si="219"/>
        <v/>
      </c>
    </row>
    <row r="990" spans="9:59" ht="15" customHeight="1" x14ac:dyDescent="0.3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str">
        <f t="shared" si="219"/>
        <v/>
      </c>
    </row>
    <row r="991" spans="9:59" ht="15" customHeight="1" x14ac:dyDescent="0.3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str">
        <f t="shared" si="219"/>
        <v/>
      </c>
    </row>
    <row r="992" spans="9:59" ht="15" customHeight="1" x14ac:dyDescent="0.3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str">
        <f t="shared" si="219"/>
        <v/>
      </c>
    </row>
    <row r="993" spans="5:59" ht="15" customHeight="1" thickBot="1" x14ac:dyDescent="0.4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str">
        <f t="shared" si="219"/>
        <v/>
      </c>
    </row>
    <row r="994" spans="5:59" ht="15" customHeight="1" x14ac:dyDescent="0.3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str">
        <f t="shared" si="219"/>
        <v/>
      </c>
    </row>
    <row r="995" spans="5:59" ht="15" customHeight="1" x14ac:dyDescent="0.3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str">
        <f t="shared" si="219"/>
        <v/>
      </c>
    </row>
    <row r="996" spans="5:59" ht="15" customHeight="1" x14ac:dyDescent="0.3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str">
        <f t="shared" si="219"/>
        <v/>
      </c>
    </row>
    <row r="997" spans="5:59" ht="15" customHeight="1" x14ac:dyDescent="0.3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str">
        <f t="shared" si="219"/>
        <v/>
      </c>
    </row>
    <row r="998" spans="5:59" ht="15" customHeight="1" x14ac:dyDescent="0.3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str">
        <f t="shared" si="219"/>
        <v/>
      </c>
    </row>
    <row r="999" spans="5:59" ht="15" customHeight="1" x14ac:dyDescent="0.3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str">
        <f t="shared" si="219"/>
        <v/>
      </c>
    </row>
    <row r="1000" spans="5:59" ht="15" customHeight="1" thickBot="1" x14ac:dyDescent="0.4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str">
        <f t="shared" si="219"/>
        <v/>
      </c>
    </row>
    <row r="1001" spans="5:59" x14ac:dyDescent="0.3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str">
        <f t="shared" si="219"/>
        <v/>
      </c>
    </row>
    <row r="1002" spans="5:59" x14ac:dyDescent="0.3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str">
        <f t="shared" si="219"/>
        <v/>
      </c>
    </row>
    <row r="1003" spans="5:59" x14ac:dyDescent="0.3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str">
        <f t="shared" si="219"/>
        <v/>
      </c>
    </row>
    <row r="1004" spans="5:59" x14ac:dyDescent="0.3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str">
        <f t="shared" si="219"/>
        <v/>
      </c>
    </row>
    <row r="1005" spans="5:59" ht="15" thickBot="1" x14ac:dyDescent="0.4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str">
        <f t="shared" si="219"/>
        <v/>
      </c>
    </row>
    <row r="1006" spans="5:59" x14ac:dyDescent="0.35">
      <c r="E1006" s="1248"/>
      <c r="F1006" s="1248"/>
      <c r="M1006" s="1248"/>
      <c r="N1006" s="1251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str">
        <f t="shared" si="219"/>
        <v/>
      </c>
    </row>
    <row r="1007" spans="5:59" x14ac:dyDescent="0.3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str">
        <f t="shared" ref="BG1007:BG1070" si="220">IF(VALUE(SUBSTITUTE($B$5,"M",""))=U1007,BF1007,"")</f>
        <v/>
      </c>
    </row>
    <row r="1008" spans="5:59" x14ac:dyDescent="0.3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str">
        <f t="shared" si="220"/>
        <v/>
      </c>
    </row>
    <row r="1009" spans="15:59" x14ac:dyDescent="0.3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str">
        <f t="shared" si="220"/>
        <v/>
      </c>
    </row>
    <row r="1010" spans="15:59" x14ac:dyDescent="0.3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str">
        <f t="shared" si="220"/>
        <v/>
      </c>
    </row>
    <row r="1011" spans="15:59" ht="15" thickBot="1" x14ac:dyDescent="0.4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str">
        <f t="shared" si="220"/>
        <v/>
      </c>
    </row>
    <row r="1012" spans="15:59" x14ac:dyDescent="0.3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str">
        <f t="shared" si="220"/>
        <v/>
      </c>
    </row>
    <row r="1013" spans="15:59" x14ac:dyDescent="0.3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str">
        <f t="shared" si="220"/>
        <v/>
      </c>
    </row>
    <row r="1014" spans="15:59" x14ac:dyDescent="0.3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str">
        <f t="shared" si="220"/>
        <v/>
      </c>
    </row>
    <row r="1015" spans="15:59" x14ac:dyDescent="0.3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str">
        <f t="shared" si="220"/>
        <v/>
      </c>
    </row>
    <row r="1016" spans="15:59" x14ac:dyDescent="0.3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str">
        <f t="shared" si="220"/>
        <v/>
      </c>
    </row>
    <row r="1017" spans="15:59" x14ac:dyDescent="0.3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str">
        <f t="shared" si="220"/>
        <v/>
      </c>
    </row>
    <row r="1018" spans="15:59" x14ac:dyDescent="0.3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str">
        <f t="shared" si="220"/>
        <v/>
      </c>
    </row>
    <row r="1019" spans="15:59" ht="15" thickBot="1" x14ac:dyDescent="0.4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str">
        <f t="shared" si="220"/>
        <v/>
      </c>
    </row>
    <row r="1020" spans="15:59" x14ac:dyDescent="0.3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str">
        <f t="shared" si="220"/>
        <v/>
      </c>
    </row>
    <row r="1021" spans="15:59" x14ac:dyDescent="0.3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str">
        <f t="shared" si="220"/>
        <v/>
      </c>
    </row>
    <row r="1022" spans="15:59" x14ac:dyDescent="0.3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str">
        <f t="shared" si="220"/>
        <v/>
      </c>
    </row>
    <row r="1023" spans="15:59" x14ac:dyDescent="0.3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str">
        <f t="shared" si="220"/>
        <v/>
      </c>
    </row>
    <row r="1024" spans="15:59" x14ac:dyDescent="0.3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str">
        <f t="shared" si="220"/>
        <v/>
      </c>
    </row>
    <row r="1025" spans="15:59" ht="15" thickBot="1" x14ac:dyDescent="0.4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str">
        <f t="shared" si="220"/>
        <v/>
      </c>
    </row>
    <row r="1026" spans="15:59" x14ac:dyDescent="0.3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str">
        <f t="shared" si="220"/>
        <v/>
      </c>
    </row>
    <row r="1027" spans="15:59" x14ac:dyDescent="0.3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str">
        <f t="shared" si="220"/>
        <v/>
      </c>
    </row>
    <row r="1028" spans="15:59" x14ac:dyDescent="0.3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str">
        <f t="shared" si="220"/>
        <v/>
      </c>
    </row>
    <row r="1029" spans="15:59" x14ac:dyDescent="0.3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str">
        <f t="shared" si="220"/>
        <v/>
      </c>
    </row>
    <row r="1030" spans="15:59" x14ac:dyDescent="0.3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str">
        <f t="shared" si="220"/>
        <v/>
      </c>
    </row>
    <row r="1031" spans="15:59" ht="15" thickBot="1" x14ac:dyDescent="0.4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str">
        <f t="shared" si="220"/>
        <v/>
      </c>
    </row>
    <row r="1032" spans="15:59" x14ac:dyDescent="0.3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str">
        <f t="shared" si="220"/>
        <v/>
      </c>
    </row>
    <row r="1033" spans="15:59" x14ac:dyDescent="0.3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str">
        <f t="shared" si="220"/>
        <v/>
      </c>
    </row>
    <row r="1034" spans="15:59" x14ac:dyDescent="0.3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str">
        <f t="shared" si="220"/>
        <v/>
      </c>
    </row>
    <row r="1035" spans="15:59" x14ac:dyDescent="0.3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str">
        <f t="shared" si="220"/>
        <v/>
      </c>
    </row>
    <row r="1036" spans="15:59" x14ac:dyDescent="0.3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str">
        <f t="shared" si="220"/>
        <v/>
      </c>
    </row>
    <row r="1037" spans="15:59" x14ac:dyDescent="0.3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str">
        <f t="shared" si="220"/>
        <v/>
      </c>
    </row>
    <row r="1038" spans="15:59" x14ac:dyDescent="0.3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str">
        <f t="shared" si="220"/>
        <v/>
      </c>
    </row>
    <row r="1039" spans="15:59" ht="15" thickBot="1" x14ac:dyDescent="0.4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str">
        <f t="shared" si="220"/>
        <v/>
      </c>
    </row>
    <row r="1040" spans="15:59" x14ac:dyDescent="0.3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str">
        <f t="shared" si="220"/>
        <v/>
      </c>
    </row>
    <row r="1041" spans="15:59" x14ac:dyDescent="0.3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str">
        <f t="shared" si="220"/>
        <v/>
      </c>
    </row>
    <row r="1042" spans="15:59" x14ac:dyDescent="0.3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str">
        <f t="shared" si="220"/>
        <v/>
      </c>
    </row>
    <row r="1043" spans="15:59" x14ac:dyDescent="0.3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str">
        <f t="shared" si="220"/>
        <v/>
      </c>
    </row>
    <row r="1044" spans="15:59" x14ac:dyDescent="0.3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str">
        <f t="shared" si="220"/>
        <v/>
      </c>
    </row>
    <row r="1045" spans="15:59" x14ac:dyDescent="0.3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str">
        <f t="shared" si="220"/>
        <v/>
      </c>
    </row>
    <row r="1046" spans="15:59" ht="15" thickBot="1" x14ac:dyDescent="0.4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str">
        <f t="shared" si="220"/>
        <v/>
      </c>
    </row>
    <row r="1047" spans="15:59" x14ac:dyDescent="0.3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str">
        <f t="shared" si="220"/>
        <v/>
      </c>
    </row>
    <row r="1048" spans="15:59" x14ac:dyDescent="0.3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str">
        <f t="shared" si="220"/>
        <v/>
      </c>
    </row>
    <row r="1049" spans="15:59" x14ac:dyDescent="0.3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str">
        <f t="shared" si="220"/>
        <v/>
      </c>
    </row>
    <row r="1050" spans="15:59" x14ac:dyDescent="0.3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str">
        <f t="shared" si="220"/>
        <v/>
      </c>
    </row>
    <row r="1051" spans="15:59" ht="15" thickBot="1" x14ac:dyDescent="0.4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str">
        <f t="shared" si="220"/>
        <v/>
      </c>
    </row>
    <row r="1052" spans="15:59" x14ac:dyDescent="0.3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str">
        <f t="shared" si="220"/>
        <v/>
      </c>
    </row>
    <row r="1053" spans="15:59" x14ac:dyDescent="0.3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str">
        <f t="shared" si="220"/>
        <v/>
      </c>
    </row>
    <row r="1054" spans="15:59" x14ac:dyDescent="0.3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str">
        <f t="shared" si="220"/>
        <v/>
      </c>
    </row>
    <row r="1055" spans="15:59" x14ac:dyDescent="0.3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str">
        <f t="shared" si="220"/>
        <v/>
      </c>
    </row>
    <row r="1056" spans="15:59" x14ac:dyDescent="0.3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str">
        <f t="shared" si="220"/>
        <v/>
      </c>
    </row>
    <row r="1057" spans="15:59" x14ac:dyDescent="0.3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str">
        <f t="shared" si="220"/>
        <v/>
      </c>
    </row>
    <row r="1058" spans="15:59" x14ac:dyDescent="0.3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str">
        <f t="shared" si="220"/>
        <v/>
      </c>
    </row>
    <row r="1059" spans="15:59" ht="15" thickBot="1" x14ac:dyDescent="0.4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str">
        <f t="shared" si="220"/>
        <v/>
      </c>
    </row>
    <row r="1060" spans="15:59" x14ac:dyDescent="0.3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str">
        <f t="shared" si="220"/>
        <v/>
      </c>
    </row>
    <row r="1061" spans="15:59" x14ac:dyDescent="0.3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str">
        <f t="shared" si="220"/>
        <v/>
      </c>
    </row>
    <row r="1062" spans="15:59" x14ac:dyDescent="0.3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str">
        <f t="shared" si="220"/>
        <v/>
      </c>
    </row>
    <row r="1063" spans="15:59" x14ac:dyDescent="0.3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str">
        <f t="shared" si="220"/>
        <v/>
      </c>
    </row>
    <row r="1064" spans="15:59" x14ac:dyDescent="0.3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str">
        <f t="shared" si="220"/>
        <v/>
      </c>
    </row>
    <row r="1065" spans="15:59" x14ac:dyDescent="0.3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str">
        <f t="shared" si="220"/>
        <v/>
      </c>
    </row>
    <row r="1066" spans="15:59" ht="15" thickBot="1" x14ac:dyDescent="0.4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str">
        <f t="shared" si="220"/>
        <v/>
      </c>
    </row>
    <row r="1067" spans="15:59" x14ac:dyDescent="0.3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str">
        <f t="shared" si="220"/>
        <v/>
      </c>
    </row>
    <row r="1068" spans="15:59" x14ac:dyDescent="0.3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str">
        <f t="shared" si="220"/>
        <v/>
      </c>
    </row>
    <row r="1069" spans="15:59" x14ac:dyDescent="0.3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str">
        <f t="shared" si="220"/>
        <v/>
      </c>
    </row>
    <row r="1070" spans="15:59" x14ac:dyDescent="0.3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str">
        <f t="shared" si="220"/>
        <v/>
      </c>
    </row>
    <row r="1071" spans="15:59" x14ac:dyDescent="0.3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str">
        <f t="shared" ref="BG1071:BG1134" si="221">IF(VALUE(SUBSTITUTE($B$5,"M",""))=U1071,BF1071,"")</f>
        <v/>
      </c>
    </row>
    <row r="1072" spans="15:59" x14ac:dyDescent="0.3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str">
        <f t="shared" si="221"/>
        <v/>
      </c>
    </row>
    <row r="1073" spans="13:59" ht="15" thickBot="1" x14ac:dyDescent="0.4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str">
        <f t="shared" si="221"/>
        <v/>
      </c>
    </row>
    <row r="1074" spans="13:59" x14ac:dyDescent="0.3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str">
        <f t="shared" si="221"/>
        <v/>
      </c>
    </row>
    <row r="1075" spans="13:59" x14ac:dyDescent="0.3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str">
        <f t="shared" si="221"/>
        <v/>
      </c>
    </row>
    <row r="1076" spans="13:59" x14ac:dyDescent="0.3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str">
        <f t="shared" si="221"/>
        <v/>
      </c>
    </row>
    <row r="1077" spans="13:59" x14ac:dyDescent="0.3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str">
        <f t="shared" si="221"/>
        <v/>
      </c>
    </row>
    <row r="1078" spans="13:59" ht="15" thickBot="1" x14ac:dyDescent="0.4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str">
        <f t="shared" si="221"/>
        <v/>
      </c>
    </row>
    <row r="1079" spans="13:59" x14ac:dyDescent="0.3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str">
        <f t="shared" si="221"/>
        <v/>
      </c>
    </row>
    <row r="1080" spans="13:59" x14ac:dyDescent="0.3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str">
        <f t="shared" si="221"/>
        <v/>
      </c>
    </row>
    <row r="1081" spans="13:59" x14ac:dyDescent="0.3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str">
        <f t="shared" si="221"/>
        <v/>
      </c>
    </row>
    <row r="1082" spans="13:59" x14ac:dyDescent="0.3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str">
        <f t="shared" si="221"/>
        <v/>
      </c>
    </row>
    <row r="1083" spans="13:59" ht="15" thickBot="1" x14ac:dyDescent="0.4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str">
        <f t="shared" si="221"/>
        <v/>
      </c>
    </row>
    <row r="1084" spans="13:59" x14ac:dyDescent="0.3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str">
        <f t="shared" si="221"/>
        <v/>
      </c>
    </row>
    <row r="1085" spans="13:59" x14ac:dyDescent="0.3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str">
        <f t="shared" si="221"/>
        <v/>
      </c>
    </row>
    <row r="1086" spans="13:59" x14ac:dyDescent="0.3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str">
        <f t="shared" si="221"/>
        <v/>
      </c>
    </row>
    <row r="1087" spans="13:59" x14ac:dyDescent="0.3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str">
        <f t="shared" si="221"/>
        <v/>
      </c>
    </row>
    <row r="1088" spans="13:59" x14ac:dyDescent="0.3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str">
        <f t="shared" si="221"/>
        <v/>
      </c>
    </row>
    <row r="1089" spans="15:59" ht="15" thickBot="1" x14ac:dyDescent="0.4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str">
        <f t="shared" si="221"/>
        <v/>
      </c>
    </row>
    <row r="1090" spans="15:59" x14ac:dyDescent="0.3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str">
        <f t="shared" si="221"/>
        <v/>
      </c>
    </row>
    <row r="1091" spans="15:59" x14ac:dyDescent="0.3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str">
        <f t="shared" si="221"/>
        <v/>
      </c>
    </row>
    <row r="1092" spans="15:59" x14ac:dyDescent="0.3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str">
        <f t="shared" si="221"/>
        <v/>
      </c>
    </row>
    <row r="1093" spans="15:59" x14ac:dyDescent="0.3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str">
        <f t="shared" si="221"/>
        <v/>
      </c>
    </row>
    <row r="1094" spans="15:59" ht="15" thickBot="1" x14ac:dyDescent="0.4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str">
        <f t="shared" si="221"/>
        <v/>
      </c>
    </row>
    <row r="1095" spans="15:59" x14ac:dyDescent="0.3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str">
        <f t="shared" si="221"/>
        <v/>
      </c>
    </row>
    <row r="1096" spans="15:59" x14ac:dyDescent="0.3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str">
        <f t="shared" si="221"/>
        <v/>
      </c>
    </row>
    <row r="1097" spans="15:59" x14ac:dyDescent="0.3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str">
        <f t="shared" si="221"/>
        <v/>
      </c>
    </row>
    <row r="1098" spans="15:59" x14ac:dyDescent="0.3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str">
        <f t="shared" si="221"/>
        <v/>
      </c>
    </row>
    <row r="1099" spans="15:59" x14ac:dyDescent="0.3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str">
        <f t="shared" si="221"/>
        <v/>
      </c>
    </row>
    <row r="1100" spans="15:59" x14ac:dyDescent="0.3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str">
        <f t="shared" si="221"/>
        <v/>
      </c>
    </row>
    <row r="1101" spans="15:59" ht="15" thickBot="1" x14ac:dyDescent="0.4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str">
        <f t="shared" si="221"/>
        <v/>
      </c>
    </row>
    <row r="1102" spans="15:59" x14ac:dyDescent="0.3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str">
        <f t="shared" si="221"/>
        <v/>
      </c>
    </row>
    <row r="1103" spans="15:59" x14ac:dyDescent="0.3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str">
        <f t="shared" si="221"/>
        <v/>
      </c>
    </row>
    <row r="1104" spans="15:59" x14ac:dyDescent="0.3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str">
        <f t="shared" si="221"/>
        <v/>
      </c>
    </row>
    <row r="1105" spans="15:59" x14ac:dyDescent="0.3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str">
        <f t="shared" si="221"/>
        <v/>
      </c>
    </row>
    <row r="1106" spans="15:59" x14ac:dyDescent="0.3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str">
        <f t="shared" si="221"/>
        <v/>
      </c>
    </row>
    <row r="1107" spans="15:59" ht="15" thickBot="1" x14ac:dyDescent="0.4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str">
        <f t="shared" si="221"/>
        <v/>
      </c>
    </row>
    <row r="1108" spans="15:59" x14ac:dyDescent="0.3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str">
        <f t="shared" si="221"/>
        <v/>
      </c>
    </row>
    <row r="1109" spans="15:59" x14ac:dyDescent="0.3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str">
        <f t="shared" si="221"/>
        <v/>
      </c>
    </row>
    <row r="1110" spans="15:59" x14ac:dyDescent="0.3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str">
        <f t="shared" si="221"/>
        <v/>
      </c>
    </row>
    <row r="1111" spans="15:59" x14ac:dyDescent="0.3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str">
        <f t="shared" si="221"/>
        <v/>
      </c>
    </row>
    <row r="1112" spans="15:59" x14ac:dyDescent="0.3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str">
        <f t="shared" si="221"/>
        <v/>
      </c>
    </row>
    <row r="1113" spans="15:59" ht="15" thickBot="1" x14ac:dyDescent="0.4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str">
        <f t="shared" si="221"/>
        <v/>
      </c>
    </row>
    <row r="1114" spans="15:59" x14ac:dyDescent="0.3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str">
        <f t="shared" si="221"/>
        <v/>
      </c>
    </row>
    <row r="1115" spans="15:59" x14ac:dyDescent="0.3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str">
        <f t="shared" si="221"/>
        <v/>
      </c>
    </row>
    <row r="1116" spans="15:59" x14ac:dyDescent="0.3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str">
        <f t="shared" si="221"/>
        <v/>
      </c>
    </row>
    <row r="1117" spans="15:59" x14ac:dyDescent="0.3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str">
        <f t="shared" si="221"/>
        <v/>
      </c>
    </row>
    <row r="1118" spans="15:59" ht="15" thickBot="1" x14ac:dyDescent="0.4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str">
        <f t="shared" si="221"/>
        <v/>
      </c>
    </row>
    <row r="1119" spans="15:59" x14ac:dyDescent="0.3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str">
        <f t="shared" si="221"/>
        <v/>
      </c>
    </row>
    <row r="1120" spans="15:59" x14ac:dyDescent="0.3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str">
        <f t="shared" si="221"/>
        <v/>
      </c>
    </row>
    <row r="1121" spans="15:59" x14ac:dyDescent="0.3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str">
        <f t="shared" si="221"/>
        <v/>
      </c>
    </row>
    <row r="1122" spans="15:59" x14ac:dyDescent="0.3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str">
        <f t="shared" si="221"/>
        <v/>
      </c>
    </row>
    <row r="1123" spans="15:59" x14ac:dyDescent="0.3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str">
        <f t="shared" si="221"/>
        <v/>
      </c>
    </row>
    <row r="1124" spans="15:59" x14ac:dyDescent="0.3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str">
        <f t="shared" si="221"/>
        <v/>
      </c>
    </row>
    <row r="1125" spans="15:59" x14ac:dyDescent="0.3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str">
        <f t="shared" si="221"/>
        <v/>
      </c>
    </row>
    <row r="1126" spans="15:59" x14ac:dyDescent="0.3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str">
        <f t="shared" si="221"/>
        <v/>
      </c>
    </row>
    <row r="1127" spans="15:59" ht="15" thickBot="1" x14ac:dyDescent="0.4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str">
        <f t="shared" si="221"/>
        <v/>
      </c>
    </row>
    <row r="1128" spans="15:59" x14ac:dyDescent="0.3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str">
        <f t="shared" si="221"/>
        <v/>
      </c>
    </row>
    <row r="1129" spans="15:59" x14ac:dyDescent="0.3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str">
        <f t="shared" si="221"/>
        <v/>
      </c>
    </row>
    <row r="1130" spans="15:59" x14ac:dyDescent="0.3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str">
        <f t="shared" si="221"/>
        <v/>
      </c>
    </row>
    <row r="1131" spans="15:59" x14ac:dyDescent="0.3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str">
        <f t="shared" si="221"/>
        <v/>
      </c>
    </row>
    <row r="1132" spans="15:59" x14ac:dyDescent="0.3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str">
        <f t="shared" si="221"/>
        <v/>
      </c>
    </row>
    <row r="1133" spans="15:59" x14ac:dyDescent="0.3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str">
        <f t="shared" si="221"/>
        <v/>
      </c>
    </row>
    <row r="1134" spans="15:59" x14ac:dyDescent="0.3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str">
        <f t="shared" si="221"/>
        <v/>
      </c>
    </row>
    <row r="1135" spans="15:59" ht="15" thickBot="1" x14ac:dyDescent="0.4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str">
        <f t="shared" ref="BG1135:BG1198" si="222">IF(VALUE(SUBSTITUTE($B$5,"M",""))=U1135,BF1135,"")</f>
        <v/>
      </c>
    </row>
    <row r="1136" spans="15:59" x14ac:dyDescent="0.3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str">
        <f t="shared" si="222"/>
        <v/>
      </c>
    </row>
    <row r="1137" spans="15:59" x14ac:dyDescent="0.3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str">
        <f t="shared" si="222"/>
        <v/>
      </c>
    </row>
    <row r="1138" spans="15:59" x14ac:dyDescent="0.3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str">
        <f t="shared" si="222"/>
        <v/>
      </c>
    </row>
    <row r="1139" spans="15:59" x14ac:dyDescent="0.3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str">
        <f t="shared" si="222"/>
        <v/>
      </c>
    </row>
    <row r="1140" spans="15:59" x14ac:dyDescent="0.3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str">
        <f t="shared" si="222"/>
        <v/>
      </c>
    </row>
    <row r="1141" spans="15:59" ht="15" thickBot="1" x14ac:dyDescent="0.4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str">
        <f t="shared" si="222"/>
        <v/>
      </c>
    </row>
    <row r="1142" spans="15:59" x14ac:dyDescent="0.3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str">
        <f t="shared" si="222"/>
        <v/>
      </c>
    </row>
    <row r="1143" spans="15:59" x14ac:dyDescent="0.3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str">
        <f t="shared" si="222"/>
        <v/>
      </c>
    </row>
    <row r="1144" spans="15:59" x14ac:dyDescent="0.3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str">
        <f t="shared" si="222"/>
        <v/>
      </c>
    </row>
    <row r="1145" spans="15:59" x14ac:dyDescent="0.3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str">
        <f t="shared" si="222"/>
        <v/>
      </c>
    </row>
    <row r="1146" spans="15:59" x14ac:dyDescent="0.3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str">
        <f t="shared" si="222"/>
        <v/>
      </c>
    </row>
    <row r="1147" spans="15:59" ht="15" thickBot="1" x14ac:dyDescent="0.4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str">
        <f t="shared" si="222"/>
        <v/>
      </c>
    </row>
    <row r="1148" spans="15:59" x14ac:dyDescent="0.3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str">
        <f t="shared" si="222"/>
        <v/>
      </c>
    </row>
    <row r="1149" spans="15:59" x14ac:dyDescent="0.3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str">
        <f t="shared" si="222"/>
        <v/>
      </c>
    </row>
    <row r="1150" spans="15:59" x14ac:dyDescent="0.3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str">
        <f t="shared" si="222"/>
        <v/>
      </c>
    </row>
    <row r="1151" spans="15:59" x14ac:dyDescent="0.3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str">
        <f t="shared" si="222"/>
        <v/>
      </c>
    </row>
    <row r="1152" spans="15:59" x14ac:dyDescent="0.3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str">
        <f t="shared" si="222"/>
        <v/>
      </c>
    </row>
    <row r="1153" spans="15:59" ht="15" thickBot="1" x14ac:dyDescent="0.4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str">
        <f t="shared" si="222"/>
        <v/>
      </c>
    </row>
    <row r="1154" spans="15:59" x14ac:dyDescent="0.3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str">
        <f t="shared" si="222"/>
        <v/>
      </c>
    </row>
    <row r="1155" spans="15:59" x14ac:dyDescent="0.3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str">
        <f t="shared" si="222"/>
        <v/>
      </c>
    </row>
    <row r="1156" spans="15:59" x14ac:dyDescent="0.3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str">
        <f t="shared" si="222"/>
        <v/>
      </c>
    </row>
    <row r="1157" spans="15:59" x14ac:dyDescent="0.3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str">
        <f t="shared" si="222"/>
        <v/>
      </c>
    </row>
    <row r="1158" spans="15:59" x14ac:dyDescent="0.3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str">
        <f t="shared" si="222"/>
        <v/>
      </c>
    </row>
    <row r="1159" spans="15:59" ht="15" thickBot="1" x14ac:dyDescent="0.4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str">
        <f t="shared" si="222"/>
        <v/>
      </c>
    </row>
    <row r="1160" spans="15:59" x14ac:dyDescent="0.3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str">
        <f t="shared" si="222"/>
        <v/>
      </c>
    </row>
    <row r="1161" spans="15:59" x14ac:dyDescent="0.3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str">
        <f t="shared" si="222"/>
        <v/>
      </c>
    </row>
    <row r="1162" spans="15:59" x14ac:dyDescent="0.3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str">
        <f t="shared" si="222"/>
        <v/>
      </c>
    </row>
    <row r="1163" spans="15:59" x14ac:dyDescent="0.3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str">
        <f t="shared" si="222"/>
        <v/>
      </c>
    </row>
    <row r="1164" spans="15:59" x14ac:dyDescent="0.3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str">
        <f t="shared" si="222"/>
        <v/>
      </c>
    </row>
    <row r="1165" spans="15:59" ht="15" thickBot="1" x14ac:dyDescent="0.4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str">
        <f t="shared" si="222"/>
        <v/>
      </c>
    </row>
    <row r="1166" spans="15:59" x14ac:dyDescent="0.3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str">
        <f t="shared" si="222"/>
        <v/>
      </c>
    </row>
    <row r="1167" spans="15:59" x14ac:dyDescent="0.3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str">
        <f t="shared" si="222"/>
        <v/>
      </c>
    </row>
    <row r="1168" spans="15:59" x14ac:dyDescent="0.3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str">
        <f t="shared" si="222"/>
        <v/>
      </c>
    </row>
    <row r="1169" spans="15:59" x14ac:dyDescent="0.3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str">
        <f t="shared" si="222"/>
        <v/>
      </c>
    </row>
    <row r="1170" spans="15:59" x14ac:dyDescent="0.3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str">
        <f t="shared" si="222"/>
        <v/>
      </c>
    </row>
    <row r="1171" spans="15:59" x14ac:dyDescent="0.3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str">
        <f t="shared" si="222"/>
        <v/>
      </c>
    </row>
    <row r="1172" spans="15:59" x14ac:dyDescent="0.3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str">
        <f t="shared" si="222"/>
        <v/>
      </c>
    </row>
    <row r="1173" spans="15:59" x14ac:dyDescent="0.3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str">
        <f t="shared" si="222"/>
        <v/>
      </c>
    </row>
    <row r="1174" spans="15:59" ht="15" thickBot="1" x14ac:dyDescent="0.4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str">
        <f t="shared" si="222"/>
        <v/>
      </c>
    </row>
    <row r="1175" spans="15:59" x14ac:dyDescent="0.3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str">
        <f t="shared" si="222"/>
        <v/>
      </c>
    </row>
    <row r="1176" spans="15:59" x14ac:dyDescent="0.3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str">
        <f t="shared" si="222"/>
        <v/>
      </c>
    </row>
    <row r="1177" spans="15:59" x14ac:dyDescent="0.3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str">
        <f t="shared" si="222"/>
        <v/>
      </c>
    </row>
    <row r="1178" spans="15:59" x14ac:dyDescent="0.3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str">
        <f t="shared" si="222"/>
        <v/>
      </c>
    </row>
    <row r="1179" spans="15:59" x14ac:dyDescent="0.3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str">
        <f t="shared" si="222"/>
        <v/>
      </c>
    </row>
    <row r="1180" spans="15:59" x14ac:dyDescent="0.3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str">
        <f t="shared" si="222"/>
        <v/>
      </c>
    </row>
    <row r="1181" spans="15:59" ht="15" thickBot="1" x14ac:dyDescent="0.4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str">
        <f t="shared" si="222"/>
        <v/>
      </c>
    </row>
    <row r="1182" spans="15:59" x14ac:dyDescent="0.3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1921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str">
        <f t="shared" si="222"/>
        <v/>
      </c>
    </row>
    <row r="1183" spans="15:59" x14ac:dyDescent="0.3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1921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str">
        <f t="shared" si="222"/>
        <v/>
      </c>
    </row>
    <row r="1184" spans="15:59" x14ac:dyDescent="0.3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1921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str">
        <f t="shared" si="222"/>
        <v/>
      </c>
    </row>
    <row r="1185" spans="15:59" x14ac:dyDescent="0.3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1921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str">
        <f t="shared" si="222"/>
        <v/>
      </c>
    </row>
    <row r="1186" spans="15:59" x14ac:dyDescent="0.3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1921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str">
        <f t="shared" si="222"/>
        <v/>
      </c>
    </row>
    <row r="1187" spans="15:59" x14ac:dyDescent="0.3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1921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str">
        <f t="shared" si="222"/>
        <v/>
      </c>
    </row>
    <row r="1188" spans="15:59" x14ac:dyDescent="0.3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1921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str">
        <f t="shared" si="222"/>
        <v/>
      </c>
    </row>
    <row r="1189" spans="15:59" ht="15" thickBot="1" x14ac:dyDescent="0.4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1921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str">
        <f t="shared" si="222"/>
        <v/>
      </c>
    </row>
    <row r="1190" spans="15:59" x14ac:dyDescent="0.3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str">
        <f t="shared" si="222"/>
        <v/>
      </c>
    </row>
    <row r="1191" spans="15:59" x14ac:dyDescent="0.3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str">
        <f t="shared" si="222"/>
        <v/>
      </c>
    </row>
    <row r="1192" spans="15:59" x14ac:dyDescent="0.3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str">
        <f t="shared" si="222"/>
        <v/>
      </c>
    </row>
    <row r="1193" spans="15:59" x14ac:dyDescent="0.3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str">
        <f t="shared" si="222"/>
        <v/>
      </c>
    </row>
    <row r="1194" spans="15:59" x14ac:dyDescent="0.3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str">
        <f t="shared" si="222"/>
        <v/>
      </c>
    </row>
    <row r="1195" spans="15:59" x14ac:dyDescent="0.3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str">
        <f t="shared" si="222"/>
        <v/>
      </c>
    </row>
    <row r="1196" spans="15:59" x14ac:dyDescent="0.3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str">
        <f t="shared" si="222"/>
        <v/>
      </c>
    </row>
    <row r="1197" spans="15:59" x14ac:dyDescent="0.3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str">
        <f t="shared" si="222"/>
        <v/>
      </c>
    </row>
    <row r="1198" spans="15:59" ht="15" thickBot="1" x14ac:dyDescent="0.4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str">
        <f t="shared" si="222"/>
        <v/>
      </c>
    </row>
    <row r="1199" spans="15:59" x14ac:dyDescent="0.3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str">
        <f t="shared" ref="BG1199:BG1262" si="223">IF(VALUE(SUBSTITUTE($B$5,"M",""))=U1199,BF1199,"")</f>
        <v/>
      </c>
    </row>
    <row r="1200" spans="15:59" x14ac:dyDescent="0.3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str">
        <f t="shared" si="223"/>
        <v/>
      </c>
    </row>
    <row r="1201" spans="14:59" x14ac:dyDescent="0.3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str">
        <f t="shared" si="223"/>
        <v/>
      </c>
    </row>
    <row r="1202" spans="14:59" x14ac:dyDescent="0.3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str">
        <f t="shared" si="223"/>
        <v/>
      </c>
    </row>
    <row r="1203" spans="14:59" x14ac:dyDescent="0.3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str">
        <f t="shared" si="223"/>
        <v/>
      </c>
    </row>
    <row r="1204" spans="14:59" x14ac:dyDescent="0.3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str">
        <f t="shared" si="223"/>
        <v/>
      </c>
    </row>
    <row r="1205" spans="14:59" x14ac:dyDescent="0.3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str">
        <f t="shared" si="223"/>
        <v/>
      </c>
    </row>
    <row r="1206" spans="14:59" ht="15" thickBot="1" x14ac:dyDescent="0.4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str">
        <f t="shared" si="223"/>
        <v/>
      </c>
    </row>
    <row r="1207" spans="14:59" x14ac:dyDescent="0.3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str">
        <f t="shared" si="223"/>
        <v/>
      </c>
    </row>
    <row r="1208" spans="14:59" x14ac:dyDescent="0.3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str">
        <f t="shared" si="223"/>
        <v/>
      </c>
    </row>
    <row r="1209" spans="14:59" x14ac:dyDescent="0.3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str">
        <f t="shared" si="223"/>
        <v/>
      </c>
    </row>
    <row r="1210" spans="14:59" x14ac:dyDescent="0.3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str">
        <f t="shared" si="223"/>
        <v/>
      </c>
    </row>
    <row r="1211" spans="14:59" x14ac:dyDescent="0.3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str">
        <f t="shared" si="223"/>
        <v/>
      </c>
    </row>
    <row r="1212" spans="14:59" x14ac:dyDescent="0.3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str">
        <f t="shared" si="223"/>
        <v/>
      </c>
    </row>
    <row r="1213" spans="14:59" ht="15" thickBot="1" x14ac:dyDescent="0.4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str">
        <f t="shared" si="223"/>
        <v/>
      </c>
    </row>
    <row r="1214" spans="14:59" x14ac:dyDescent="0.35">
      <c r="N1214">
        <f t="shared" ref="N1214:N1219" si="224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str">
        <f t="shared" si="223"/>
        <v/>
      </c>
    </row>
    <row r="1215" spans="14:59" x14ac:dyDescent="0.35">
      <c r="N1215">
        <f t="shared" si="224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str">
        <f t="shared" si="223"/>
        <v/>
      </c>
    </row>
    <row r="1216" spans="14:59" x14ac:dyDescent="0.35">
      <c r="N1216">
        <f t="shared" si="224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str">
        <f t="shared" si="223"/>
        <v/>
      </c>
    </row>
    <row r="1217" spans="14:59" x14ac:dyDescent="0.35">
      <c r="N1217">
        <f t="shared" si="224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str">
        <f t="shared" si="223"/>
        <v/>
      </c>
    </row>
    <row r="1218" spans="14:59" x14ac:dyDescent="0.35">
      <c r="N1218">
        <f t="shared" si="224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str">
        <f t="shared" si="223"/>
        <v/>
      </c>
    </row>
    <row r="1219" spans="14:59" ht="15" thickBot="1" x14ac:dyDescent="0.4">
      <c r="N1219">
        <f t="shared" si="224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str">
        <f t="shared" si="223"/>
        <v/>
      </c>
    </row>
    <row r="1220" spans="14:59" x14ac:dyDescent="0.3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str">
        <f t="shared" si="223"/>
        <v/>
      </c>
    </row>
    <row r="1221" spans="14:59" x14ac:dyDescent="0.3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str">
        <f t="shared" si="223"/>
        <v/>
      </c>
    </row>
    <row r="1222" spans="14:59" x14ac:dyDescent="0.3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str">
        <f t="shared" si="223"/>
        <v/>
      </c>
    </row>
    <row r="1223" spans="14:59" x14ac:dyDescent="0.3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str">
        <f t="shared" si="223"/>
        <v/>
      </c>
    </row>
    <row r="1224" spans="14:59" x14ac:dyDescent="0.3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str">
        <f t="shared" si="223"/>
        <v/>
      </c>
    </row>
    <row r="1225" spans="14:59" x14ac:dyDescent="0.3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str">
        <f t="shared" si="223"/>
        <v/>
      </c>
    </row>
    <row r="1226" spans="14:59" x14ac:dyDescent="0.3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str">
        <f t="shared" si="223"/>
        <v/>
      </c>
    </row>
    <row r="1227" spans="14:59" ht="15" thickBot="1" x14ac:dyDescent="0.4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str">
        <f t="shared" si="223"/>
        <v/>
      </c>
    </row>
    <row r="1228" spans="14:59" x14ac:dyDescent="0.3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str">
        <f t="shared" si="223"/>
        <v/>
      </c>
    </row>
    <row r="1229" spans="14:59" x14ac:dyDescent="0.3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str">
        <f t="shared" si="223"/>
        <v/>
      </c>
    </row>
    <row r="1230" spans="14:59" x14ac:dyDescent="0.3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str">
        <f t="shared" si="223"/>
        <v/>
      </c>
    </row>
    <row r="1231" spans="14:59" x14ac:dyDescent="0.3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str">
        <f t="shared" si="223"/>
        <v/>
      </c>
    </row>
    <row r="1232" spans="14:59" x14ac:dyDescent="0.3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str">
        <f t="shared" si="223"/>
        <v/>
      </c>
    </row>
    <row r="1233" spans="15:59" ht="15" thickBot="1" x14ac:dyDescent="0.4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str">
        <f t="shared" si="223"/>
        <v/>
      </c>
    </row>
    <row r="1234" spans="15:59" x14ac:dyDescent="0.3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1923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str">
        <f t="shared" si="223"/>
        <v/>
      </c>
    </row>
    <row r="1235" spans="15:59" x14ac:dyDescent="0.3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1923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str">
        <f t="shared" si="223"/>
        <v/>
      </c>
    </row>
    <row r="1236" spans="15:59" x14ac:dyDescent="0.3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1923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str">
        <f t="shared" si="223"/>
        <v/>
      </c>
    </row>
    <row r="1237" spans="15:59" ht="15" thickBot="1" x14ac:dyDescent="0.4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1923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str">
        <f t="shared" si="223"/>
        <v/>
      </c>
    </row>
    <row r="1238" spans="15:59" x14ac:dyDescent="0.3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str">
        <f t="shared" si="223"/>
        <v/>
      </c>
    </row>
    <row r="1239" spans="15:59" x14ac:dyDescent="0.3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str">
        <f t="shared" si="223"/>
        <v/>
      </c>
    </row>
    <row r="1240" spans="15:59" x14ac:dyDescent="0.3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str">
        <f t="shared" si="223"/>
        <v/>
      </c>
    </row>
    <row r="1241" spans="15:59" x14ac:dyDescent="0.3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str">
        <f t="shared" si="223"/>
        <v/>
      </c>
    </row>
    <row r="1242" spans="15:59" x14ac:dyDescent="0.3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str">
        <f t="shared" si="223"/>
        <v/>
      </c>
    </row>
    <row r="1243" spans="15:59" ht="15" thickBot="1" x14ac:dyDescent="0.4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str">
        <f t="shared" si="223"/>
        <v/>
      </c>
    </row>
    <row r="1244" spans="15:59" x14ac:dyDescent="0.3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str">
        <f t="shared" si="223"/>
        <v/>
      </c>
    </row>
    <row r="1245" spans="15:59" x14ac:dyDescent="0.3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str">
        <f t="shared" si="223"/>
        <v/>
      </c>
    </row>
    <row r="1246" spans="15:59" x14ac:dyDescent="0.3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str">
        <f t="shared" si="223"/>
        <v/>
      </c>
    </row>
    <row r="1247" spans="15:59" x14ac:dyDescent="0.3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str">
        <f t="shared" si="223"/>
        <v/>
      </c>
    </row>
    <row r="1248" spans="15:59" x14ac:dyDescent="0.3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str">
        <f t="shared" si="223"/>
        <v/>
      </c>
    </row>
    <row r="1249" spans="15:59" ht="15" thickBot="1" x14ac:dyDescent="0.4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str">
        <f t="shared" si="223"/>
        <v/>
      </c>
    </row>
    <row r="1250" spans="15:59" x14ac:dyDescent="0.3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str">
        <f t="shared" si="223"/>
        <v/>
      </c>
    </row>
    <row r="1251" spans="15:59" x14ac:dyDescent="0.3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str">
        <f t="shared" si="223"/>
        <v/>
      </c>
    </row>
    <row r="1252" spans="15:59" x14ac:dyDescent="0.3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str">
        <f t="shared" si="223"/>
        <v/>
      </c>
    </row>
    <row r="1253" spans="15:59" x14ac:dyDescent="0.3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str">
        <f t="shared" si="223"/>
        <v/>
      </c>
    </row>
    <row r="1254" spans="15:59" x14ac:dyDescent="0.3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str">
        <f t="shared" si="223"/>
        <v/>
      </c>
    </row>
    <row r="1255" spans="15:59" ht="15" thickBot="1" x14ac:dyDescent="0.4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str">
        <f t="shared" si="223"/>
        <v/>
      </c>
    </row>
    <row r="1256" spans="15:59" x14ac:dyDescent="0.3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str">
        <f t="shared" si="223"/>
        <v/>
      </c>
    </row>
    <row r="1257" spans="15:59" x14ac:dyDescent="0.3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str">
        <f t="shared" si="223"/>
        <v/>
      </c>
    </row>
    <row r="1258" spans="15:59" x14ac:dyDescent="0.3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str">
        <f t="shared" si="223"/>
        <v/>
      </c>
    </row>
    <row r="1259" spans="15:59" x14ac:dyDescent="0.3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str">
        <f t="shared" si="223"/>
        <v/>
      </c>
    </row>
    <row r="1260" spans="15:59" x14ac:dyDescent="0.3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str">
        <f t="shared" si="223"/>
        <v/>
      </c>
    </row>
    <row r="1261" spans="15:59" ht="15" thickBot="1" x14ac:dyDescent="0.4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str">
        <f t="shared" si="223"/>
        <v/>
      </c>
    </row>
    <row r="1262" spans="15:59" x14ac:dyDescent="0.3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str">
        <f t="shared" si="223"/>
        <v/>
      </c>
    </row>
    <row r="1263" spans="15:59" x14ac:dyDescent="0.3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str">
        <f t="shared" ref="BG1263:BG1326" si="225">IF(VALUE(SUBSTITUTE($B$5,"M",""))=U1263,BF1263,"")</f>
        <v/>
      </c>
    </row>
    <row r="1264" spans="15:59" x14ac:dyDescent="0.3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str">
        <f t="shared" si="225"/>
        <v/>
      </c>
    </row>
    <row r="1265" spans="15:59" x14ac:dyDescent="0.3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str">
        <f t="shared" si="225"/>
        <v/>
      </c>
    </row>
    <row r="1266" spans="15:59" x14ac:dyDescent="0.3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str">
        <f t="shared" si="225"/>
        <v/>
      </c>
    </row>
    <row r="1267" spans="15:59" ht="15" thickBot="1" x14ac:dyDescent="0.4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str">
        <f t="shared" si="225"/>
        <v/>
      </c>
    </row>
    <row r="1268" spans="15:59" x14ac:dyDescent="0.3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str">
        <f t="shared" si="225"/>
        <v/>
      </c>
    </row>
    <row r="1269" spans="15:59" x14ac:dyDescent="0.3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str">
        <f t="shared" si="225"/>
        <v/>
      </c>
    </row>
    <row r="1270" spans="15:59" x14ac:dyDescent="0.3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str">
        <f t="shared" si="225"/>
        <v/>
      </c>
    </row>
    <row r="1271" spans="15:59" x14ac:dyDescent="0.3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str">
        <f t="shared" si="225"/>
        <v/>
      </c>
    </row>
    <row r="1272" spans="15:59" x14ac:dyDescent="0.3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str">
        <f t="shared" si="225"/>
        <v/>
      </c>
    </row>
    <row r="1273" spans="15:59" ht="15" thickBot="1" x14ac:dyDescent="0.4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str">
        <f t="shared" si="225"/>
        <v/>
      </c>
    </row>
    <row r="1274" spans="15:59" x14ac:dyDescent="0.3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str">
        <f t="shared" si="225"/>
        <v/>
      </c>
    </row>
    <row r="1275" spans="15:59" x14ac:dyDescent="0.3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str">
        <f t="shared" si="225"/>
        <v/>
      </c>
    </row>
    <row r="1276" spans="15:59" x14ac:dyDescent="0.3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str">
        <f t="shared" si="225"/>
        <v/>
      </c>
    </row>
    <row r="1277" spans="15:59" x14ac:dyDescent="0.3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str">
        <f t="shared" si="225"/>
        <v/>
      </c>
    </row>
    <row r="1278" spans="15:59" x14ac:dyDescent="0.3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str">
        <f t="shared" si="225"/>
        <v/>
      </c>
    </row>
    <row r="1279" spans="15:59" ht="15" thickBot="1" x14ac:dyDescent="0.4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str">
        <f t="shared" si="225"/>
        <v/>
      </c>
    </row>
    <row r="1280" spans="15:59" x14ac:dyDescent="0.3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str">
        <f t="shared" si="225"/>
        <v/>
      </c>
    </row>
    <row r="1281" spans="15:59" x14ac:dyDescent="0.3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str">
        <f t="shared" si="225"/>
        <v/>
      </c>
    </row>
    <row r="1282" spans="15:59" x14ac:dyDescent="0.3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str">
        <f t="shared" si="225"/>
        <v/>
      </c>
    </row>
    <row r="1283" spans="15:59" x14ac:dyDescent="0.3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str">
        <f t="shared" si="225"/>
        <v/>
      </c>
    </row>
    <row r="1284" spans="15:59" x14ac:dyDescent="0.3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str">
        <f t="shared" si="225"/>
        <v/>
      </c>
    </row>
    <row r="1285" spans="15:59" ht="15" thickBot="1" x14ac:dyDescent="0.4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str">
        <f t="shared" si="225"/>
        <v/>
      </c>
    </row>
    <row r="1286" spans="15:59" x14ac:dyDescent="0.3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1940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str">
        <f t="shared" si="225"/>
        <v/>
      </c>
    </row>
    <row r="1287" spans="15:59" x14ac:dyDescent="0.3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1940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str">
        <f t="shared" si="225"/>
        <v/>
      </c>
    </row>
    <row r="1288" spans="15:59" x14ac:dyDescent="0.3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1940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str">
        <f t="shared" si="225"/>
        <v/>
      </c>
    </row>
    <row r="1289" spans="15:59" x14ac:dyDescent="0.35">
      <c r="O1289" s="330"/>
      <c r="P1289" s="36"/>
      <c r="Q1289" s="36"/>
      <c r="R1289" s="36"/>
      <c r="S1289" s="36">
        <v>8.5</v>
      </c>
      <c r="T1289" s="36" t="s">
        <v>1940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str">
        <f t="shared" si="225"/>
        <v/>
      </c>
    </row>
    <row r="1290" spans="15:59" x14ac:dyDescent="0.35">
      <c r="O1290" s="330"/>
      <c r="P1290" s="36"/>
      <c r="Q1290" s="36"/>
      <c r="R1290" s="36"/>
      <c r="S1290" s="36">
        <v>8.5</v>
      </c>
      <c r="T1290" s="36" t="s">
        <v>1940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str">
        <f t="shared" si="225"/>
        <v/>
      </c>
    </row>
    <row r="1291" spans="15:59" ht="15" thickBot="1" x14ac:dyDescent="0.4">
      <c r="O1291" s="331"/>
      <c r="P1291" s="328"/>
      <c r="Q1291" s="328"/>
      <c r="R1291" s="328"/>
      <c r="S1291" s="328">
        <v>8.5</v>
      </c>
      <c r="T1291" s="328" t="s">
        <v>1940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str">
        <f t="shared" si="225"/>
        <v/>
      </c>
    </row>
    <row r="1292" spans="15:59" x14ac:dyDescent="0.35">
      <c r="O1292" s="329">
        <v>1</v>
      </c>
      <c r="P1292" s="320">
        <v>1130198</v>
      </c>
      <c r="Q1292" s="320">
        <v>40</v>
      </c>
      <c r="R1292" s="320"/>
      <c r="S1292" s="320" t="s">
        <v>1938</v>
      </c>
      <c r="T1292" s="320" t="s">
        <v>1941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str">
        <f t="shared" si="225"/>
        <v/>
      </c>
    </row>
    <row r="1293" spans="15:59" x14ac:dyDescent="0.35">
      <c r="O1293" s="330">
        <v>2</v>
      </c>
      <c r="P1293" s="36">
        <v>1130196</v>
      </c>
      <c r="Q1293" s="36">
        <v>18</v>
      </c>
      <c r="R1293" s="36"/>
      <c r="S1293" s="36" t="s">
        <v>1938</v>
      </c>
      <c r="T1293" s="36" t="s">
        <v>1941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str">
        <f t="shared" si="225"/>
        <v/>
      </c>
    </row>
    <row r="1294" spans="15:59" x14ac:dyDescent="0.35">
      <c r="O1294" s="330">
        <v>3</v>
      </c>
      <c r="P1294" s="36">
        <v>1209410</v>
      </c>
      <c r="Q1294" s="36">
        <v>10</v>
      </c>
      <c r="R1294" s="36"/>
      <c r="S1294" s="36" t="s">
        <v>1938</v>
      </c>
      <c r="T1294" s="36" t="s">
        <v>1941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str">
        <f t="shared" si="225"/>
        <v/>
      </c>
    </row>
    <row r="1295" spans="15:59" x14ac:dyDescent="0.35">
      <c r="O1295" s="330">
        <v>4</v>
      </c>
      <c r="P1295" s="36">
        <v>871781</v>
      </c>
      <c r="Q1295" s="36">
        <v>3</v>
      </c>
      <c r="R1295" s="36"/>
      <c r="S1295" s="36" t="s">
        <v>1938</v>
      </c>
      <c r="T1295" s="36" t="s">
        <v>1941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str">
        <f t="shared" si="225"/>
        <v/>
      </c>
    </row>
    <row r="1296" spans="15:59" ht="15" thickBot="1" x14ac:dyDescent="0.4">
      <c r="O1296" s="331">
        <v>5</v>
      </c>
      <c r="P1296" s="328">
        <v>418525</v>
      </c>
      <c r="Q1296" s="328">
        <v>2</v>
      </c>
      <c r="R1296" s="328"/>
      <c r="S1296" s="328" t="s">
        <v>1938</v>
      </c>
      <c r="T1296" s="328" t="s">
        <v>1941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str">
        <f t="shared" si="225"/>
        <v/>
      </c>
    </row>
    <row r="1297" spans="12:59" x14ac:dyDescent="0.3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1939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str">
        <f t="shared" si="225"/>
        <v/>
      </c>
    </row>
    <row r="1298" spans="12:59" x14ac:dyDescent="0.3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1939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str">
        <f t="shared" si="225"/>
        <v/>
      </c>
    </row>
    <row r="1299" spans="12:59" x14ac:dyDescent="0.35">
      <c r="L1299"/>
      <c r="O1299" s="330"/>
      <c r="P1299" s="36"/>
      <c r="Q1299" s="36"/>
      <c r="R1299" s="36"/>
      <c r="S1299" s="36">
        <v>6.125</v>
      </c>
      <c r="T1299" s="36" t="s">
        <v>1939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str">
        <f t="shared" si="225"/>
        <v/>
      </c>
    </row>
    <row r="1300" spans="12:59" x14ac:dyDescent="0.35">
      <c r="L1300"/>
      <c r="O1300" s="330"/>
      <c r="P1300" s="36"/>
      <c r="Q1300" s="36"/>
      <c r="R1300" s="36"/>
      <c r="S1300" s="36">
        <v>6.125</v>
      </c>
      <c r="T1300" s="36" t="s">
        <v>1939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str">
        <f t="shared" si="225"/>
        <v/>
      </c>
    </row>
    <row r="1301" spans="12:59" x14ac:dyDescent="0.35">
      <c r="L1301"/>
      <c r="O1301" s="330"/>
      <c r="P1301" s="36"/>
      <c r="Q1301" s="36"/>
      <c r="R1301" s="36"/>
      <c r="S1301" s="36">
        <v>6.125</v>
      </c>
      <c r="T1301" s="36" t="s">
        <v>1939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str">
        <f t="shared" si="225"/>
        <v/>
      </c>
    </row>
    <row r="1302" spans="12:59" ht="15" thickBot="1" x14ac:dyDescent="0.4">
      <c r="L1302"/>
      <c r="O1302" s="331"/>
      <c r="P1302" s="328"/>
      <c r="Q1302" s="328"/>
      <c r="R1302" s="328"/>
      <c r="S1302" s="328">
        <v>6.125</v>
      </c>
      <c r="T1302" s="328" t="s">
        <v>1939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str">
        <f t="shared" si="225"/>
        <v/>
      </c>
    </row>
    <row r="1303" spans="12:59" x14ac:dyDescent="0.3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1944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str">
        <f t="shared" si="225"/>
        <v/>
      </c>
    </row>
    <row r="1304" spans="12:59" x14ac:dyDescent="0.3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1944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str">
        <f t="shared" si="225"/>
        <v/>
      </c>
    </row>
    <row r="1305" spans="12:59" x14ac:dyDescent="0.3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1944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str">
        <f t="shared" si="225"/>
        <v/>
      </c>
    </row>
    <row r="1306" spans="12:59" x14ac:dyDescent="0.3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1944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str">
        <f t="shared" si="225"/>
        <v/>
      </c>
    </row>
    <row r="1307" spans="12:59" ht="15" thickBot="1" x14ac:dyDescent="0.4">
      <c r="L1307"/>
      <c r="O1307" s="331"/>
      <c r="P1307" s="328"/>
      <c r="Q1307" s="328"/>
      <c r="R1307" s="328"/>
      <c r="S1307" s="328">
        <v>8.375</v>
      </c>
      <c r="T1307" s="328" t="s">
        <v>1944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str">
        <f t="shared" si="225"/>
        <v/>
      </c>
    </row>
    <row r="1308" spans="12:59" x14ac:dyDescent="0.3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1940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str">
        <f t="shared" si="225"/>
        <v/>
      </c>
    </row>
    <row r="1309" spans="12:59" x14ac:dyDescent="0.3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1940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str">
        <f t="shared" si="225"/>
        <v/>
      </c>
    </row>
    <row r="1310" spans="12:59" x14ac:dyDescent="0.3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1940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str">
        <f t="shared" si="225"/>
        <v/>
      </c>
    </row>
    <row r="1311" spans="12:59" x14ac:dyDescent="0.35">
      <c r="O1311" s="330"/>
      <c r="P1311" s="36"/>
      <c r="Q1311" s="36"/>
      <c r="R1311" s="36"/>
      <c r="S1311" s="36">
        <v>8.5</v>
      </c>
      <c r="T1311" s="36" t="s">
        <v>1940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str">
        <f t="shared" si="225"/>
        <v/>
      </c>
    </row>
    <row r="1312" spans="12:59" x14ac:dyDescent="0.35">
      <c r="O1312" s="330"/>
      <c r="P1312" s="36"/>
      <c r="Q1312" s="36"/>
      <c r="R1312" s="36"/>
      <c r="S1312" s="36">
        <v>8.5</v>
      </c>
      <c r="T1312" s="36" t="s">
        <v>1940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str">
        <f t="shared" si="225"/>
        <v/>
      </c>
    </row>
    <row r="1313" spans="12:59" ht="15" thickBot="1" x14ac:dyDescent="0.4">
      <c r="O1313" s="331"/>
      <c r="P1313" s="328"/>
      <c r="Q1313" s="328"/>
      <c r="R1313" s="328"/>
      <c r="S1313" s="328">
        <v>8.5</v>
      </c>
      <c r="T1313" s="328" t="s">
        <v>1940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str">
        <f t="shared" si="225"/>
        <v/>
      </c>
    </row>
    <row r="1314" spans="12:59" x14ac:dyDescent="0.3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1961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str">
        <f t="shared" si="225"/>
        <v/>
      </c>
    </row>
    <row r="1315" spans="12:59" x14ac:dyDescent="0.3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1961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str">
        <f t="shared" si="225"/>
        <v/>
      </c>
    </row>
    <row r="1316" spans="12:59" x14ac:dyDescent="0.3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1961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str">
        <f t="shared" si="225"/>
        <v/>
      </c>
    </row>
    <row r="1317" spans="12:59" x14ac:dyDescent="0.3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1961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str">
        <f t="shared" si="225"/>
        <v/>
      </c>
    </row>
    <row r="1318" spans="12:59" ht="15" thickBot="1" x14ac:dyDescent="0.4">
      <c r="L1318"/>
      <c r="O1318" s="331"/>
      <c r="P1318" s="328"/>
      <c r="Q1318" s="328"/>
      <c r="R1318" s="328"/>
      <c r="S1318" s="328">
        <v>6.125</v>
      </c>
      <c r="T1318" s="328" t="s">
        <v>1961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str">
        <f t="shared" si="225"/>
        <v/>
      </c>
    </row>
    <row r="1319" spans="12:59" x14ac:dyDescent="0.3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str">
        <f t="shared" si="225"/>
        <v/>
      </c>
    </row>
    <row r="1320" spans="12:59" x14ac:dyDescent="0.3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str">
        <f t="shared" si="225"/>
        <v/>
      </c>
    </row>
    <row r="1321" spans="12:59" x14ac:dyDescent="0.3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str">
        <f t="shared" si="225"/>
        <v/>
      </c>
    </row>
    <row r="1322" spans="12:59" x14ac:dyDescent="0.3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str">
        <f t="shared" si="225"/>
        <v/>
      </c>
    </row>
    <row r="1323" spans="12:59" x14ac:dyDescent="0.3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str">
        <f t="shared" si="225"/>
        <v/>
      </c>
    </row>
    <row r="1324" spans="12:59" x14ac:dyDescent="0.3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str">
        <f t="shared" si="225"/>
        <v/>
      </c>
    </row>
    <row r="1325" spans="12:59" ht="15" thickBot="1" x14ac:dyDescent="0.4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str">
        <f t="shared" si="225"/>
        <v/>
      </c>
    </row>
    <row r="1326" spans="12:59" x14ac:dyDescent="0.3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1970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str">
        <f t="shared" si="225"/>
        <v/>
      </c>
    </row>
    <row r="1327" spans="12:59" x14ac:dyDescent="0.3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1970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str">
        <f t="shared" ref="BG1327:BG1390" si="226">IF(VALUE(SUBSTITUTE($B$5,"M",""))=U1327,BF1327,"")</f>
        <v/>
      </c>
    </row>
    <row r="1328" spans="12:59" x14ac:dyDescent="0.3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1970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str">
        <f t="shared" si="226"/>
        <v/>
      </c>
    </row>
    <row r="1329" spans="12:59" x14ac:dyDescent="0.35">
      <c r="O1329" s="330"/>
      <c r="P1329" s="36"/>
      <c r="Q1329" s="36"/>
      <c r="R1329" s="36"/>
      <c r="S1329" s="553">
        <v>16</v>
      </c>
      <c r="T1329" s="36" t="s">
        <v>1970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str">
        <f t="shared" si="226"/>
        <v/>
      </c>
    </row>
    <row r="1330" spans="12:59" x14ac:dyDescent="0.35">
      <c r="L1330"/>
      <c r="O1330" s="330"/>
      <c r="P1330" s="36"/>
      <c r="Q1330" s="36"/>
      <c r="R1330" s="36"/>
      <c r="S1330" s="553">
        <v>16</v>
      </c>
      <c r="T1330" s="36" t="s">
        <v>1970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str">
        <f t="shared" si="226"/>
        <v/>
      </c>
    </row>
    <row r="1331" spans="12:59" x14ac:dyDescent="0.35">
      <c r="L1331"/>
      <c r="O1331" s="330"/>
      <c r="P1331" s="36"/>
      <c r="Q1331" s="36"/>
      <c r="R1331" s="36"/>
      <c r="S1331" s="553">
        <v>16</v>
      </c>
      <c r="T1331" s="36" t="s">
        <v>1970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str">
        <f t="shared" si="226"/>
        <v/>
      </c>
    </row>
    <row r="1332" spans="12:59" ht="15" thickBot="1" x14ac:dyDescent="0.4">
      <c r="L1332"/>
      <c r="O1332" s="331"/>
      <c r="P1332" s="328"/>
      <c r="Q1332" s="328"/>
      <c r="R1332" s="328"/>
      <c r="S1332" s="554">
        <v>16</v>
      </c>
      <c r="T1332" s="328" t="s">
        <v>1970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str">
        <f t="shared" si="226"/>
        <v/>
      </c>
    </row>
    <row r="1333" spans="12:59" ht="15" thickBot="1" x14ac:dyDescent="0.4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1973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str">
        <f t="shared" si="226"/>
        <v/>
      </c>
    </row>
    <row r="1334" spans="12:59" ht="15" thickBot="1" x14ac:dyDescent="0.4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1973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str">
        <f t="shared" si="226"/>
        <v/>
      </c>
    </row>
    <row r="1335" spans="12:59" ht="15" thickBot="1" x14ac:dyDescent="0.4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1973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str">
        <f t="shared" si="226"/>
        <v/>
      </c>
    </row>
    <row r="1336" spans="12:59" ht="15" thickBot="1" x14ac:dyDescent="0.4">
      <c r="L1336"/>
      <c r="O1336" s="330"/>
      <c r="P1336" s="36"/>
      <c r="Q1336" s="36"/>
      <c r="R1336" s="36"/>
      <c r="S1336" s="36">
        <v>6.125</v>
      </c>
      <c r="T1336" s="320" t="s">
        <v>1973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str">
        <f t="shared" si="226"/>
        <v/>
      </c>
    </row>
    <row r="1337" spans="12:59" ht="15" thickBot="1" x14ac:dyDescent="0.4">
      <c r="L1337"/>
      <c r="O1337" s="331"/>
      <c r="P1337" s="328"/>
      <c r="Q1337" s="328"/>
      <c r="R1337" s="328"/>
      <c r="S1337" s="328">
        <v>6.125</v>
      </c>
      <c r="T1337" s="320" t="s">
        <v>1973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str">
        <f t="shared" si="226"/>
        <v/>
      </c>
    </row>
    <row r="1338" spans="12:59" ht="15" thickBot="1" x14ac:dyDescent="0.4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str">
        <f t="shared" si="226"/>
        <v/>
      </c>
    </row>
    <row r="1339" spans="12:59" ht="15" thickBot="1" x14ac:dyDescent="0.4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str">
        <f t="shared" si="226"/>
        <v/>
      </c>
    </row>
    <row r="1340" spans="12:59" ht="15" thickBot="1" x14ac:dyDescent="0.4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str">
        <f t="shared" si="226"/>
        <v/>
      </c>
    </row>
    <row r="1341" spans="12:59" ht="15" thickBot="1" x14ac:dyDescent="0.4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str">
        <f t="shared" si="226"/>
        <v/>
      </c>
    </row>
    <row r="1342" spans="12:59" ht="15" thickBot="1" x14ac:dyDescent="0.4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str">
        <f t="shared" si="226"/>
        <v/>
      </c>
    </row>
    <row r="1343" spans="12:59" ht="15" thickBot="1" x14ac:dyDescent="0.4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str">
        <f t="shared" si="226"/>
        <v/>
      </c>
    </row>
    <row r="1344" spans="12:59" ht="15" thickBot="1" x14ac:dyDescent="0.4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str">
        <f t="shared" si="226"/>
        <v/>
      </c>
    </row>
    <row r="1345" spans="12:59" ht="15" thickBot="1" x14ac:dyDescent="0.4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str">
        <f t="shared" si="226"/>
        <v/>
      </c>
    </row>
    <row r="1346" spans="12:59" ht="15" thickBot="1" x14ac:dyDescent="0.4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str">
        <f t="shared" si="226"/>
        <v/>
      </c>
    </row>
    <row r="1347" spans="12:59" ht="15" thickBot="1" x14ac:dyDescent="0.4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str">
        <f t="shared" si="226"/>
        <v/>
      </c>
    </row>
    <row r="1348" spans="12:59" ht="15" thickBot="1" x14ac:dyDescent="0.4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str">
        <f t="shared" si="226"/>
        <v/>
      </c>
    </row>
    <row r="1349" spans="12:59" ht="15" thickBot="1" x14ac:dyDescent="0.4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str">
        <f t="shared" si="226"/>
        <v/>
      </c>
    </row>
    <row r="1350" spans="12:59" ht="15" thickBot="1" x14ac:dyDescent="0.4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str">
        <f t="shared" si="226"/>
        <v/>
      </c>
    </row>
    <row r="1351" spans="12:59" ht="15" thickBot="1" x14ac:dyDescent="0.4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str">
        <f t="shared" si="226"/>
        <v/>
      </c>
    </row>
    <row r="1352" spans="12:59" x14ac:dyDescent="0.3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str">
        <f t="shared" si="226"/>
        <v/>
      </c>
    </row>
    <row r="1353" spans="12:59" x14ac:dyDescent="0.3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str">
        <f t="shared" si="226"/>
        <v/>
      </c>
    </row>
    <row r="1354" spans="12:59" x14ac:dyDescent="0.3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str">
        <f t="shared" si="226"/>
        <v/>
      </c>
    </row>
    <row r="1355" spans="12:59" x14ac:dyDescent="0.3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str">
        <f t="shared" si="226"/>
        <v/>
      </c>
    </row>
    <row r="1356" spans="12:59" x14ac:dyDescent="0.3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str">
        <f t="shared" si="226"/>
        <v/>
      </c>
    </row>
    <row r="1357" spans="12:59" x14ac:dyDescent="0.3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str">
        <f t="shared" si="226"/>
        <v/>
      </c>
    </row>
    <row r="1358" spans="12:59" x14ac:dyDescent="0.3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str">
        <f t="shared" si="226"/>
        <v/>
      </c>
    </row>
    <row r="1359" spans="12:59" x14ac:dyDescent="0.3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str">
        <f t="shared" si="226"/>
        <v/>
      </c>
    </row>
    <row r="1360" spans="12:59" ht="15" thickBot="1" x14ac:dyDescent="0.4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str">
        <f t="shared" si="226"/>
        <v/>
      </c>
    </row>
    <row r="1361" spans="15:59" x14ac:dyDescent="0.35">
      <c r="O1361" s="329">
        <v>1</v>
      </c>
      <c r="P1361" s="320">
        <v>1162508</v>
      </c>
      <c r="Q1361" s="320">
        <v>32</v>
      </c>
      <c r="R1361" s="320"/>
      <c r="S1361" s="968" t="s">
        <v>1198</v>
      </c>
      <c r="T1361" s="320" t="s">
        <v>1921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str">
        <f t="shared" si="226"/>
        <v/>
      </c>
    </row>
    <row r="1362" spans="15:59" x14ac:dyDescent="0.35">
      <c r="O1362" s="330">
        <v>2</v>
      </c>
      <c r="P1362" s="36">
        <v>1039033</v>
      </c>
      <c r="Q1362" s="36">
        <v>28</v>
      </c>
      <c r="R1362" s="36"/>
      <c r="S1362" s="969" t="s">
        <v>1198</v>
      </c>
      <c r="T1362" s="36" t="s">
        <v>1921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str">
        <f t="shared" si="226"/>
        <v/>
      </c>
    </row>
    <row r="1363" spans="15:59" x14ac:dyDescent="0.35">
      <c r="O1363" s="330">
        <v>3</v>
      </c>
      <c r="P1363" s="36">
        <v>1162510</v>
      </c>
      <c r="Q1363" s="36">
        <v>15</v>
      </c>
      <c r="R1363" s="36"/>
      <c r="S1363" s="969" t="s">
        <v>1198</v>
      </c>
      <c r="T1363" s="36" t="s">
        <v>1921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str">
        <f t="shared" si="226"/>
        <v/>
      </c>
    </row>
    <row r="1364" spans="15:59" x14ac:dyDescent="0.35">
      <c r="O1364" s="330">
        <v>4</v>
      </c>
      <c r="P1364" s="36">
        <v>418525</v>
      </c>
      <c r="Q1364" s="36">
        <v>7</v>
      </c>
      <c r="R1364" s="36"/>
      <c r="S1364" s="969" t="s">
        <v>1198</v>
      </c>
      <c r="T1364" s="36" t="s">
        <v>1921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str">
        <f t="shared" si="226"/>
        <v/>
      </c>
    </row>
    <row r="1365" spans="15:59" x14ac:dyDescent="0.35">
      <c r="O1365" s="330"/>
      <c r="P1365" s="36"/>
      <c r="Q1365" s="36"/>
      <c r="R1365" s="36"/>
      <c r="S1365" s="969" t="s">
        <v>1198</v>
      </c>
      <c r="T1365" s="36" t="s">
        <v>1921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str">
        <f t="shared" si="226"/>
        <v/>
      </c>
    </row>
    <row r="1366" spans="15:59" x14ac:dyDescent="0.35">
      <c r="O1366" s="330"/>
      <c r="P1366" s="36"/>
      <c r="Q1366" s="36"/>
      <c r="R1366" s="36"/>
      <c r="S1366" s="969" t="s">
        <v>1198</v>
      </c>
      <c r="T1366" s="36" t="s">
        <v>1921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str">
        <f t="shared" si="226"/>
        <v/>
      </c>
    </row>
    <row r="1367" spans="15:59" ht="15" thickBot="1" x14ac:dyDescent="0.4">
      <c r="O1367" s="485"/>
      <c r="P1367" s="486"/>
      <c r="Q1367" s="486"/>
      <c r="R1367" s="486"/>
      <c r="S1367" s="970" t="s">
        <v>1198</v>
      </c>
      <c r="T1367" s="486" t="s">
        <v>1921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str">
        <f t="shared" si="226"/>
        <v/>
      </c>
    </row>
    <row r="1368" spans="15:59" x14ac:dyDescent="0.35">
      <c r="O1368" s="329">
        <v>1</v>
      </c>
      <c r="P1368" s="320">
        <v>1163813</v>
      </c>
      <c r="Q1368" s="320">
        <v>74</v>
      </c>
      <c r="R1368" s="320"/>
      <c r="S1368" s="971" t="s">
        <v>1126</v>
      </c>
      <c r="T1368" s="320" t="s">
        <v>1997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str">
        <f t="shared" si="226"/>
        <v/>
      </c>
    </row>
    <row r="1369" spans="15:59" x14ac:dyDescent="0.35">
      <c r="O1369" s="330">
        <v>2</v>
      </c>
      <c r="P1369" s="36">
        <v>179734</v>
      </c>
      <c r="Q1369" s="36">
        <v>35</v>
      </c>
      <c r="R1369" s="36"/>
      <c r="S1369" s="972" t="s">
        <v>1126</v>
      </c>
      <c r="T1369" s="36" t="s">
        <v>1997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str">
        <f t="shared" si="226"/>
        <v/>
      </c>
    </row>
    <row r="1370" spans="15:59" x14ac:dyDescent="0.35">
      <c r="O1370" s="330">
        <v>3</v>
      </c>
      <c r="P1370" s="36">
        <v>871781</v>
      </c>
      <c r="Q1370" s="36">
        <v>32</v>
      </c>
      <c r="R1370" s="36"/>
      <c r="S1370" s="972" t="s">
        <v>1126</v>
      </c>
      <c r="T1370" s="36" t="s">
        <v>1997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str">
        <f t="shared" si="226"/>
        <v/>
      </c>
    </row>
    <row r="1371" spans="15:59" x14ac:dyDescent="0.35">
      <c r="O1371" s="330">
        <v>4</v>
      </c>
      <c r="P1371" s="36">
        <v>1086351</v>
      </c>
      <c r="Q1371" s="36">
        <v>17</v>
      </c>
      <c r="R1371" s="36"/>
      <c r="S1371" s="972" t="s">
        <v>1126</v>
      </c>
      <c r="T1371" s="36" t="s">
        <v>1997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str">
        <f t="shared" si="226"/>
        <v/>
      </c>
    </row>
    <row r="1372" spans="15:59" x14ac:dyDescent="0.35">
      <c r="O1372" s="330">
        <v>5</v>
      </c>
      <c r="P1372" s="36">
        <v>1133896</v>
      </c>
      <c r="Q1372" s="36">
        <v>13</v>
      </c>
      <c r="R1372" s="36"/>
      <c r="S1372" s="972" t="s">
        <v>1126</v>
      </c>
      <c r="T1372" s="36" t="s">
        <v>1997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str">
        <f t="shared" si="226"/>
        <v/>
      </c>
    </row>
    <row r="1373" spans="15:59" x14ac:dyDescent="0.35">
      <c r="O1373" s="330">
        <v>6</v>
      </c>
      <c r="P1373" s="36">
        <v>410851</v>
      </c>
      <c r="Q1373" s="36">
        <v>8</v>
      </c>
      <c r="R1373" s="36"/>
      <c r="S1373" s="972" t="s">
        <v>1126</v>
      </c>
      <c r="T1373" s="36" t="s">
        <v>1997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str">
        <f t="shared" si="226"/>
        <v/>
      </c>
    </row>
    <row r="1374" spans="15:59" x14ac:dyDescent="0.35">
      <c r="O1374" s="330"/>
      <c r="P1374" s="36"/>
      <c r="Q1374" s="36"/>
      <c r="R1374" s="36"/>
      <c r="S1374" s="972" t="s">
        <v>1126</v>
      </c>
      <c r="T1374" s="36" t="s">
        <v>1997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str">
        <f t="shared" si="226"/>
        <v/>
      </c>
    </row>
    <row r="1375" spans="15:59" ht="15" thickBot="1" x14ac:dyDescent="0.4">
      <c r="O1375" s="331"/>
      <c r="P1375" s="328"/>
      <c r="Q1375" s="328"/>
      <c r="R1375" s="328"/>
      <c r="S1375" s="973" t="s">
        <v>1126</v>
      </c>
      <c r="T1375" s="328" t="s">
        <v>1997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str">
        <f t="shared" si="226"/>
        <v/>
      </c>
    </row>
    <row r="1376" spans="15:59" x14ac:dyDescent="0.3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str">
        <f t="shared" si="226"/>
        <v/>
      </c>
    </row>
    <row r="1377" spans="14:59" x14ac:dyDescent="0.3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str">
        <f t="shared" si="226"/>
        <v/>
      </c>
    </row>
    <row r="1378" spans="14:59" x14ac:dyDescent="0.3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str">
        <f t="shared" si="226"/>
        <v/>
      </c>
    </row>
    <row r="1379" spans="14:59" x14ac:dyDescent="0.3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str">
        <f t="shared" si="226"/>
        <v/>
      </c>
    </row>
    <row r="1380" spans="14:59" x14ac:dyDescent="0.3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str">
        <f t="shared" si="226"/>
        <v/>
      </c>
    </row>
    <row r="1381" spans="14:59" ht="15" thickBot="1" x14ac:dyDescent="0.4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str">
        <f t="shared" si="226"/>
        <v/>
      </c>
    </row>
    <row r="1382" spans="14:59" ht="15" thickBot="1" x14ac:dyDescent="0.4">
      <c r="O1382" s="329">
        <v>1</v>
      </c>
      <c r="P1382" s="320">
        <v>1177229</v>
      </c>
      <c r="Q1382" s="320">
        <v>19</v>
      </c>
      <c r="R1382" s="320"/>
      <c r="S1382" s="320" t="s">
        <v>2004</v>
      </c>
      <c r="T1382" s="320" t="s">
        <v>2005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str">
        <f t="shared" si="226"/>
        <v/>
      </c>
    </row>
    <row r="1383" spans="14:59" ht="15" thickBot="1" x14ac:dyDescent="0.4">
      <c r="O1383" s="330">
        <v>2</v>
      </c>
      <c r="P1383" s="36">
        <v>882800</v>
      </c>
      <c r="Q1383" s="36">
        <v>5</v>
      </c>
      <c r="R1383" s="36"/>
      <c r="S1383" s="320" t="s">
        <v>2004</v>
      </c>
      <c r="T1383" s="320" t="s">
        <v>2005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str">
        <f t="shared" si="226"/>
        <v/>
      </c>
    </row>
    <row r="1384" spans="14:59" ht="15" thickBot="1" x14ac:dyDescent="0.4">
      <c r="O1384" s="330"/>
      <c r="P1384" s="36"/>
      <c r="Q1384" s="36"/>
      <c r="R1384" s="36"/>
      <c r="S1384" s="320" t="s">
        <v>2004</v>
      </c>
      <c r="T1384" s="320" t="s">
        <v>2005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str">
        <f t="shared" si="226"/>
        <v/>
      </c>
    </row>
    <row r="1385" spans="14:59" ht="15" thickBot="1" x14ac:dyDescent="0.4">
      <c r="O1385" s="330"/>
      <c r="P1385" s="36"/>
      <c r="Q1385" s="36"/>
      <c r="R1385" s="36"/>
      <c r="S1385" s="320" t="s">
        <v>2004</v>
      </c>
      <c r="T1385" s="320" t="s">
        <v>2005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str">
        <f t="shared" si="226"/>
        <v/>
      </c>
    </row>
    <row r="1386" spans="14:59" ht="15" thickBot="1" x14ac:dyDescent="0.4">
      <c r="O1386" s="485"/>
      <c r="P1386" s="486"/>
      <c r="Q1386" s="486"/>
      <c r="R1386" s="486"/>
      <c r="S1386" s="965" t="s">
        <v>2004</v>
      </c>
      <c r="T1386" s="965" t="s">
        <v>2005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str">
        <f t="shared" si="226"/>
        <v/>
      </c>
    </row>
    <row r="1387" spans="14:59" x14ac:dyDescent="0.3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4"/>
      <c r="BA1387" s="320"/>
      <c r="BB1387" s="320"/>
      <c r="BC1387" s="320"/>
      <c r="BD1387" s="119"/>
      <c r="BF1387">
        <f>ROWS($U$46:U1387)</f>
        <v>1342</v>
      </c>
      <c r="BG1387" t="str">
        <f t="shared" si="226"/>
        <v/>
      </c>
    </row>
    <row r="1388" spans="14:59" x14ac:dyDescent="0.3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str">
        <f t="shared" si="226"/>
        <v/>
      </c>
    </row>
    <row r="1389" spans="14:59" x14ac:dyDescent="0.35">
      <c r="N1389" t="s">
        <v>2014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str">
        <f t="shared" si="226"/>
        <v/>
      </c>
    </row>
    <row r="1390" spans="14:59" x14ac:dyDescent="0.3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str">
        <f t="shared" si="226"/>
        <v/>
      </c>
    </row>
    <row r="1391" spans="14:59" x14ac:dyDescent="0.3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str">
        <f t="shared" ref="BG1391:BG1454" si="227">IF(VALUE(SUBSTITUTE($B$5,"M",""))=U1391,BF1391,"")</f>
        <v/>
      </c>
    </row>
    <row r="1392" spans="14:59" ht="15" thickBot="1" x14ac:dyDescent="0.4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str">
        <f t="shared" si="227"/>
        <v/>
      </c>
    </row>
    <row r="1393" spans="14:59" ht="15" thickBot="1" x14ac:dyDescent="0.4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2009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4"/>
      <c r="BA1393" s="320"/>
      <c r="BB1393" s="320"/>
      <c r="BC1393" s="320"/>
      <c r="BD1393" s="119"/>
      <c r="BF1393">
        <f>ROWS($U$46:U1393)</f>
        <v>1348</v>
      </c>
      <c r="BG1393" t="str">
        <f t="shared" si="227"/>
        <v/>
      </c>
    </row>
    <row r="1394" spans="14:59" ht="15" thickBot="1" x14ac:dyDescent="0.4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2009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str">
        <f t="shared" si="227"/>
        <v/>
      </c>
    </row>
    <row r="1395" spans="14:59" ht="15" thickBot="1" x14ac:dyDescent="0.4">
      <c r="N1395" t="s">
        <v>2014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2009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str">
        <f t="shared" si="227"/>
        <v/>
      </c>
    </row>
    <row r="1396" spans="14:59" ht="15" thickBot="1" x14ac:dyDescent="0.4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2009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str">
        <f t="shared" si="227"/>
        <v/>
      </c>
    </row>
    <row r="1397" spans="14:59" ht="15" thickBot="1" x14ac:dyDescent="0.4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2009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str">
        <f t="shared" si="227"/>
        <v/>
      </c>
    </row>
    <row r="1398" spans="14:59" ht="15" thickBot="1" x14ac:dyDescent="0.4">
      <c r="O1398" s="331"/>
      <c r="P1398" s="328"/>
      <c r="Q1398" s="328"/>
      <c r="R1398" s="328"/>
      <c r="S1398" s="328" t="s">
        <v>1319</v>
      </c>
      <c r="T1398" s="320" t="s">
        <v>2009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str">
        <f t="shared" si="227"/>
        <v/>
      </c>
    </row>
    <row r="1399" spans="14:59" ht="15" thickBot="1" x14ac:dyDescent="0.4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2010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4"/>
      <c r="BA1399" s="320"/>
      <c r="BB1399" s="320"/>
      <c r="BC1399" s="320"/>
      <c r="BD1399" s="119"/>
      <c r="BF1399">
        <f>ROWS($U$46:U1399)</f>
        <v>1354</v>
      </c>
      <c r="BG1399" t="str">
        <f t="shared" si="227"/>
        <v/>
      </c>
    </row>
    <row r="1400" spans="14:59" ht="15" thickBot="1" x14ac:dyDescent="0.4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2010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str">
        <f t="shared" si="227"/>
        <v/>
      </c>
    </row>
    <row r="1401" spans="14:59" ht="15" thickBot="1" x14ac:dyDescent="0.4">
      <c r="O1401" s="330"/>
      <c r="P1401" s="36"/>
      <c r="Q1401" s="36"/>
      <c r="R1401" s="36"/>
      <c r="S1401" s="36" t="s">
        <v>1319</v>
      </c>
      <c r="T1401" s="320" t="s">
        <v>2010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str">
        <f t="shared" si="227"/>
        <v/>
      </c>
    </row>
    <row r="1402" spans="14:59" ht="15" thickBot="1" x14ac:dyDescent="0.4">
      <c r="O1402" s="330"/>
      <c r="P1402" s="36"/>
      <c r="Q1402" s="36"/>
      <c r="R1402" s="36"/>
      <c r="S1402" s="36" t="s">
        <v>1319</v>
      </c>
      <c r="T1402" s="320" t="s">
        <v>2010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str">
        <f t="shared" si="227"/>
        <v/>
      </c>
    </row>
    <row r="1403" spans="14:59" ht="15" thickBot="1" x14ac:dyDescent="0.4">
      <c r="O1403" s="330"/>
      <c r="P1403" s="36"/>
      <c r="Q1403" s="36"/>
      <c r="R1403" s="36"/>
      <c r="S1403" s="36" t="s">
        <v>1319</v>
      </c>
      <c r="T1403" s="320" t="s">
        <v>2010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str">
        <f t="shared" si="227"/>
        <v/>
      </c>
    </row>
    <row r="1404" spans="14:59" ht="15" thickBot="1" x14ac:dyDescent="0.4">
      <c r="O1404" s="331"/>
      <c r="P1404" s="328"/>
      <c r="Q1404" s="328"/>
      <c r="R1404" s="328"/>
      <c r="S1404" s="328" t="s">
        <v>1319</v>
      </c>
      <c r="T1404" s="320" t="s">
        <v>2010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str">
        <f t="shared" si="227"/>
        <v/>
      </c>
    </row>
    <row r="1405" spans="14:59" ht="15" thickBot="1" x14ac:dyDescent="0.4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4"/>
      <c r="BA1405" s="320"/>
      <c r="BB1405" s="320"/>
      <c r="BC1405" s="320"/>
      <c r="BD1405" s="119"/>
      <c r="BF1405">
        <f>ROWS($U$46:U1405)</f>
        <v>1360</v>
      </c>
      <c r="BG1405" t="str">
        <f t="shared" si="227"/>
        <v/>
      </c>
    </row>
    <row r="1406" spans="14:59" ht="15" thickBot="1" x14ac:dyDescent="0.4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str">
        <f t="shared" si="227"/>
        <v/>
      </c>
    </row>
    <row r="1407" spans="14:59" ht="15" thickBot="1" x14ac:dyDescent="0.4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str">
        <f t="shared" si="227"/>
        <v/>
      </c>
    </row>
    <row r="1408" spans="14:59" ht="15" thickBot="1" x14ac:dyDescent="0.4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str">
        <f t="shared" si="227"/>
        <v/>
      </c>
    </row>
    <row r="1409" spans="15:59" ht="15" thickBot="1" x14ac:dyDescent="0.4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str">
        <f t="shared" si="227"/>
        <v/>
      </c>
    </row>
    <row r="1410" spans="15:59" ht="15" thickBot="1" x14ac:dyDescent="0.4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str">
        <f t="shared" si="227"/>
        <v/>
      </c>
    </row>
    <row r="1411" spans="15:59" x14ac:dyDescent="0.35">
      <c r="O1411" s="329">
        <v>1</v>
      </c>
      <c r="P1411" s="320">
        <v>179734</v>
      </c>
      <c r="Q1411" s="320">
        <v>98</v>
      </c>
      <c r="R1411" s="320"/>
      <c r="S1411" s="968" t="s">
        <v>2017</v>
      </c>
      <c r="T1411" s="320" t="s">
        <v>2018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str">
        <f t="shared" si="227"/>
        <v/>
      </c>
    </row>
    <row r="1412" spans="15:59" x14ac:dyDescent="0.35">
      <c r="O1412" s="330">
        <v>2</v>
      </c>
      <c r="P1412" s="36">
        <v>1165884</v>
      </c>
      <c r="Q1412" s="36">
        <v>84</v>
      </c>
      <c r="R1412" s="36"/>
      <c r="S1412" s="969" t="s">
        <v>2017</v>
      </c>
      <c r="T1412" s="36" t="s">
        <v>2018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str">
        <f t="shared" si="227"/>
        <v/>
      </c>
    </row>
    <row r="1413" spans="15:59" x14ac:dyDescent="0.35">
      <c r="O1413" s="330">
        <v>3</v>
      </c>
      <c r="P1413" s="36">
        <v>1165882</v>
      </c>
      <c r="Q1413" s="36">
        <v>14</v>
      </c>
      <c r="R1413" s="36"/>
      <c r="S1413" s="969" t="s">
        <v>2017</v>
      </c>
      <c r="T1413" s="36" t="s">
        <v>2018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str">
        <f t="shared" si="227"/>
        <v/>
      </c>
    </row>
    <row r="1414" spans="15:59" x14ac:dyDescent="0.35">
      <c r="O1414" s="330">
        <v>4</v>
      </c>
      <c r="P1414" s="36">
        <v>418525</v>
      </c>
      <c r="Q1414" s="36">
        <v>7</v>
      </c>
      <c r="R1414" s="36"/>
      <c r="S1414" s="969" t="s">
        <v>2017</v>
      </c>
      <c r="T1414" s="36" t="s">
        <v>2018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str">
        <f t="shared" si="227"/>
        <v/>
      </c>
    </row>
    <row r="1415" spans="15:59" x14ac:dyDescent="0.35">
      <c r="O1415" s="330"/>
      <c r="P1415" s="36"/>
      <c r="Q1415" s="36"/>
      <c r="R1415" s="36"/>
      <c r="S1415" s="969" t="s">
        <v>2017</v>
      </c>
      <c r="T1415" s="36" t="s">
        <v>2018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str">
        <f t="shared" si="227"/>
        <v/>
      </c>
    </row>
    <row r="1416" spans="15:59" x14ac:dyDescent="0.35">
      <c r="O1416" s="330"/>
      <c r="P1416" s="36"/>
      <c r="Q1416" s="36"/>
      <c r="R1416" s="36"/>
      <c r="S1416" s="969" t="s">
        <v>2017</v>
      </c>
      <c r="T1416" s="36" t="s">
        <v>2018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str">
        <f t="shared" si="227"/>
        <v/>
      </c>
    </row>
    <row r="1417" spans="15:59" ht="15" thickBot="1" x14ac:dyDescent="0.4">
      <c r="O1417" s="331"/>
      <c r="P1417" s="328"/>
      <c r="Q1417" s="328"/>
      <c r="R1417" s="328"/>
      <c r="S1417" s="975" t="s">
        <v>2017</v>
      </c>
      <c r="T1417" s="328" t="s">
        <v>2018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str">
        <f t="shared" si="227"/>
        <v/>
      </c>
    </row>
    <row r="1418" spans="15:59" x14ac:dyDescent="0.35">
      <c r="O1418" s="329">
        <v>1</v>
      </c>
      <c r="P1418" s="320">
        <v>1165842</v>
      </c>
      <c r="Q1418" s="320">
        <v>48</v>
      </c>
      <c r="R1418" s="320"/>
      <c r="S1418" s="320" t="s">
        <v>2017</v>
      </c>
      <c r="T1418" s="320" t="s">
        <v>2022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4"/>
      <c r="BA1418" s="320"/>
      <c r="BB1418" s="320"/>
      <c r="BC1418" s="320"/>
      <c r="BD1418" s="119"/>
      <c r="BF1418">
        <f>ROWS($U$46:U1418)</f>
        <v>1373</v>
      </c>
      <c r="BG1418" t="str">
        <f t="shared" si="227"/>
        <v/>
      </c>
    </row>
    <row r="1419" spans="15:59" x14ac:dyDescent="0.35">
      <c r="O1419" s="330">
        <v>2</v>
      </c>
      <c r="P1419" s="36">
        <v>647436</v>
      </c>
      <c r="Q1419" s="36">
        <v>22</v>
      </c>
      <c r="R1419" s="36"/>
      <c r="S1419" s="36" t="s">
        <v>2017</v>
      </c>
      <c r="T1419" s="36" t="s">
        <v>2022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str">
        <f t="shared" si="227"/>
        <v/>
      </c>
    </row>
    <row r="1420" spans="15:59" x14ac:dyDescent="0.35">
      <c r="O1420" s="330">
        <v>3</v>
      </c>
      <c r="P1420" s="36">
        <v>708306</v>
      </c>
      <c r="Q1420" s="36">
        <v>12</v>
      </c>
      <c r="R1420" s="36"/>
      <c r="S1420" s="36" t="s">
        <v>2017</v>
      </c>
      <c r="T1420" s="36" t="s">
        <v>2022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str">
        <f t="shared" si="227"/>
        <v/>
      </c>
    </row>
    <row r="1421" spans="15:59" x14ac:dyDescent="0.35">
      <c r="O1421" s="330">
        <v>4</v>
      </c>
      <c r="P1421" s="36">
        <v>179734</v>
      </c>
      <c r="Q1421" s="36">
        <v>18</v>
      </c>
      <c r="R1421" s="36"/>
      <c r="S1421" s="36" t="s">
        <v>2017</v>
      </c>
      <c r="T1421" s="36" t="s">
        <v>2022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str">
        <f t="shared" si="227"/>
        <v/>
      </c>
    </row>
    <row r="1422" spans="15:59" x14ac:dyDescent="0.35">
      <c r="O1422" s="330">
        <v>5</v>
      </c>
      <c r="P1422" s="36">
        <v>418525</v>
      </c>
      <c r="Q1422" s="36">
        <v>6</v>
      </c>
      <c r="R1422" s="36"/>
      <c r="S1422" s="36" t="s">
        <v>2017</v>
      </c>
      <c r="T1422" s="36" t="s">
        <v>2022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str">
        <f t="shared" si="227"/>
        <v/>
      </c>
    </row>
    <row r="1423" spans="15:59" ht="15" thickBot="1" x14ac:dyDescent="0.4">
      <c r="O1423" s="331"/>
      <c r="P1423" s="328"/>
      <c r="Q1423" s="328"/>
      <c r="R1423" s="328"/>
      <c r="S1423" s="328" t="s">
        <v>2017</v>
      </c>
      <c r="T1423" s="328" t="s">
        <v>2022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str">
        <f t="shared" si="227"/>
        <v/>
      </c>
    </row>
    <row r="1424" spans="15:59" ht="15" thickBot="1" x14ac:dyDescent="0.4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1973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4"/>
      <c r="BA1424" s="320"/>
      <c r="BB1424" s="320"/>
      <c r="BC1424" s="320"/>
      <c r="BD1424" s="119"/>
      <c r="BF1424">
        <f>ROWS($U$46:U1424)</f>
        <v>1379</v>
      </c>
      <c r="BG1424" t="str">
        <f t="shared" si="227"/>
        <v/>
      </c>
    </row>
    <row r="1425" spans="15:59" ht="15" thickBot="1" x14ac:dyDescent="0.4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1973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str">
        <f t="shared" si="227"/>
        <v/>
      </c>
    </row>
    <row r="1426" spans="15:59" ht="15" thickBot="1" x14ac:dyDescent="0.4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1973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str">
        <f t="shared" si="227"/>
        <v/>
      </c>
    </row>
    <row r="1427" spans="15:59" ht="15" thickBot="1" x14ac:dyDescent="0.4">
      <c r="O1427" s="330"/>
      <c r="P1427" s="36"/>
      <c r="Q1427" s="36"/>
      <c r="R1427" s="36"/>
      <c r="S1427" s="36">
        <v>6.125</v>
      </c>
      <c r="T1427" s="320" t="s">
        <v>1973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str">
        <f t="shared" si="227"/>
        <v/>
      </c>
    </row>
    <row r="1428" spans="15:59" ht="15" thickBot="1" x14ac:dyDescent="0.4">
      <c r="O1428" s="330"/>
      <c r="P1428" s="36"/>
      <c r="Q1428" s="36"/>
      <c r="R1428" s="36"/>
      <c r="S1428" s="36">
        <v>6.125</v>
      </c>
      <c r="T1428" s="320" t="s">
        <v>1973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str">
        <f t="shared" si="227"/>
        <v/>
      </c>
    </row>
    <row r="1429" spans="15:59" ht="15" thickBot="1" x14ac:dyDescent="0.4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2028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4"/>
      <c r="BA1429" s="320"/>
      <c r="BB1429" s="320"/>
      <c r="BC1429" s="320"/>
      <c r="BD1429" s="119"/>
      <c r="BF1429">
        <f>ROWS($U$46:U1429)</f>
        <v>1384</v>
      </c>
      <c r="BG1429" t="str">
        <f t="shared" si="227"/>
        <v/>
      </c>
    </row>
    <row r="1430" spans="15:59" ht="15" thickBot="1" x14ac:dyDescent="0.4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2028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str">
        <f t="shared" si="227"/>
        <v/>
      </c>
    </row>
    <row r="1431" spans="15:59" ht="15" thickBot="1" x14ac:dyDescent="0.4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2028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str">
        <f t="shared" si="227"/>
        <v/>
      </c>
    </row>
    <row r="1432" spans="15:59" ht="15" thickBot="1" x14ac:dyDescent="0.4">
      <c r="O1432" s="330"/>
      <c r="P1432" s="36"/>
      <c r="Q1432" s="36"/>
      <c r="R1432" s="36"/>
      <c r="S1432" s="36" t="s">
        <v>1319</v>
      </c>
      <c r="T1432" s="320" t="s">
        <v>2028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str">
        <f t="shared" si="227"/>
        <v/>
      </c>
    </row>
    <row r="1433" spans="15:59" ht="15" thickBot="1" x14ac:dyDescent="0.4">
      <c r="O1433" s="330"/>
      <c r="P1433" s="36"/>
      <c r="Q1433" s="36"/>
      <c r="R1433" s="36"/>
      <c r="S1433" s="36" t="s">
        <v>1319</v>
      </c>
      <c r="T1433" s="320" t="s">
        <v>2028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str">
        <f t="shared" si="227"/>
        <v/>
      </c>
    </row>
    <row r="1434" spans="15:59" ht="15" thickBot="1" x14ac:dyDescent="0.4">
      <c r="O1434" s="329">
        <v>1</v>
      </c>
      <c r="P1434" s="320">
        <v>1165796</v>
      </c>
      <c r="Q1434" s="320">
        <v>19</v>
      </c>
      <c r="R1434" s="320"/>
      <c r="S1434" s="320" t="s">
        <v>2004</v>
      </c>
      <c r="T1434" s="320" t="s">
        <v>2034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4"/>
      <c r="BA1434" s="320"/>
      <c r="BB1434" s="320"/>
      <c r="BC1434" s="320"/>
      <c r="BD1434" s="119"/>
      <c r="BF1434">
        <f>ROWS($U$46:U1434)</f>
        <v>1389</v>
      </c>
      <c r="BG1434" t="str">
        <f t="shared" si="227"/>
        <v/>
      </c>
    </row>
    <row r="1435" spans="15:59" ht="15" thickBot="1" x14ac:dyDescent="0.4">
      <c r="O1435" s="330"/>
      <c r="P1435" s="36"/>
      <c r="Q1435" s="36"/>
      <c r="R1435" s="36"/>
      <c r="S1435" s="36"/>
      <c r="T1435" s="320" t="s">
        <v>2034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 t="str">
        <f t="shared" si="227"/>
        <v/>
      </c>
    </row>
    <row r="1436" spans="15:59" ht="15" thickBot="1" x14ac:dyDescent="0.4">
      <c r="O1436" s="330"/>
      <c r="P1436" s="36"/>
      <c r="Q1436" s="36"/>
      <c r="R1436" s="36"/>
      <c r="S1436" s="36"/>
      <c r="T1436" s="320" t="s">
        <v>2034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 t="str">
        <f t="shared" si="227"/>
        <v/>
      </c>
    </row>
    <row r="1437" spans="15:59" ht="15" thickBot="1" x14ac:dyDescent="0.4">
      <c r="O1437" s="330"/>
      <c r="P1437" s="36"/>
      <c r="Q1437" s="36"/>
      <c r="R1437" s="36"/>
      <c r="S1437" s="36"/>
      <c r="T1437" s="320" t="s">
        <v>2034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 t="str">
        <f t="shared" si="227"/>
        <v/>
      </c>
    </row>
    <row r="1438" spans="15:59" ht="15" thickBot="1" x14ac:dyDescent="0.4">
      <c r="O1438" s="330"/>
      <c r="P1438" s="36"/>
      <c r="Q1438" s="36"/>
      <c r="R1438" s="36"/>
      <c r="S1438" s="36"/>
      <c r="T1438" s="320" t="s">
        <v>2034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 t="str">
        <f t="shared" si="227"/>
        <v/>
      </c>
    </row>
    <row r="1439" spans="15:59" x14ac:dyDescent="0.3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2035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4"/>
      <c r="BA1439" s="320"/>
      <c r="BB1439" s="320"/>
      <c r="BC1439" s="320"/>
      <c r="BD1439" s="119"/>
      <c r="BF1439">
        <f>ROWS($U$46:U1439)</f>
        <v>1394</v>
      </c>
      <c r="BG1439" t="str">
        <f t="shared" si="227"/>
        <v/>
      </c>
    </row>
    <row r="1440" spans="15:59" x14ac:dyDescent="0.3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2035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str">
        <f t="shared" si="227"/>
        <v/>
      </c>
    </row>
    <row r="1441" spans="15:59" x14ac:dyDescent="0.3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2035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str">
        <f t="shared" si="227"/>
        <v/>
      </c>
    </row>
    <row r="1442" spans="15:59" x14ac:dyDescent="0.3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2035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str">
        <f t="shared" si="227"/>
        <v/>
      </c>
    </row>
    <row r="1443" spans="15:59" x14ac:dyDescent="0.3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2035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str">
        <f t="shared" si="227"/>
        <v/>
      </c>
    </row>
    <row r="1444" spans="15:59" ht="15" thickBot="1" x14ac:dyDescent="0.4">
      <c r="O1444" s="331"/>
      <c r="P1444" s="328"/>
      <c r="Q1444" s="328"/>
      <c r="R1444" s="328"/>
      <c r="S1444" s="328" t="s">
        <v>1130</v>
      </c>
      <c r="T1444" s="328" t="s">
        <v>2035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str">
        <f t="shared" si="227"/>
        <v/>
      </c>
    </row>
    <row r="1445" spans="15:59" x14ac:dyDescent="0.35">
      <c r="O1445" s="329">
        <v>1</v>
      </c>
      <c r="P1445" s="320">
        <v>1130198</v>
      </c>
      <c r="Q1445" s="320">
        <v>92</v>
      </c>
      <c r="R1445" s="320"/>
      <c r="S1445" s="971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str">
        <f t="shared" si="227"/>
        <v/>
      </c>
    </row>
    <row r="1446" spans="15:59" x14ac:dyDescent="0.35">
      <c r="O1446" s="330">
        <v>2</v>
      </c>
      <c r="P1446" s="36">
        <v>647436</v>
      </c>
      <c r="Q1446" s="36">
        <v>64</v>
      </c>
      <c r="R1446" s="36"/>
      <c r="S1446" s="972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str">
        <f t="shared" si="227"/>
        <v/>
      </c>
    </row>
    <row r="1447" spans="15:59" x14ac:dyDescent="0.35">
      <c r="O1447" s="330">
        <v>3</v>
      </c>
      <c r="P1447" s="36">
        <v>647435</v>
      </c>
      <c r="Q1447" s="36">
        <v>16</v>
      </c>
      <c r="R1447" s="36"/>
      <c r="S1447" s="972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str">
        <f t="shared" si="227"/>
        <v/>
      </c>
    </row>
    <row r="1448" spans="15:59" x14ac:dyDescent="0.35">
      <c r="O1448" s="330">
        <v>4</v>
      </c>
      <c r="P1448" s="36">
        <v>418525</v>
      </c>
      <c r="Q1448" s="36">
        <v>8</v>
      </c>
      <c r="R1448" s="36"/>
      <c r="S1448" s="972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str">
        <f t="shared" si="227"/>
        <v/>
      </c>
    </row>
    <row r="1449" spans="15:59" x14ac:dyDescent="0.35">
      <c r="O1449" s="330"/>
      <c r="P1449" s="36"/>
      <c r="Q1449" s="36"/>
      <c r="R1449" s="36"/>
      <c r="S1449" s="972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str">
        <f t="shared" si="227"/>
        <v/>
      </c>
    </row>
    <row r="1450" spans="15:59" x14ac:dyDescent="0.35">
      <c r="O1450" s="330"/>
      <c r="P1450" s="36"/>
      <c r="Q1450" s="36"/>
      <c r="R1450" s="36"/>
      <c r="S1450" s="972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str">
        <f t="shared" si="227"/>
        <v/>
      </c>
    </row>
    <row r="1451" spans="15:59" x14ac:dyDescent="0.35">
      <c r="O1451" s="330"/>
      <c r="P1451" s="36"/>
      <c r="Q1451" s="36"/>
      <c r="R1451" s="36"/>
      <c r="S1451" s="972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str">
        <f t="shared" si="227"/>
        <v/>
      </c>
    </row>
    <row r="1452" spans="15:59" ht="15" thickBot="1" x14ac:dyDescent="0.4">
      <c r="O1452" s="331"/>
      <c r="P1452" s="328"/>
      <c r="Q1452" s="328"/>
      <c r="R1452" s="328"/>
      <c r="S1452" s="973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str">
        <f t="shared" si="227"/>
        <v/>
      </c>
    </row>
    <row r="1453" spans="15:59" x14ac:dyDescent="0.35">
      <c r="O1453" s="329">
        <v>1</v>
      </c>
      <c r="P1453" s="320">
        <v>1165840</v>
      </c>
      <c r="Q1453" s="320">
        <v>57</v>
      </c>
      <c r="R1453" s="320"/>
      <c r="S1453" s="971" t="s">
        <v>1482</v>
      </c>
      <c r="T1453" s="320" t="s">
        <v>2039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str">
        <f t="shared" si="227"/>
        <v/>
      </c>
    </row>
    <row r="1454" spans="15:59" x14ac:dyDescent="0.35">
      <c r="O1454" s="330">
        <v>2</v>
      </c>
      <c r="P1454" s="36">
        <v>1118417</v>
      </c>
      <c r="Q1454" s="36">
        <v>42</v>
      </c>
      <c r="R1454" s="36"/>
      <c r="S1454" s="972" t="s">
        <v>1482</v>
      </c>
      <c r="T1454" s="36" t="s">
        <v>2039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str">
        <f t="shared" si="227"/>
        <v/>
      </c>
    </row>
    <row r="1455" spans="15:59" x14ac:dyDescent="0.35">
      <c r="O1455" s="330">
        <v>3</v>
      </c>
      <c r="P1455" s="36">
        <v>1142633</v>
      </c>
      <c r="Q1455" s="36">
        <v>32</v>
      </c>
      <c r="R1455" s="36"/>
      <c r="S1455" s="972" t="s">
        <v>1482</v>
      </c>
      <c r="T1455" s="36" t="s">
        <v>2039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str">
        <f t="shared" ref="BG1455:BG1518" si="228">IF(VALUE(SUBSTITUTE($B$5,"M",""))=U1455,BF1455,"")</f>
        <v/>
      </c>
    </row>
    <row r="1456" spans="15:59" x14ac:dyDescent="0.35">
      <c r="O1456" s="330">
        <v>4</v>
      </c>
      <c r="P1456" s="36">
        <v>1086351</v>
      </c>
      <c r="Q1456" s="36">
        <v>19</v>
      </c>
      <c r="R1456" s="36"/>
      <c r="S1456" s="972" t="s">
        <v>1482</v>
      </c>
      <c r="T1456" s="36" t="s">
        <v>2039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str">
        <f t="shared" si="228"/>
        <v/>
      </c>
    </row>
    <row r="1457" spans="14:59" x14ac:dyDescent="0.35">
      <c r="O1457" s="330">
        <v>5</v>
      </c>
      <c r="P1457" s="36">
        <v>179734</v>
      </c>
      <c r="Q1457" s="36">
        <v>16</v>
      </c>
      <c r="R1457" s="36"/>
      <c r="S1457" s="972" t="s">
        <v>1482</v>
      </c>
      <c r="T1457" s="36" t="s">
        <v>2039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str">
        <f t="shared" si="228"/>
        <v/>
      </c>
    </row>
    <row r="1458" spans="14:59" x14ac:dyDescent="0.35">
      <c r="O1458" s="330">
        <v>6</v>
      </c>
      <c r="P1458" s="36">
        <v>1133896</v>
      </c>
      <c r="Q1458" s="36">
        <v>16</v>
      </c>
      <c r="R1458" s="36"/>
      <c r="S1458" s="972" t="s">
        <v>1482</v>
      </c>
      <c r="T1458" s="36" t="s">
        <v>2039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str">
        <f t="shared" si="228"/>
        <v/>
      </c>
    </row>
    <row r="1459" spans="14:59" x14ac:dyDescent="0.35">
      <c r="O1459" s="330">
        <v>7</v>
      </c>
      <c r="P1459" s="36">
        <v>418525</v>
      </c>
      <c r="Q1459" s="36">
        <v>8</v>
      </c>
      <c r="R1459" s="36"/>
      <c r="S1459" s="972" t="s">
        <v>1482</v>
      </c>
      <c r="T1459" s="36" t="s">
        <v>2039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str">
        <f t="shared" si="228"/>
        <v/>
      </c>
    </row>
    <row r="1460" spans="14:59" x14ac:dyDescent="0.35">
      <c r="O1460" s="330">
        <v>8</v>
      </c>
      <c r="P1460" s="36">
        <v>1141584</v>
      </c>
      <c r="Q1460" s="36">
        <v>8</v>
      </c>
      <c r="R1460" s="36"/>
      <c r="S1460" s="972" t="s">
        <v>1482</v>
      </c>
      <c r="T1460" s="36" t="s">
        <v>2039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str">
        <f t="shared" si="228"/>
        <v/>
      </c>
    </row>
    <row r="1461" spans="14:59" x14ac:dyDescent="0.35">
      <c r="O1461" s="330">
        <v>9</v>
      </c>
      <c r="P1461" s="36">
        <v>1050854</v>
      </c>
      <c r="Q1461" s="36">
        <v>3</v>
      </c>
      <c r="R1461" s="36"/>
      <c r="S1461" s="972" t="s">
        <v>1482</v>
      </c>
      <c r="T1461" s="36" t="s">
        <v>2039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str">
        <f t="shared" si="228"/>
        <v/>
      </c>
    </row>
    <row r="1462" spans="14:59" ht="15" thickBot="1" x14ac:dyDescent="0.4">
      <c r="O1462" s="331">
        <v>10</v>
      </c>
      <c r="P1462" s="328">
        <v>1161228</v>
      </c>
      <c r="Q1462" s="328">
        <v>3</v>
      </c>
      <c r="R1462" s="328"/>
      <c r="S1462" s="973" t="s">
        <v>1482</v>
      </c>
      <c r="T1462" s="328" t="s">
        <v>2039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str">
        <f t="shared" si="228"/>
        <v/>
      </c>
    </row>
    <row r="1463" spans="14:59" x14ac:dyDescent="0.35">
      <c r="O1463" s="329">
        <v>1</v>
      </c>
      <c r="P1463" s="320">
        <v>1133896</v>
      </c>
      <c r="Q1463" s="320">
        <v>46</v>
      </c>
      <c r="R1463" s="320"/>
      <c r="S1463" s="968" t="s">
        <v>1126</v>
      </c>
      <c r="T1463" s="320" t="s">
        <v>2051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str">
        <f t="shared" si="228"/>
        <v/>
      </c>
    </row>
    <row r="1464" spans="14:59" x14ac:dyDescent="0.35">
      <c r="O1464" s="330">
        <v>2</v>
      </c>
      <c r="P1464" s="36">
        <v>1141583</v>
      </c>
      <c r="Q1464" s="36">
        <v>23</v>
      </c>
      <c r="R1464" s="36"/>
      <c r="S1464" s="969" t="s">
        <v>1126</v>
      </c>
      <c r="T1464" s="36" t="s">
        <v>2051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str">
        <f t="shared" si="228"/>
        <v/>
      </c>
    </row>
    <row r="1465" spans="14:59" x14ac:dyDescent="0.35">
      <c r="O1465" s="330">
        <v>3</v>
      </c>
      <c r="P1465" s="36">
        <v>410851</v>
      </c>
      <c r="Q1465" s="36">
        <v>21</v>
      </c>
      <c r="R1465" s="36"/>
      <c r="S1465" s="969" t="s">
        <v>1126</v>
      </c>
      <c r="T1465" s="36" t="s">
        <v>2051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str">
        <f t="shared" si="228"/>
        <v/>
      </c>
    </row>
    <row r="1466" spans="14:59" x14ac:dyDescent="0.35">
      <c r="O1466" s="330">
        <v>4</v>
      </c>
      <c r="P1466" s="36">
        <v>1142633</v>
      </c>
      <c r="Q1466" s="36">
        <v>20</v>
      </c>
      <c r="R1466" s="36"/>
      <c r="S1466" s="969" t="s">
        <v>1126</v>
      </c>
      <c r="T1466" s="36" t="s">
        <v>2051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str">
        <f t="shared" si="228"/>
        <v/>
      </c>
    </row>
    <row r="1467" spans="14:59" x14ac:dyDescent="0.35">
      <c r="O1467" s="330">
        <v>5</v>
      </c>
      <c r="P1467" s="36">
        <v>179733</v>
      </c>
      <c r="Q1467" s="36">
        <v>18</v>
      </c>
      <c r="R1467" s="36"/>
      <c r="S1467" s="969" t="s">
        <v>1126</v>
      </c>
      <c r="T1467" s="36" t="s">
        <v>2051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str">
        <f t="shared" si="228"/>
        <v/>
      </c>
    </row>
    <row r="1468" spans="14:59" x14ac:dyDescent="0.35">
      <c r="O1468" s="330">
        <v>6</v>
      </c>
      <c r="P1468" s="36">
        <v>1209410</v>
      </c>
      <c r="Q1468" s="36">
        <v>16</v>
      </c>
      <c r="R1468" s="36"/>
      <c r="S1468" s="969" t="s">
        <v>1126</v>
      </c>
      <c r="T1468" s="36" t="s">
        <v>2051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str">
        <f t="shared" si="228"/>
        <v/>
      </c>
    </row>
    <row r="1469" spans="14:59" ht="15" thickBot="1" x14ac:dyDescent="0.4">
      <c r="O1469" s="331">
        <v>7</v>
      </c>
      <c r="P1469" s="328">
        <v>418525</v>
      </c>
      <c r="Q1469" s="328">
        <v>7</v>
      </c>
      <c r="R1469" s="328"/>
      <c r="S1469" s="975" t="s">
        <v>1126</v>
      </c>
      <c r="T1469" s="328" t="s">
        <v>2051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str">
        <f t="shared" si="228"/>
        <v/>
      </c>
    </row>
    <row r="1470" spans="14:59" x14ac:dyDescent="0.3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str">
        <f t="shared" si="228"/>
        <v/>
      </c>
    </row>
    <row r="1471" spans="14:59" x14ac:dyDescent="0.35">
      <c r="N1471">
        <f t="shared" ref="N1471:N1477" si="229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str">
        <f t="shared" si="228"/>
        <v/>
      </c>
    </row>
    <row r="1472" spans="14:59" x14ac:dyDescent="0.35">
      <c r="N1472">
        <f t="shared" si="229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str">
        <f t="shared" si="228"/>
        <v/>
      </c>
    </row>
    <row r="1473" spans="14:59" x14ac:dyDescent="0.35">
      <c r="N1473">
        <f t="shared" si="229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str">
        <f t="shared" si="228"/>
        <v/>
      </c>
    </row>
    <row r="1474" spans="14:59" x14ac:dyDescent="0.35">
      <c r="N1474">
        <f t="shared" si="229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str">
        <f t="shared" si="228"/>
        <v/>
      </c>
    </row>
    <row r="1475" spans="14:59" x14ac:dyDescent="0.35">
      <c r="N1475">
        <f t="shared" si="229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str">
        <f t="shared" si="228"/>
        <v/>
      </c>
    </row>
    <row r="1476" spans="14:59" x14ac:dyDescent="0.35">
      <c r="N1476">
        <f t="shared" si="229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str">
        <f t="shared" si="228"/>
        <v/>
      </c>
    </row>
    <row r="1477" spans="14:59" ht="15" thickBot="1" x14ac:dyDescent="0.4">
      <c r="N1477">
        <f t="shared" si="229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str">
        <f t="shared" si="228"/>
        <v/>
      </c>
    </row>
    <row r="1478" spans="14:59" x14ac:dyDescent="0.35">
      <c r="O1478" s="1015">
        <v>1</v>
      </c>
      <c r="P1478" s="38">
        <v>717748</v>
      </c>
      <c r="Q1478" s="38">
        <v>19</v>
      </c>
      <c r="R1478" s="38"/>
      <c r="S1478" s="1017" t="s">
        <v>2058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str">
        <f t="shared" si="228"/>
        <v/>
      </c>
    </row>
    <row r="1479" spans="14:59" x14ac:dyDescent="0.35">
      <c r="O1479" s="330"/>
      <c r="P1479" s="36"/>
      <c r="Q1479" s="36"/>
      <c r="R1479" s="36"/>
      <c r="S1479" s="972" t="s">
        <v>2058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str">
        <f t="shared" si="228"/>
        <v/>
      </c>
    </row>
    <row r="1480" spans="14:59" x14ac:dyDescent="0.35">
      <c r="O1480" s="3"/>
      <c r="P1480" s="36"/>
      <c r="Q1480" s="36"/>
      <c r="R1480" s="36"/>
      <c r="S1480" s="972" t="s">
        <v>2058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str">
        <f t="shared" si="228"/>
        <v/>
      </c>
    </row>
    <row r="1481" spans="14:59" x14ac:dyDescent="0.35">
      <c r="O1481" s="3"/>
      <c r="P1481" s="36"/>
      <c r="Q1481" s="36"/>
      <c r="R1481" s="36"/>
      <c r="S1481" s="972" t="s">
        <v>2058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str">
        <f t="shared" si="228"/>
        <v/>
      </c>
    </row>
    <row r="1482" spans="14:59" ht="15" thickBot="1" x14ac:dyDescent="0.4">
      <c r="O1482" s="3"/>
      <c r="P1482" s="36"/>
      <c r="Q1482" s="36"/>
      <c r="R1482" s="36"/>
      <c r="S1482" s="972" t="s">
        <v>2058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str">
        <f t="shared" si="228"/>
        <v/>
      </c>
    </row>
    <row r="1483" spans="14:59" x14ac:dyDescent="0.3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2059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str">
        <f t="shared" si="228"/>
        <v/>
      </c>
    </row>
    <row r="1484" spans="14:59" x14ac:dyDescent="0.3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2059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str">
        <f t="shared" si="228"/>
        <v/>
      </c>
    </row>
    <row r="1485" spans="14:59" x14ac:dyDescent="0.35">
      <c r="O1485" s="3"/>
      <c r="P1485" s="36"/>
      <c r="Q1485" s="36"/>
      <c r="R1485" s="36"/>
      <c r="S1485" s="36" t="s">
        <v>1319</v>
      </c>
      <c r="T1485" s="36" t="s">
        <v>2059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str">
        <f t="shared" si="228"/>
        <v/>
      </c>
    </row>
    <row r="1486" spans="14:59" x14ac:dyDescent="0.35">
      <c r="O1486" s="3"/>
      <c r="P1486" s="36"/>
      <c r="Q1486" s="36"/>
      <c r="R1486" s="36"/>
      <c r="S1486" s="36" t="s">
        <v>1319</v>
      </c>
      <c r="T1486" s="36" t="s">
        <v>2059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str">
        <f t="shared" si="228"/>
        <v/>
      </c>
    </row>
    <row r="1487" spans="14:59" ht="15" thickBot="1" x14ac:dyDescent="0.4">
      <c r="O1487" s="3"/>
      <c r="P1487" s="36"/>
      <c r="Q1487" s="36"/>
      <c r="R1487" s="36"/>
      <c r="S1487" s="36" t="s">
        <v>1319</v>
      </c>
      <c r="T1487" s="36" t="s">
        <v>2059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str">
        <f t="shared" si="228"/>
        <v/>
      </c>
    </row>
    <row r="1488" spans="14:59" x14ac:dyDescent="0.3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2064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4"/>
      <c r="BA1488" s="320"/>
      <c r="BB1488" s="320"/>
      <c r="BC1488" s="320"/>
      <c r="BD1488" s="119"/>
      <c r="BF1488">
        <f>ROWS($U$46:U1488)</f>
        <v>1443</v>
      </c>
      <c r="BG1488" t="str">
        <f t="shared" si="228"/>
        <v/>
      </c>
    </row>
    <row r="1489" spans="15:59" x14ac:dyDescent="0.3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2064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str">
        <f t="shared" si="228"/>
        <v/>
      </c>
    </row>
    <row r="1490" spans="15:59" x14ac:dyDescent="0.3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2064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str">
        <f t="shared" si="228"/>
        <v/>
      </c>
    </row>
    <row r="1491" spans="15:59" x14ac:dyDescent="0.3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2064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str">
        <f t="shared" si="228"/>
        <v/>
      </c>
    </row>
    <row r="1492" spans="15:59" x14ac:dyDescent="0.3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2064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str">
        <f t="shared" si="228"/>
        <v/>
      </c>
    </row>
    <row r="1493" spans="15:59" ht="15" thickBot="1" x14ac:dyDescent="0.4">
      <c r="O1493" s="331"/>
      <c r="P1493" s="328"/>
      <c r="Q1493" s="328"/>
      <c r="R1493" s="328"/>
      <c r="S1493" s="328" t="s">
        <v>1319</v>
      </c>
      <c r="T1493" s="328" t="s">
        <v>2064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str">
        <f t="shared" si="228"/>
        <v/>
      </c>
    </row>
    <row r="1494" spans="15:59" x14ac:dyDescent="0.3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2069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4"/>
      <c r="BA1494" s="320"/>
      <c r="BB1494" s="320"/>
      <c r="BC1494" s="320"/>
      <c r="BD1494" s="119"/>
      <c r="BF1494">
        <f>ROWS($U$46:U1494)</f>
        <v>1449</v>
      </c>
      <c r="BG1494" t="str">
        <f t="shared" si="228"/>
        <v/>
      </c>
    </row>
    <row r="1495" spans="15:59" x14ac:dyDescent="0.3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2069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str">
        <f t="shared" si="228"/>
        <v/>
      </c>
    </row>
    <row r="1496" spans="15:59" x14ac:dyDescent="0.3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2069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str">
        <f t="shared" si="228"/>
        <v/>
      </c>
    </row>
    <row r="1497" spans="15:59" x14ac:dyDescent="0.3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2069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str">
        <f t="shared" si="228"/>
        <v/>
      </c>
    </row>
    <row r="1498" spans="15:59" x14ac:dyDescent="0.3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2069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str">
        <f t="shared" si="228"/>
        <v/>
      </c>
    </row>
    <row r="1499" spans="15:59" ht="15" thickBot="1" x14ac:dyDescent="0.4">
      <c r="O1499" s="331"/>
      <c r="P1499" s="328"/>
      <c r="Q1499" s="328"/>
      <c r="R1499" s="328"/>
      <c r="S1499" s="328" t="s">
        <v>1319</v>
      </c>
      <c r="T1499" s="328" t="s">
        <v>2069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str">
        <f t="shared" si="228"/>
        <v/>
      </c>
    </row>
    <row r="1500" spans="15:59" x14ac:dyDescent="0.3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2073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str">
        <f t="shared" si="228"/>
        <v/>
      </c>
    </row>
    <row r="1501" spans="15:59" x14ac:dyDescent="0.3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2073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str">
        <f t="shared" si="228"/>
        <v/>
      </c>
    </row>
    <row r="1502" spans="15:59" x14ac:dyDescent="0.3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2073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str">
        <f t="shared" si="228"/>
        <v/>
      </c>
    </row>
    <row r="1503" spans="15:59" x14ac:dyDescent="0.35">
      <c r="O1503" s="3"/>
      <c r="P1503" s="36"/>
      <c r="Q1503" s="36"/>
      <c r="R1503" s="36"/>
      <c r="S1503" s="36" t="s">
        <v>1421</v>
      </c>
      <c r="T1503" s="36" t="s">
        <v>2073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str">
        <f t="shared" si="228"/>
        <v/>
      </c>
    </row>
    <row r="1504" spans="15:59" ht="15" thickBot="1" x14ac:dyDescent="0.4">
      <c r="O1504" s="3"/>
      <c r="P1504" s="36"/>
      <c r="Q1504" s="36"/>
      <c r="R1504" s="36"/>
      <c r="S1504" s="36" t="s">
        <v>1421</v>
      </c>
      <c r="T1504" s="36" t="s">
        <v>2073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str">
        <f t="shared" si="228"/>
        <v/>
      </c>
    </row>
    <row r="1505" spans="15:59" x14ac:dyDescent="0.35">
      <c r="O1505" s="329">
        <v>1</v>
      </c>
      <c r="P1505" s="320">
        <v>1130217</v>
      </c>
      <c r="Q1505" s="320">
        <v>37</v>
      </c>
      <c r="R1505" s="320"/>
      <c r="S1505" s="320" t="s">
        <v>2075</v>
      </c>
      <c r="T1505" s="320" t="s">
        <v>2076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str">
        <f t="shared" si="228"/>
        <v/>
      </c>
    </row>
    <row r="1506" spans="15:59" x14ac:dyDescent="0.35">
      <c r="O1506" s="330">
        <v>2</v>
      </c>
      <c r="P1506" s="36">
        <v>773383</v>
      </c>
      <c r="Q1506" s="36">
        <v>14</v>
      </c>
      <c r="R1506" s="36"/>
      <c r="S1506" s="36" t="s">
        <v>2075</v>
      </c>
      <c r="T1506" s="36" t="s">
        <v>2076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str">
        <f t="shared" si="228"/>
        <v/>
      </c>
    </row>
    <row r="1507" spans="15:59" x14ac:dyDescent="0.35">
      <c r="O1507" s="3">
        <v>3</v>
      </c>
      <c r="P1507" s="36">
        <v>418525</v>
      </c>
      <c r="Q1507" s="36">
        <v>7</v>
      </c>
      <c r="R1507" s="36"/>
      <c r="S1507" s="36" t="s">
        <v>2075</v>
      </c>
      <c r="T1507" s="36" t="s">
        <v>2076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str">
        <f t="shared" si="228"/>
        <v/>
      </c>
    </row>
    <row r="1508" spans="15:59" x14ac:dyDescent="0.35">
      <c r="O1508" s="3">
        <v>4</v>
      </c>
      <c r="P1508" s="36">
        <v>1101509</v>
      </c>
      <c r="Q1508" s="36">
        <v>7</v>
      </c>
      <c r="R1508" s="36"/>
      <c r="S1508" s="36" t="s">
        <v>2075</v>
      </c>
      <c r="T1508" s="36" t="s">
        <v>2076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str">
        <f t="shared" si="228"/>
        <v/>
      </c>
    </row>
    <row r="1509" spans="15:59" x14ac:dyDescent="0.35">
      <c r="O1509" s="3"/>
      <c r="P1509" s="36"/>
      <c r="Q1509" s="36"/>
      <c r="R1509" s="36"/>
      <c r="S1509" s="36" t="s">
        <v>2075</v>
      </c>
      <c r="T1509" s="36" t="s">
        <v>2076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str">
        <f t="shared" si="228"/>
        <v/>
      </c>
    </row>
    <row r="1510" spans="15:59" x14ac:dyDescent="0.35">
      <c r="O1510" s="3"/>
      <c r="P1510" s="36"/>
      <c r="Q1510" s="36"/>
      <c r="R1510" s="36"/>
      <c r="S1510" s="36" t="s">
        <v>2075</v>
      </c>
      <c r="T1510" s="36" t="s">
        <v>2076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str">
        <f t="shared" si="228"/>
        <v/>
      </c>
    </row>
    <row r="1511" spans="15:59" ht="15" thickBot="1" x14ac:dyDescent="0.4">
      <c r="O1511" s="76"/>
      <c r="P1511" s="328"/>
      <c r="Q1511" s="328"/>
      <c r="R1511" s="328"/>
      <c r="S1511" s="328" t="s">
        <v>2075</v>
      </c>
      <c r="T1511" s="328" t="s">
        <v>2076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str">
        <f t="shared" si="228"/>
        <v/>
      </c>
    </row>
    <row r="1512" spans="15:59" x14ac:dyDescent="0.3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2078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str">
        <f t="shared" si="228"/>
        <v/>
      </c>
    </row>
    <row r="1513" spans="15:59" x14ac:dyDescent="0.3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2078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str">
        <f t="shared" si="228"/>
        <v/>
      </c>
    </row>
    <row r="1514" spans="15:59" x14ac:dyDescent="0.3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2078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str">
        <f t="shared" si="228"/>
        <v/>
      </c>
    </row>
    <row r="1515" spans="15:59" x14ac:dyDescent="0.3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2078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str">
        <f t="shared" si="228"/>
        <v/>
      </c>
    </row>
    <row r="1516" spans="15:59" x14ac:dyDescent="0.35">
      <c r="O1516" s="3"/>
      <c r="P1516" s="36"/>
      <c r="Q1516" s="36"/>
      <c r="R1516" s="36"/>
      <c r="S1516" s="36" t="s">
        <v>872</v>
      </c>
      <c r="T1516" s="36" t="s">
        <v>2078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str">
        <f t="shared" si="228"/>
        <v/>
      </c>
    </row>
    <row r="1517" spans="15:59" x14ac:dyDescent="0.35">
      <c r="O1517" s="3"/>
      <c r="P1517" s="36"/>
      <c r="Q1517" s="36"/>
      <c r="R1517" s="36"/>
      <c r="S1517" s="36" t="s">
        <v>872</v>
      </c>
      <c r="T1517" s="36" t="s">
        <v>2078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str">
        <f t="shared" si="228"/>
        <v/>
      </c>
    </row>
    <row r="1518" spans="15:59" ht="15" thickBot="1" x14ac:dyDescent="0.4">
      <c r="O1518" s="76"/>
      <c r="P1518" s="328"/>
      <c r="Q1518" s="328"/>
      <c r="R1518" s="328"/>
      <c r="S1518" s="328" t="s">
        <v>872</v>
      </c>
      <c r="T1518" s="328" t="s">
        <v>2078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str">
        <f t="shared" si="228"/>
        <v/>
      </c>
    </row>
    <row r="1519" spans="15:59" x14ac:dyDescent="0.3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4"/>
      <c r="BA1519" s="320"/>
      <c r="BB1519" s="320"/>
      <c r="BC1519" s="320"/>
      <c r="BD1519" s="119"/>
      <c r="BF1519">
        <f>ROWS($U$46:U1519)</f>
        <v>1474</v>
      </c>
      <c r="BG1519" t="str">
        <f t="shared" ref="BG1519:BG1582" si="230">IF(VALUE(SUBSTITUTE($B$5,"M",""))=U1519,BF1519,"")</f>
        <v/>
      </c>
    </row>
    <row r="1520" spans="15:59" x14ac:dyDescent="0.3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str">
        <f t="shared" si="230"/>
        <v/>
      </c>
    </row>
    <row r="1521" spans="15:59" x14ac:dyDescent="0.3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str">
        <f t="shared" si="230"/>
        <v/>
      </c>
    </row>
    <row r="1522" spans="15:59" x14ac:dyDescent="0.3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str">
        <f t="shared" si="230"/>
        <v/>
      </c>
    </row>
    <row r="1523" spans="15:59" x14ac:dyDescent="0.3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str">
        <f t="shared" si="230"/>
        <v/>
      </c>
    </row>
    <row r="1524" spans="15:59" ht="15" thickBot="1" x14ac:dyDescent="0.4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str">
        <f t="shared" si="230"/>
        <v/>
      </c>
    </row>
    <row r="1525" spans="15:59" x14ac:dyDescent="0.3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2083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4"/>
      <c r="BA1525" s="320"/>
      <c r="BB1525" s="320"/>
      <c r="BC1525" s="320"/>
      <c r="BD1525" s="119"/>
      <c r="BF1525">
        <f>ROWS($U$46:U1525)</f>
        <v>1480</v>
      </c>
      <c r="BG1525" t="str">
        <f t="shared" si="230"/>
        <v/>
      </c>
    </row>
    <row r="1526" spans="15:59" x14ac:dyDescent="0.3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2083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str">
        <f t="shared" si="230"/>
        <v/>
      </c>
    </row>
    <row r="1527" spans="15:59" x14ac:dyDescent="0.3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2083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str">
        <f t="shared" si="230"/>
        <v/>
      </c>
    </row>
    <row r="1528" spans="15:59" x14ac:dyDescent="0.3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2083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str">
        <f t="shared" si="230"/>
        <v/>
      </c>
    </row>
    <row r="1529" spans="15:59" x14ac:dyDescent="0.35">
      <c r="O1529" s="330"/>
      <c r="P1529" s="36"/>
      <c r="Q1529" s="36"/>
      <c r="R1529" s="36"/>
      <c r="S1529" s="36" t="s">
        <v>1390</v>
      </c>
      <c r="T1529" s="36" t="s">
        <v>2083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str">
        <f t="shared" si="230"/>
        <v/>
      </c>
    </row>
    <row r="1530" spans="15:59" ht="15" thickBot="1" x14ac:dyDescent="0.4">
      <c r="O1530" s="331"/>
      <c r="P1530" s="328"/>
      <c r="Q1530" s="328"/>
      <c r="R1530" s="328"/>
      <c r="S1530" s="328" t="s">
        <v>1390</v>
      </c>
      <c r="T1530" s="328" t="s">
        <v>2083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str">
        <f t="shared" si="230"/>
        <v/>
      </c>
    </row>
    <row r="1531" spans="15:59" x14ac:dyDescent="0.3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str">
        <f t="shared" si="230"/>
        <v/>
      </c>
    </row>
    <row r="1532" spans="15:59" x14ac:dyDescent="0.3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str">
        <f t="shared" si="230"/>
        <v/>
      </c>
    </row>
    <row r="1533" spans="15:59" x14ac:dyDescent="0.3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str">
        <f t="shared" si="230"/>
        <v/>
      </c>
    </row>
    <row r="1534" spans="15:59" x14ac:dyDescent="0.3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str">
        <f t="shared" si="230"/>
        <v/>
      </c>
    </row>
    <row r="1535" spans="15:59" x14ac:dyDescent="0.3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str">
        <f t="shared" si="230"/>
        <v/>
      </c>
    </row>
    <row r="1536" spans="15:59" x14ac:dyDescent="0.3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str">
        <f t="shared" si="230"/>
        <v/>
      </c>
    </row>
    <row r="1537" spans="15:59" ht="15" thickBot="1" x14ac:dyDescent="0.4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str">
        <f t="shared" si="230"/>
        <v/>
      </c>
    </row>
    <row r="1538" spans="15:59" x14ac:dyDescent="0.3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2092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str">
        <f t="shared" si="230"/>
        <v/>
      </c>
    </row>
    <row r="1539" spans="15:59" x14ac:dyDescent="0.3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2092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str">
        <f t="shared" si="230"/>
        <v/>
      </c>
    </row>
    <row r="1540" spans="15:59" x14ac:dyDescent="0.3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2092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str">
        <f t="shared" si="230"/>
        <v/>
      </c>
    </row>
    <row r="1541" spans="15:59" x14ac:dyDescent="0.35">
      <c r="O1541" s="3"/>
      <c r="P1541" s="36"/>
      <c r="Q1541" s="36"/>
      <c r="R1541" s="36"/>
      <c r="S1541" s="36" t="s">
        <v>1319</v>
      </c>
      <c r="T1541" s="36" t="s">
        <v>2092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str">
        <f t="shared" si="230"/>
        <v/>
      </c>
    </row>
    <row r="1542" spans="15:59" ht="15" thickBot="1" x14ac:dyDescent="0.4">
      <c r="O1542" s="3"/>
      <c r="P1542" s="36"/>
      <c r="Q1542" s="36"/>
      <c r="R1542" s="36"/>
      <c r="S1542" s="36" t="s">
        <v>1319</v>
      </c>
      <c r="T1542" s="36" t="s">
        <v>2092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str">
        <f t="shared" si="230"/>
        <v/>
      </c>
    </row>
    <row r="1543" spans="15:59" x14ac:dyDescent="0.3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str">
        <f t="shared" si="230"/>
        <v/>
      </c>
    </row>
    <row r="1544" spans="15:59" x14ac:dyDescent="0.3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str">
        <f t="shared" si="230"/>
        <v/>
      </c>
    </row>
    <row r="1545" spans="15:59" x14ac:dyDescent="0.3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str">
        <f t="shared" si="230"/>
        <v/>
      </c>
    </row>
    <row r="1546" spans="15:59" x14ac:dyDescent="0.3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str">
        <f t="shared" si="230"/>
        <v/>
      </c>
    </row>
    <row r="1547" spans="15:59" ht="15" thickBot="1" x14ac:dyDescent="0.4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str">
        <f t="shared" si="230"/>
        <v/>
      </c>
    </row>
    <row r="1548" spans="15:59" x14ac:dyDescent="0.3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2095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4"/>
      <c r="BA1548" s="320"/>
      <c r="BB1548" s="320"/>
      <c r="BC1548" s="320"/>
      <c r="BD1548" s="119"/>
      <c r="BF1548">
        <f>ROWS($U$46:U1548)</f>
        <v>1503</v>
      </c>
      <c r="BG1548" t="str">
        <f t="shared" si="230"/>
        <v/>
      </c>
    </row>
    <row r="1549" spans="15:59" x14ac:dyDescent="0.3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2095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str">
        <f t="shared" si="230"/>
        <v/>
      </c>
    </row>
    <row r="1550" spans="15:59" x14ac:dyDescent="0.3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2095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str">
        <f t="shared" si="230"/>
        <v/>
      </c>
    </row>
    <row r="1551" spans="15:59" x14ac:dyDescent="0.3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2095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str">
        <f t="shared" si="230"/>
        <v/>
      </c>
    </row>
    <row r="1552" spans="15:59" x14ac:dyDescent="0.35">
      <c r="O1552" s="330"/>
      <c r="P1552" s="36"/>
      <c r="Q1552" s="36"/>
      <c r="R1552" s="36"/>
      <c r="S1552" s="36" t="s">
        <v>1200</v>
      </c>
      <c r="T1552" s="36" t="s">
        <v>2095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str">
        <f t="shared" si="230"/>
        <v/>
      </c>
    </row>
    <row r="1553" spans="15:59" ht="15" thickBot="1" x14ac:dyDescent="0.4">
      <c r="O1553" s="331"/>
      <c r="P1553" s="328"/>
      <c r="Q1553" s="328"/>
      <c r="R1553" s="328"/>
      <c r="S1553" s="328" t="s">
        <v>1200</v>
      </c>
      <c r="T1553" s="328" t="s">
        <v>2095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str">
        <f t="shared" si="230"/>
        <v/>
      </c>
    </row>
    <row r="1554" spans="15:59" x14ac:dyDescent="0.3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2098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4"/>
      <c r="BA1554" s="320"/>
      <c r="BB1554" s="320"/>
      <c r="BC1554" s="320"/>
      <c r="BD1554" s="119"/>
      <c r="BF1554">
        <f>ROWS($U$46:U1554)</f>
        <v>1509</v>
      </c>
      <c r="BG1554" t="str">
        <f t="shared" si="230"/>
        <v/>
      </c>
    </row>
    <row r="1555" spans="15:59" x14ac:dyDescent="0.3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2098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 t="str">
        <f t="shared" si="230"/>
        <v/>
      </c>
    </row>
    <row r="1556" spans="15:59" x14ac:dyDescent="0.3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2098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 t="str">
        <f t="shared" si="230"/>
        <v/>
      </c>
    </row>
    <row r="1557" spans="15:59" x14ac:dyDescent="0.35">
      <c r="O1557" s="330"/>
      <c r="P1557" s="36"/>
      <c r="Q1557" s="36"/>
      <c r="R1557" s="36"/>
      <c r="S1557" s="36" t="s">
        <v>1209</v>
      </c>
      <c r="T1557" s="36" t="s">
        <v>2098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 t="str">
        <f t="shared" si="230"/>
        <v/>
      </c>
    </row>
    <row r="1558" spans="15:59" x14ac:dyDescent="0.35">
      <c r="O1558" s="330"/>
      <c r="P1558" s="36"/>
      <c r="Q1558" s="36"/>
      <c r="R1558" s="36"/>
      <c r="S1558" s="36" t="s">
        <v>1209</v>
      </c>
      <c r="T1558" s="36" t="s">
        <v>2098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 t="str">
        <f t="shared" si="230"/>
        <v/>
      </c>
    </row>
    <row r="1559" spans="15:59" ht="15" thickBot="1" x14ac:dyDescent="0.4">
      <c r="O1559" s="331"/>
      <c r="P1559" s="328"/>
      <c r="Q1559" s="328"/>
      <c r="R1559" s="328"/>
      <c r="S1559" s="328" t="s">
        <v>1209</v>
      </c>
      <c r="T1559" s="328" t="s">
        <v>2098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 t="str">
        <f t="shared" si="230"/>
        <v/>
      </c>
    </row>
    <row r="1560" spans="15:59" x14ac:dyDescent="0.3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2100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str">
        <f t="shared" si="230"/>
        <v/>
      </c>
    </row>
    <row r="1561" spans="15:59" x14ac:dyDescent="0.3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2100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str">
        <f t="shared" si="230"/>
        <v/>
      </c>
    </row>
    <row r="1562" spans="15:59" x14ac:dyDescent="0.3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2100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str">
        <f t="shared" si="230"/>
        <v/>
      </c>
    </row>
    <row r="1563" spans="15:59" x14ac:dyDescent="0.35">
      <c r="O1563" s="3"/>
      <c r="P1563" s="36"/>
      <c r="Q1563" s="36"/>
      <c r="R1563" s="36"/>
      <c r="S1563" s="36" t="s">
        <v>1319</v>
      </c>
      <c r="T1563" s="36" t="s">
        <v>2100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str">
        <f t="shared" si="230"/>
        <v/>
      </c>
    </row>
    <row r="1564" spans="15:59" ht="15" thickBot="1" x14ac:dyDescent="0.4">
      <c r="O1564" s="3"/>
      <c r="P1564" s="36"/>
      <c r="Q1564" s="36"/>
      <c r="R1564" s="36"/>
      <c r="S1564" s="36" t="s">
        <v>1319</v>
      </c>
      <c r="T1564" s="36" t="s">
        <v>2100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str">
        <f t="shared" si="230"/>
        <v/>
      </c>
    </row>
    <row r="1565" spans="15:59" x14ac:dyDescent="0.3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2102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4"/>
      <c r="BA1565" s="320"/>
      <c r="BB1565" s="320"/>
      <c r="BC1565" s="320"/>
      <c r="BD1565" s="119"/>
      <c r="BF1565">
        <f>ROWS($U$46:U1565)</f>
        <v>1520</v>
      </c>
      <c r="BG1565" t="str">
        <f t="shared" si="230"/>
        <v/>
      </c>
    </row>
    <row r="1566" spans="15:59" x14ac:dyDescent="0.3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2102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str">
        <f t="shared" si="230"/>
        <v/>
      </c>
    </row>
    <row r="1567" spans="15:59" x14ac:dyDescent="0.3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2102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str">
        <f t="shared" si="230"/>
        <v/>
      </c>
    </row>
    <row r="1568" spans="15:59" x14ac:dyDescent="0.3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2102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str">
        <f t="shared" si="230"/>
        <v/>
      </c>
    </row>
    <row r="1569" spans="14:59" x14ac:dyDescent="0.35">
      <c r="O1569" s="330"/>
      <c r="P1569" s="36"/>
      <c r="Q1569" s="36"/>
      <c r="R1569" s="36"/>
      <c r="S1569" s="36" t="s">
        <v>1200</v>
      </c>
      <c r="T1569" s="36" t="s">
        <v>2102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str">
        <f t="shared" si="230"/>
        <v/>
      </c>
    </row>
    <row r="1570" spans="14:59" ht="15" thickBot="1" x14ac:dyDescent="0.4">
      <c r="O1570" s="331"/>
      <c r="P1570" s="328"/>
      <c r="Q1570" s="328"/>
      <c r="R1570" s="328"/>
      <c r="S1570" s="328" t="s">
        <v>1200</v>
      </c>
      <c r="T1570" s="328" t="s">
        <v>2102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str">
        <f t="shared" si="230"/>
        <v/>
      </c>
    </row>
    <row r="1571" spans="14:59" x14ac:dyDescent="0.3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2028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 t="str">
        <f t="shared" si="230"/>
        <v/>
      </c>
    </row>
    <row r="1572" spans="14:59" x14ac:dyDescent="0.3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2028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 t="str">
        <f t="shared" si="230"/>
        <v/>
      </c>
    </row>
    <row r="1573" spans="14:59" x14ac:dyDescent="0.3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2028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 t="str">
        <f t="shared" si="230"/>
        <v/>
      </c>
    </row>
    <row r="1574" spans="14:59" x14ac:dyDescent="0.35">
      <c r="O1574" s="3"/>
      <c r="P1574" s="36"/>
      <c r="Q1574" s="36"/>
      <c r="R1574" s="36"/>
      <c r="S1574" s="36" t="s">
        <v>1319</v>
      </c>
      <c r="T1574" s="36" t="s">
        <v>2028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 t="str">
        <f t="shared" si="230"/>
        <v/>
      </c>
    </row>
    <row r="1575" spans="14:59" ht="15" thickBot="1" x14ac:dyDescent="0.4">
      <c r="O1575" s="76"/>
      <c r="P1575" s="328"/>
      <c r="Q1575" s="328"/>
      <c r="R1575" s="328"/>
      <c r="S1575" s="328" t="s">
        <v>1319</v>
      </c>
      <c r="T1575" s="328" t="s">
        <v>2028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 t="str">
        <f t="shared" si="230"/>
        <v/>
      </c>
    </row>
    <row r="1576" spans="14:59" x14ac:dyDescent="0.3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2109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str">
        <f t="shared" si="230"/>
        <v/>
      </c>
    </row>
    <row r="1577" spans="14:59" x14ac:dyDescent="0.35">
      <c r="N1577">
        <f t="shared" ref="N1577:N1582" si="231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2109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str">
        <f t="shared" si="230"/>
        <v/>
      </c>
    </row>
    <row r="1578" spans="14:59" x14ac:dyDescent="0.35">
      <c r="N1578">
        <f t="shared" si="231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2109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str">
        <f t="shared" si="230"/>
        <v/>
      </c>
    </row>
    <row r="1579" spans="14:59" x14ac:dyDescent="0.35">
      <c r="N1579">
        <f t="shared" si="231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2109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str">
        <f t="shared" si="230"/>
        <v/>
      </c>
    </row>
    <row r="1580" spans="14:59" x14ac:dyDescent="0.35">
      <c r="N1580">
        <f t="shared" si="231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2109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str">
        <f t="shared" si="230"/>
        <v/>
      </c>
    </row>
    <row r="1581" spans="14:59" x14ac:dyDescent="0.35">
      <c r="N1581">
        <f t="shared" si="231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2109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str">
        <f t="shared" si="230"/>
        <v/>
      </c>
    </row>
    <row r="1582" spans="14:59" ht="15" thickBot="1" x14ac:dyDescent="0.4">
      <c r="N1582">
        <f t="shared" si="231"/>
        <v>0</v>
      </c>
      <c r="O1582" s="76"/>
      <c r="P1582" s="328"/>
      <c r="Q1582" s="328"/>
      <c r="R1582" s="328"/>
      <c r="S1582" s="328">
        <v>16</v>
      </c>
      <c r="T1582" s="328" t="s">
        <v>2109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str">
        <f t="shared" si="230"/>
        <v/>
      </c>
    </row>
    <row r="1583" spans="14:59" x14ac:dyDescent="0.3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2102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4"/>
      <c r="BA1583" s="320"/>
      <c r="BB1583" s="320"/>
      <c r="BC1583" s="320"/>
      <c r="BD1583" s="119"/>
      <c r="BF1583">
        <f>ROWS($U$46:U1583)</f>
        <v>1538</v>
      </c>
      <c r="BG1583" t="str">
        <f t="shared" ref="BG1583:BG1646" si="232">IF(VALUE(SUBSTITUTE($B$5,"M",""))=U1583,BF1583,"")</f>
        <v/>
      </c>
    </row>
    <row r="1584" spans="14:59" x14ac:dyDescent="0.3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2102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str">
        <f t="shared" si="232"/>
        <v/>
      </c>
    </row>
    <row r="1585" spans="15:59" x14ac:dyDescent="0.3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2102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str">
        <f t="shared" si="232"/>
        <v/>
      </c>
    </row>
    <row r="1586" spans="15:59" x14ac:dyDescent="0.3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2102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str">
        <f t="shared" si="232"/>
        <v/>
      </c>
    </row>
    <row r="1587" spans="15:59" x14ac:dyDescent="0.3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2102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str">
        <f t="shared" si="232"/>
        <v/>
      </c>
    </row>
    <row r="1588" spans="15:59" ht="15" thickBot="1" x14ac:dyDescent="0.4">
      <c r="O1588" s="331"/>
      <c r="P1588" s="328"/>
      <c r="Q1588" s="328"/>
      <c r="R1588" s="328"/>
      <c r="S1588" s="328" t="s">
        <v>1198</v>
      </c>
      <c r="T1588" s="328" t="s">
        <v>2102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str">
        <f t="shared" si="232"/>
        <v/>
      </c>
    </row>
    <row r="1589" spans="15:59" x14ac:dyDescent="0.3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2115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str">
        <f t="shared" si="232"/>
        <v/>
      </c>
    </row>
    <row r="1590" spans="15:59" x14ac:dyDescent="0.3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2115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str">
        <f t="shared" si="232"/>
        <v/>
      </c>
    </row>
    <row r="1591" spans="15:59" x14ac:dyDescent="0.3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2115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str">
        <f t="shared" si="232"/>
        <v/>
      </c>
    </row>
    <row r="1592" spans="15:59" x14ac:dyDescent="0.3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2115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str">
        <f t="shared" si="232"/>
        <v/>
      </c>
    </row>
    <row r="1593" spans="15:59" x14ac:dyDescent="0.3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2115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str">
        <f t="shared" si="232"/>
        <v/>
      </c>
    </row>
    <row r="1594" spans="15:59" x14ac:dyDescent="0.3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2115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str">
        <f t="shared" si="232"/>
        <v/>
      </c>
    </row>
    <row r="1595" spans="15:59" ht="15" thickBot="1" x14ac:dyDescent="0.4">
      <c r="O1595" s="76"/>
      <c r="P1595" s="328"/>
      <c r="Q1595" s="328"/>
      <c r="R1595" s="328"/>
      <c r="S1595" s="328">
        <v>16</v>
      </c>
      <c r="T1595" s="328" t="s">
        <v>2115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str">
        <f t="shared" si="232"/>
        <v/>
      </c>
    </row>
    <row r="1596" spans="15:59" x14ac:dyDescent="0.3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1941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str">
        <f t="shared" si="232"/>
        <v/>
      </c>
    </row>
    <row r="1597" spans="15:59" x14ac:dyDescent="0.3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1941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str">
        <f t="shared" si="232"/>
        <v/>
      </c>
    </row>
    <row r="1598" spans="15:59" x14ac:dyDescent="0.3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1941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str">
        <f t="shared" si="232"/>
        <v/>
      </c>
    </row>
    <row r="1599" spans="15:59" x14ac:dyDescent="0.3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1941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str">
        <f t="shared" si="232"/>
        <v/>
      </c>
    </row>
    <row r="1600" spans="15:59" ht="15" thickBot="1" x14ac:dyDescent="0.4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1941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str">
        <f t="shared" si="232"/>
        <v/>
      </c>
    </row>
    <row r="1601" spans="13:59" x14ac:dyDescent="0.3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2115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str">
        <f t="shared" si="232"/>
        <v/>
      </c>
    </row>
    <row r="1602" spans="13:59" x14ac:dyDescent="0.3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2115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str">
        <f t="shared" si="232"/>
        <v/>
      </c>
    </row>
    <row r="1603" spans="13:59" x14ac:dyDescent="0.3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2115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str">
        <f t="shared" si="232"/>
        <v/>
      </c>
    </row>
    <row r="1604" spans="13:59" x14ac:dyDescent="0.3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2115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str">
        <f t="shared" si="232"/>
        <v/>
      </c>
    </row>
    <row r="1605" spans="13:59" x14ac:dyDescent="0.3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2115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str">
        <f t="shared" si="232"/>
        <v/>
      </c>
    </row>
    <row r="1606" spans="13:59" x14ac:dyDescent="0.3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2115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str">
        <f t="shared" si="232"/>
        <v/>
      </c>
    </row>
    <row r="1607" spans="13:59" ht="15" thickBot="1" x14ac:dyDescent="0.4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2115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str">
        <f t="shared" si="232"/>
        <v/>
      </c>
    </row>
    <row r="1608" spans="13:59" x14ac:dyDescent="0.3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2058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str">
        <f t="shared" si="232"/>
        <v/>
      </c>
    </row>
    <row r="1609" spans="13:59" x14ac:dyDescent="0.35">
      <c r="M1609" s="10"/>
      <c r="O1609" s="330"/>
      <c r="P1609" s="36"/>
      <c r="Q1609" s="36"/>
      <c r="R1609" s="36"/>
      <c r="S1609" s="36" t="s">
        <v>2058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str">
        <f t="shared" si="232"/>
        <v/>
      </c>
    </row>
    <row r="1610" spans="13:59" x14ac:dyDescent="0.35">
      <c r="M1610" s="10"/>
      <c r="O1610" s="3"/>
      <c r="P1610" s="36"/>
      <c r="Q1610" s="36"/>
      <c r="R1610" s="36"/>
      <c r="S1610" s="36" t="s">
        <v>2058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str">
        <f t="shared" si="232"/>
        <v/>
      </c>
    </row>
    <row r="1611" spans="13:59" x14ac:dyDescent="0.35">
      <c r="M1611" s="10"/>
      <c r="O1611" s="3"/>
      <c r="P1611" s="36"/>
      <c r="Q1611" s="36"/>
      <c r="R1611" s="36"/>
      <c r="S1611" s="36" t="s">
        <v>2058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str">
        <f t="shared" si="232"/>
        <v/>
      </c>
    </row>
    <row r="1612" spans="13:59" ht="15" thickBot="1" x14ac:dyDescent="0.4">
      <c r="O1612" s="959"/>
      <c r="P1612" s="486"/>
      <c r="Q1612" s="486"/>
      <c r="R1612" s="486"/>
      <c r="S1612" s="486" t="s">
        <v>2058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str">
        <f t="shared" si="232"/>
        <v/>
      </c>
    </row>
    <row r="1613" spans="13:59" x14ac:dyDescent="0.3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2124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str">
        <f t="shared" si="232"/>
        <v/>
      </c>
    </row>
    <row r="1614" spans="13:59" x14ac:dyDescent="0.3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2124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str">
        <f t="shared" si="232"/>
        <v/>
      </c>
    </row>
    <row r="1615" spans="13:59" x14ac:dyDescent="0.3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2124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str">
        <f t="shared" si="232"/>
        <v/>
      </c>
    </row>
    <row r="1616" spans="13:59" x14ac:dyDescent="0.3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2124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str">
        <f t="shared" si="232"/>
        <v/>
      </c>
    </row>
    <row r="1617" spans="15:59" ht="15" thickBot="1" x14ac:dyDescent="0.4">
      <c r="O1617" s="959"/>
      <c r="P1617" s="486"/>
      <c r="Q1617" s="486"/>
      <c r="R1617" s="486"/>
      <c r="S1617" s="486" t="s">
        <v>1319</v>
      </c>
      <c r="T1617" s="486" t="s">
        <v>2124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str">
        <f t="shared" si="232"/>
        <v/>
      </c>
    </row>
    <row r="1618" spans="15:59" x14ac:dyDescent="0.3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str">
        <f t="shared" si="232"/>
        <v/>
      </c>
    </row>
    <row r="1619" spans="15:59" x14ac:dyDescent="0.3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str">
        <f t="shared" si="232"/>
        <v/>
      </c>
    </row>
    <row r="1620" spans="15:59" x14ac:dyDescent="0.3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str">
        <f t="shared" si="232"/>
        <v/>
      </c>
    </row>
    <row r="1621" spans="15:59" x14ac:dyDescent="0.3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str">
        <f t="shared" si="232"/>
        <v/>
      </c>
    </row>
    <row r="1622" spans="15:59" x14ac:dyDescent="0.3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str">
        <f t="shared" si="232"/>
        <v/>
      </c>
    </row>
    <row r="1623" spans="15:59" x14ac:dyDescent="0.3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str">
        <f t="shared" si="232"/>
        <v/>
      </c>
    </row>
    <row r="1624" spans="15:59" x14ac:dyDescent="0.3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str">
        <f t="shared" si="232"/>
        <v/>
      </c>
    </row>
    <row r="1625" spans="15:59" ht="15" thickBot="1" x14ac:dyDescent="0.4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str">
        <f t="shared" si="232"/>
        <v/>
      </c>
    </row>
    <row r="1626" spans="15:59" x14ac:dyDescent="0.3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2125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str">
        <f t="shared" si="232"/>
        <v/>
      </c>
    </row>
    <row r="1627" spans="15:59" x14ac:dyDescent="0.3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2125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str">
        <f t="shared" si="232"/>
        <v/>
      </c>
    </row>
    <row r="1628" spans="15:59" x14ac:dyDescent="0.3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2125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str">
        <f t="shared" si="232"/>
        <v/>
      </c>
    </row>
    <row r="1629" spans="15:59" x14ac:dyDescent="0.3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2125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str">
        <f t="shared" si="232"/>
        <v/>
      </c>
    </row>
    <row r="1630" spans="15:59" x14ac:dyDescent="0.3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2125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str">
        <f t="shared" si="232"/>
        <v/>
      </c>
    </row>
    <row r="1631" spans="15:59" x14ac:dyDescent="0.35">
      <c r="O1631" s="330"/>
      <c r="P1631" s="36"/>
      <c r="Q1631" s="36"/>
      <c r="R1631" s="36"/>
      <c r="S1631" s="36">
        <v>12</v>
      </c>
      <c r="T1631" s="36" t="s">
        <v>2125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str">
        <f t="shared" si="232"/>
        <v/>
      </c>
    </row>
    <row r="1632" spans="15:59" x14ac:dyDescent="0.35">
      <c r="O1632" s="330"/>
      <c r="P1632" s="36"/>
      <c r="Q1632" s="36"/>
      <c r="R1632" s="36"/>
      <c r="S1632" s="36">
        <v>12</v>
      </c>
      <c r="T1632" s="36" t="s">
        <v>2125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str">
        <f t="shared" si="232"/>
        <v/>
      </c>
    </row>
    <row r="1633" spans="15:59" ht="15" thickBot="1" x14ac:dyDescent="0.4">
      <c r="O1633" s="485"/>
      <c r="P1633" s="486"/>
      <c r="Q1633" s="486"/>
      <c r="R1633" s="486"/>
      <c r="S1633" s="486">
        <v>12</v>
      </c>
      <c r="T1633" s="486" t="s">
        <v>2125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str">
        <f t="shared" si="232"/>
        <v/>
      </c>
    </row>
    <row r="1634" spans="15:59" x14ac:dyDescent="0.3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2127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str">
        <f t="shared" si="232"/>
        <v/>
      </c>
    </row>
    <row r="1635" spans="15:59" x14ac:dyDescent="0.3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2127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str">
        <f t="shared" si="232"/>
        <v/>
      </c>
    </row>
    <row r="1636" spans="15:59" x14ac:dyDescent="0.3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2127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str">
        <f t="shared" si="232"/>
        <v/>
      </c>
    </row>
    <row r="1637" spans="15:59" x14ac:dyDescent="0.3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2127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str">
        <f t="shared" si="232"/>
        <v/>
      </c>
    </row>
    <row r="1638" spans="15:59" x14ac:dyDescent="0.3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2127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str">
        <f t="shared" si="232"/>
        <v/>
      </c>
    </row>
    <row r="1639" spans="15:59" x14ac:dyDescent="0.3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2127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str">
        <f t="shared" si="232"/>
        <v/>
      </c>
    </row>
    <row r="1640" spans="15:59" ht="15" thickBot="1" x14ac:dyDescent="0.4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2127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str">
        <f t="shared" si="232"/>
        <v/>
      </c>
    </row>
    <row r="1641" spans="15:59" x14ac:dyDescent="0.3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str">
        <f t="shared" si="232"/>
        <v/>
      </c>
    </row>
    <row r="1642" spans="15:59" x14ac:dyDescent="0.3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str">
        <f t="shared" si="232"/>
        <v/>
      </c>
    </row>
    <row r="1643" spans="15:59" x14ac:dyDescent="0.3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str">
        <f t="shared" si="232"/>
        <v/>
      </c>
    </row>
    <row r="1644" spans="15:59" x14ac:dyDescent="0.3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str">
        <f t="shared" si="232"/>
        <v/>
      </c>
    </row>
    <row r="1645" spans="15:59" ht="15" thickBot="1" x14ac:dyDescent="0.4">
      <c r="O1645" s="485"/>
      <c r="P1645" s="486"/>
      <c r="Q1645" s="486"/>
      <c r="R1645" s="486"/>
      <c r="S1645" s="976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str">
        <f t="shared" si="232"/>
        <v/>
      </c>
    </row>
    <row r="1646" spans="15:59" x14ac:dyDescent="0.3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str">
        <f t="shared" si="232"/>
        <v/>
      </c>
    </row>
    <row r="1647" spans="15:59" x14ac:dyDescent="0.3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str">
        <f t="shared" ref="BG1647:BG1710" si="233">IF(VALUE(SUBSTITUTE($B$5,"M",""))=U1647,BF1647,"")</f>
        <v/>
      </c>
    </row>
    <row r="1648" spans="15:59" x14ac:dyDescent="0.3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str">
        <f t="shared" si="233"/>
        <v/>
      </c>
    </row>
    <row r="1649" spans="15:59" x14ac:dyDescent="0.3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str">
        <f t="shared" si="233"/>
        <v/>
      </c>
    </row>
    <row r="1650" spans="15:59" x14ac:dyDescent="0.3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str">
        <f t="shared" si="233"/>
        <v/>
      </c>
    </row>
    <row r="1651" spans="15:59" x14ac:dyDescent="0.3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str">
        <f t="shared" si="233"/>
        <v/>
      </c>
    </row>
    <row r="1652" spans="15:59" x14ac:dyDescent="0.3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str">
        <f t="shared" si="233"/>
        <v/>
      </c>
    </row>
    <row r="1653" spans="15:59" ht="15" thickBot="1" x14ac:dyDescent="0.4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str">
        <f t="shared" si="233"/>
        <v/>
      </c>
    </row>
    <row r="1654" spans="15:59" x14ac:dyDescent="0.3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2141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str">
        <f t="shared" si="233"/>
        <v/>
      </c>
    </row>
    <row r="1655" spans="15:59" x14ac:dyDescent="0.3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2141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str">
        <f t="shared" si="233"/>
        <v/>
      </c>
    </row>
    <row r="1656" spans="15:59" x14ac:dyDescent="0.3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2141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str">
        <f t="shared" si="233"/>
        <v/>
      </c>
    </row>
    <row r="1657" spans="15:59" x14ac:dyDescent="0.3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2141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str">
        <f t="shared" si="233"/>
        <v/>
      </c>
    </row>
    <row r="1658" spans="15:59" x14ac:dyDescent="0.3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2141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str">
        <f t="shared" si="233"/>
        <v/>
      </c>
    </row>
    <row r="1659" spans="15:59" x14ac:dyDescent="0.35">
      <c r="O1659" s="330"/>
      <c r="P1659" s="36"/>
      <c r="Q1659" s="36"/>
      <c r="R1659" s="36"/>
      <c r="S1659" s="36" t="s">
        <v>1399</v>
      </c>
      <c r="T1659" s="36" t="s">
        <v>2141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str">
        <f t="shared" si="233"/>
        <v/>
      </c>
    </row>
    <row r="1660" spans="15:59" ht="15" thickBot="1" x14ac:dyDescent="0.4">
      <c r="O1660" s="331"/>
      <c r="P1660" s="328"/>
      <c r="Q1660" s="328"/>
      <c r="R1660" s="328"/>
      <c r="S1660" s="328" t="s">
        <v>1399</v>
      </c>
      <c r="T1660" s="328" t="s">
        <v>2141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str">
        <f t="shared" si="233"/>
        <v/>
      </c>
    </row>
    <row r="1661" spans="15:59" x14ac:dyDescent="0.3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2095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4"/>
      <c r="BA1661" s="320"/>
      <c r="BB1661" s="320"/>
      <c r="BC1661" s="320"/>
      <c r="BD1661" s="119"/>
      <c r="BF1661">
        <f>ROWS($U$46:U1661)</f>
        <v>1616</v>
      </c>
      <c r="BG1661" t="str">
        <f t="shared" si="233"/>
        <v/>
      </c>
    </row>
    <row r="1662" spans="15:59" x14ac:dyDescent="0.3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2095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str">
        <f t="shared" si="233"/>
        <v/>
      </c>
    </row>
    <row r="1663" spans="15:59" x14ac:dyDescent="0.3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2095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str">
        <f t="shared" si="233"/>
        <v/>
      </c>
    </row>
    <row r="1664" spans="15:59" x14ac:dyDescent="0.3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2095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str">
        <f t="shared" si="233"/>
        <v/>
      </c>
    </row>
    <row r="1665" spans="15:59" x14ac:dyDescent="0.3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2095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str">
        <f t="shared" si="233"/>
        <v/>
      </c>
    </row>
    <row r="1666" spans="15:59" ht="15" thickBot="1" x14ac:dyDescent="0.4">
      <c r="O1666" s="331"/>
      <c r="P1666" s="328"/>
      <c r="Q1666" s="328"/>
      <c r="R1666" s="328"/>
      <c r="S1666" s="328" t="s">
        <v>1200</v>
      </c>
      <c r="T1666" s="328" t="s">
        <v>2095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str">
        <f t="shared" si="233"/>
        <v/>
      </c>
    </row>
    <row r="1667" spans="15:59" x14ac:dyDescent="0.3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2147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4"/>
      <c r="BA1667" s="320"/>
      <c r="BB1667" s="320"/>
      <c r="BC1667" s="320"/>
      <c r="BD1667" s="119"/>
      <c r="BF1667">
        <f>ROWS($U$46:U1667)</f>
        <v>1622</v>
      </c>
      <c r="BG1667" t="str">
        <f t="shared" si="233"/>
        <v/>
      </c>
    </row>
    <row r="1668" spans="15:59" x14ac:dyDescent="0.3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2147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str">
        <f t="shared" si="233"/>
        <v/>
      </c>
    </row>
    <row r="1669" spans="15:59" x14ac:dyDescent="0.3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2147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str">
        <f t="shared" si="233"/>
        <v/>
      </c>
    </row>
    <row r="1670" spans="15:59" x14ac:dyDescent="0.3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2147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str">
        <f t="shared" si="233"/>
        <v/>
      </c>
    </row>
    <row r="1671" spans="15:59" x14ac:dyDescent="0.3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2147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str">
        <f t="shared" si="233"/>
        <v/>
      </c>
    </row>
    <row r="1672" spans="15:59" ht="15" thickBot="1" x14ac:dyDescent="0.4">
      <c r="O1672" s="331"/>
      <c r="P1672" s="328"/>
      <c r="Q1672" s="328"/>
      <c r="R1672" s="328"/>
      <c r="S1672" s="328" t="s">
        <v>1200</v>
      </c>
      <c r="T1672" s="328" t="s">
        <v>2147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str">
        <f t="shared" si="233"/>
        <v/>
      </c>
    </row>
    <row r="1673" spans="15:59" x14ac:dyDescent="0.3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str">
        <f t="shared" si="233"/>
        <v/>
      </c>
    </row>
    <row r="1674" spans="15:59" x14ac:dyDescent="0.3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str">
        <f t="shared" si="233"/>
        <v/>
      </c>
    </row>
    <row r="1675" spans="15:59" x14ac:dyDescent="0.3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str">
        <f t="shared" si="233"/>
        <v/>
      </c>
    </row>
    <row r="1676" spans="15:59" x14ac:dyDescent="0.3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str">
        <f t="shared" si="233"/>
        <v/>
      </c>
    </row>
    <row r="1677" spans="15:59" x14ac:dyDescent="0.3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str">
        <f t="shared" si="233"/>
        <v/>
      </c>
    </row>
    <row r="1678" spans="15:59" ht="15" thickBot="1" x14ac:dyDescent="0.4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str">
        <f t="shared" si="233"/>
        <v/>
      </c>
    </row>
    <row r="1679" spans="15:59" x14ac:dyDescent="0.3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str">
        <f t="shared" si="233"/>
        <v/>
      </c>
    </row>
    <row r="1680" spans="15:59" x14ac:dyDescent="0.3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str">
        <f t="shared" si="233"/>
        <v/>
      </c>
    </row>
    <row r="1681" spans="15:59" x14ac:dyDescent="0.3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str">
        <f t="shared" si="233"/>
        <v/>
      </c>
    </row>
    <row r="1682" spans="15:59" x14ac:dyDescent="0.3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str">
        <f t="shared" si="233"/>
        <v/>
      </c>
    </row>
    <row r="1683" spans="15:59" x14ac:dyDescent="0.3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str">
        <f t="shared" si="233"/>
        <v/>
      </c>
    </row>
    <row r="1684" spans="15:59" x14ac:dyDescent="0.3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str">
        <f t="shared" si="233"/>
        <v/>
      </c>
    </row>
    <row r="1685" spans="15:59" ht="15" thickBot="1" x14ac:dyDescent="0.4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str">
        <f t="shared" si="233"/>
        <v/>
      </c>
    </row>
    <row r="1686" spans="15:59" x14ac:dyDescent="0.3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2154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str">
        <f t="shared" si="233"/>
        <v/>
      </c>
    </row>
    <row r="1687" spans="15:59" x14ac:dyDescent="0.3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2154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str">
        <f t="shared" si="233"/>
        <v/>
      </c>
    </row>
    <row r="1688" spans="15:59" x14ac:dyDescent="0.3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2154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str">
        <f t="shared" si="233"/>
        <v/>
      </c>
    </row>
    <row r="1689" spans="15:59" x14ac:dyDescent="0.3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2154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str">
        <f t="shared" si="233"/>
        <v/>
      </c>
    </row>
    <row r="1690" spans="15:59" x14ac:dyDescent="0.3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2154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str">
        <f t="shared" si="233"/>
        <v/>
      </c>
    </row>
    <row r="1691" spans="15:59" ht="15" thickBot="1" x14ac:dyDescent="0.4">
      <c r="O1691" s="331"/>
      <c r="P1691" s="328"/>
      <c r="Q1691" s="328"/>
      <c r="R1691" s="328"/>
      <c r="S1691" s="328" t="s">
        <v>1179</v>
      </c>
      <c r="T1691" s="328" t="s">
        <v>2154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str">
        <f t="shared" si="233"/>
        <v/>
      </c>
    </row>
    <row r="1692" spans="15:59" x14ac:dyDescent="0.3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2092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str">
        <f t="shared" si="233"/>
        <v/>
      </c>
    </row>
    <row r="1693" spans="15:59" x14ac:dyDescent="0.3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2092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str">
        <f t="shared" si="233"/>
        <v/>
      </c>
    </row>
    <row r="1694" spans="15:59" x14ac:dyDescent="0.3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2092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str">
        <f t="shared" si="233"/>
        <v/>
      </c>
    </row>
    <row r="1695" spans="15:59" x14ac:dyDescent="0.3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2092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str">
        <f t="shared" si="233"/>
        <v/>
      </c>
    </row>
    <row r="1696" spans="15:59" ht="15" thickBot="1" x14ac:dyDescent="0.4">
      <c r="O1696" s="331"/>
      <c r="P1696" s="328"/>
      <c r="Q1696" s="328"/>
      <c r="R1696" s="328"/>
      <c r="S1696" s="554" t="s">
        <v>1319</v>
      </c>
      <c r="T1696" s="328" t="s">
        <v>2092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str">
        <f t="shared" si="233"/>
        <v/>
      </c>
    </row>
    <row r="1697" spans="15:59" x14ac:dyDescent="0.3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9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str">
        <f t="shared" si="233"/>
        <v/>
      </c>
    </row>
    <row r="1698" spans="15:59" x14ac:dyDescent="0.3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90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str">
        <f t="shared" si="233"/>
        <v/>
      </c>
    </row>
    <row r="1699" spans="15:59" x14ac:dyDescent="0.3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90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str">
        <f t="shared" si="233"/>
        <v/>
      </c>
    </row>
    <row r="1700" spans="15:59" x14ac:dyDescent="0.3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90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str">
        <f t="shared" si="233"/>
        <v/>
      </c>
    </row>
    <row r="1701" spans="15:59" x14ac:dyDescent="0.3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90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str">
        <f t="shared" si="233"/>
        <v/>
      </c>
    </row>
    <row r="1702" spans="15:59" x14ac:dyDescent="0.3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90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str">
        <f t="shared" si="233"/>
        <v/>
      </c>
    </row>
    <row r="1703" spans="15:59" x14ac:dyDescent="0.3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90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str">
        <f t="shared" si="233"/>
        <v/>
      </c>
    </row>
    <row r="1704" spans="15:59" ht="15" thickBot="1" x14ac:dyDescent="0.4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90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str">
        <f t="shared" si="233"/>
        <v/>
      </c>
    </row>
    <row r="1705" spans="15:59" x14ac:dyDescent="0.3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2147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4"/>
      <c r="BA1705" s="320"/>
      <c r="BB1705" s="320"/>
      <c r="BC1705" s="320"/>
      <c r="BD1705" s="119"/>
      <c r="BF1705">
        <f>ROWS($U$46:U1705)</f>
        <v>1660</v>
      </c>
      <c r="BG1705" t="str">
        <f t="shared" si="233"/>
        <v/>
      </c>
    </row>
    <row r="1706" spans="15:59" x14ac:dyDescent="0.3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2147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str">
        <f t="shared" si="233"/>
        <v/>
      </c>
    </row>
    <row r="1707" spans="15:59" x14ac:dyDescent="0.3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2147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str">
        <f t="shared" si="233"/>
        <v/>
      </c>
    </row>
    <row r="1708" spans="15:59" x14ac:dyDescent="0.3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2147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str">
        <f t="shared" si="233"/>
        <v/>
      </c>
    </row>
    <row r="1709" spans="15:59" x14ac:dyDescent="0.3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2147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str">
        <f t="shared" si="233"/>
        <v/>
      </c>
    </row>
    <row r="1710" spans="15:59" ht="15" thickBot="1" x14ac:dyDescent="0.4">
      <c r="O1710" s="331"/>
      <c r="P1710" s="328"/>
      <c r="Q1710" s="328"/>
      <c r="R1710" s="328"/>
      <c r="S1710" s="328" t="s">
        <v>1200</v>
      </c>
      <c r="T1710" s="328" t="s">
        <v>2147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str">
        <f t="shared" si="233"/>
        <v/>
      </c>
    </row>
    <row r="1711" spans="15:59" x14ac:dyDescent="0.3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2172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4"/>
      <c r="BA1711" s="320"/>
      <c r="BB1711" s="320"/>
      <c r="BC1711" s="320"/>
      <c r="BD1711" s="119"/>
      <c r="BF1711">
        <f>ROWS($U$46:U1711)</f>
        <v>1666</v>
      </c>
      <c r="BG1711" t="str">
        <f t="shared" ref="BG1711:BG1774" si="234">IF(VALUE(SUBSTITUTE($B$5,"M",""))=U1711,BF1711,"")</f>
        <v/>
      </c>
    </row>
    <row r="1712" spans="15:59" x14ac:dyDescent="0.3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2172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str">
        <f t="shared" si="234"/>
        <v/>
      </c>
    </row>
    <row r="1713" spans="15:59" x14ac:dyDescent="0.3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2172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str">
        <f t="shared" si="234"/>
        <v/>
      </c>
    </row>
    <row r="1714" spans="15:59" x14ac:dyDescent="0.35">
      <c r="O1714" s="330"/>
      <c r="P1714" s="36"/>
      <c r="Q1714" s="36"/>
      <c r="R1714" s="36"/>
      <c r="S1714" s="36" t="s">
        <v>1198</v>
      </c>
      <c r="T1714" s="36" t="s">
        <v>2172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str">
        <f t="shared" si="234"/>
        <v/>
      </c>
    </row>
    <row r="1715" spans="15:59" x14ac:dyDescent="0.35">
      <c r="O1715" s="330"/>
      <c r="P1715" s="36"/>
      <c r="Q1715" s="36"/>
      <c r="R1715" s="36"/>
      <c r="S1715" s="36" t="s">
        <v>1198</v>
      </c>
      <c r="T1715" s="36" t="s">
        <v>2172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str">
        <f t="shared" si="234"/>
        <v/>
      </c>
    </row>
    <row r="1716" spans="15:59" ht="15" thickBot="1" x14ac:dyDescent="0.4">
      <c r="O1716" s="331"/>
      <c r="P1716" s="328"/>
      <c r="Q1716" s="328"/>
      <c r="R1716" s="328"/>
      <c r="S1716" s="328" t="s">
        <v>1198</v>
      </c>
      <c r="T1716" s="328" t="s">
        <v>2172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str">
        <f t="shared" si="234"/>
        <v/>
      </c>
    </row>
    <row r="1717" spans="15:59" x14ac:dyDescent="0.3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2174</v>
      </c>
      <c r="U1717" s="119">
        <v>1263805</v>
      </c>
      <c r="V1717" s="989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str">
        <f t="shared" si="234"/>
        <v/>
      </c>
    </row>
    <row r="1718" spans="15:59" x14ac:dyDescent="0.3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2174</v>
      </c>
      <c r="U1718" s="27">
        <v>1263805</v>
      </c>
      <c r="V1718" s="990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str">
        <f t="shared" si="234"/>
        <v/>
      </c>
    </row>
    <row r="1719" spans="15:59" x14ac:dyDescent="0.3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2174</v>
      </c>
      <c r="U1719" s="27">
        <v>1263805</v>
      </c>
      <c r="V1719" s="990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str">
        <f t="shared" si="234"/>
        <v/>
      </c>
    </row>
    <row r="1720" spans="15:59" x14ac:dyDescent="0.3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2174</v>
      </c>
      <c r="U1720" s="27">
        <v>1263805</v>
      </c>
      <c r="V1720" s="990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str">
        <f t="shared" si="234"/>
        <v/>
      </c>
    </row>
    <row r="1721" spans="15:59" x14ac:dyDescent="0.3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2174</v>
      </c>
      <c r="U1721" s="27">
        <v>1263805</v>
      </c>
      <c r="V1721" s="990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str">
        <f t="shared" si="234"/>
        <v/>
      </c>
    </row>
    <row r="1722" spans="15:59" x14ac:dyDescent="0.3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2174</v>
      </c>
      <c r="U1722" s="27">
        <v>1263805</v>
      </c>
      <c r="V1722" s="990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str">
        <f t="shared" si="234"/>
        <v/>
      </c>
    </row>
    <row r="1723" spans="15:59" x14ac:dyDescent="0.3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2174</v>
      </c>
      <c r="U1723" s="27">
        <v>1263805</v>
      </c>
      <c r="V1723" s="990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str">
        <f t="shared" si="234"/>
        <v/>
      </c>
    </row>
    <row r="1724" spans="15:59" ht="15" thickBot="1" x14ac:dyDescent="0.4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2174</v>
      </c>
      <c r="U1724" s="31">
        <v>1263805</v>
      </c>
      <c r="V1724" s="990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str">
        <f t="shared" si="234"/>
        <v/>
      </c>
    </row>
    <row r="1725" spans="15:59" x14ac:dyDescent="0.3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str">
        <f t="shared" si="234"/>
        <v/>
      </c>
    </row>
    <row r="1726" spans="15:59" x14ac:dyDescent="0.3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str">
        <f t="shared" si="234"/>
        <v/>
      </c>
    </row>
    <row r="1727" spans="15:59" x14ac:dyDescent="0.3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str">
        <f t="shared" si="234"/>
        <v/>
      </c>
    </row>
    <row r="1728" spans="15:59" x14ac:dyDescent="0.3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str">
        <f t="shared" si="234"/>
        <v/>
      </c>
    </row>
    <row r="1729" spans="14:59" x14ac:dyDescent="0.3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str">
        <f t="shared" si="234"/>
        <v/>
      </c>
    </row>
    <row r="1730" spans="14:59" x14ac:dyDescent="0.3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str">
        <f t="shared" si="234"/>
        <v/>
      </c>
    </row>
    <row r="1731" spans="14:59" x14ac:dyDescent="0.3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str">
        <f t="shared" si="234"/>
        <v/>
      </c>
    </row>
    <row r="1732" spans="14:59" ht="15" thickBot="1" x14ac:dyDescent="0.4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str">
        <f t="shared" si="234"/>
        <v/>
      </c>
    </row>
    <row r="1733" spans="14:59" x14ac:dyDescent="0.35">
      <c r="N1733">
        <f t="shared" ref="N1733:N1741" si="235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2176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str">
        <f t="shared" si="234"/>
        <v/>
      </c>
    </row>
    <row r="1734" spans="14:59" x14ac:dyDescent="0.35">
      <c r="N1734">
        <f t="shared" si="235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2176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str">
        <f t="shared" si="234"/>
        <v/>
      </c>
    </row>
    <row r="1735" spans="14:59" x14ac:dyDescent="0.35">
      <c r="N1735">
        <f t="shared" si="235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2176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str">
        <f t="shared" si="234"/>
        <v/>
      </c>
    </row>
    <row r="1736" spans="14:59" x14ac:dyDescent="0.35">
      <c r="N1736">
        <f t="shared" si="235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2176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str">
        <f t="shared" si="234"/>
        <v/>
      </c>
    </row>
    <row r="1737" spans="14:59" x14ac:dyDescent="0.35">
      <c r="N1737">
        <f t="shared" si="235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2176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str">
        <f t="shared" si="234"/>
        <v/>
      </c>
    </row>
    <row r="1738" spans="14:59" x14ac:dyDescent="0.35">
      <c r="N1738">
        <f t="shared" si="235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2176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str">
        <f t="shared" si="234"/>
        <v/>
      </c>
    </row>
    <row r="1739" spans="14:59" ht="15" thickBot="1" x14ac:dyDescent="0.4">
      <c r="N1739">
        <f t="shared" si="235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2176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str">
        <f t="shared" si="234"/>
        <v/>
      </c>
    </row>
    <row r="1740" spans="14:59" x14ac:dyDescent="0.35">
      <c r="N1740">
        <f t="shared" si="235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2185</v>
      </c>
      <c r="T1740" s="320" t="s">
        <v>2184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4"/>
      <c r="BA1740" s="320"/>
      <c r="BB1740" s="320"/>
      <c r="BC1740" s="320"/>
      <c r="BD1740" s="119"/>
      <c r="BF1740">
        <f>ROWS($U$46:U1740)</f>
        <v>1695</v>
      </c>
      <c r="BG1740" t="str">
        <f t="shared" si="234"/>
        <v/>
      </c>
    </row>
    <row r="1741" spans="14:59" x14ac:dyDescent="0.35">
      <c r="N1741">
        <f t="shared" si="235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2185</v>
      </c>
      <c r="T1741" s="36" t="s">
        <v>2184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str">
        <f t="shared" si="234"/>
        <v/>
      </c>
    </row>
    <row r="1742" spans="14:59" x14ac:dyDescent="0.35">
      <c r="O1742" s="330">
        <v>3</v>
      </c>
      <c r="P1742" s="36">
        <v>1104083</v>
      </c>
      <c r="Q1742" s="36">
        <v>1</v>
      </c>
      <c r="R1742" s="36"/>
      <c r="S1742" s="36" t="s">
        <v>2185</v>
      </c>
      <c r="T1742" s="36" t="s">
        <v>2184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str">
        <f t="shared" si="234"/>
        <v/>
      </c>
    </row>
    <row r="1743" spans="14:59" x14ac:dyDescent="0.35">
      <c r="O1743" s="330"/>
      <c r="P1743" s="36"/>
      <c r="Q1743" s="36"/>
      <c r="R1743" s="36"/>
      <c r="S1743" s="36" t="s">
        <v>2185</v>
      </c>
      <c r="T1743" s="36" t="s">
        <v>2184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str">
        <f t="shared" si="234"/>
        <v/>
      </c>
    </row>
    <row r="1744" spans="14:59" x14ac:dyDescent="0.35">
      <c r="O1744" s="330"/>
      <c r="P1744" s="36"/>
      <c r="Q1744" s="36"/>
      <c r="R1744" s="36"/>
      <c r="S1744" s="36" t="s">
        <v>2185</v>
      </c>
      <c r="T1744" s="36" t="s">
        <v>2184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str">
        <f t="shared" si="234"/>
        <v/>
      </c>
    </row>
    <row r="1745" spans="14:59" ht="15" thickBot="1" x14ac:dyDescent="0.4">
      <c r="N1745">
        <f t="shared" ref="N1745:N1772" si="236">O1745*Q1745</f>
        <v>0</v>
      </c>
      <c r="O1745" s="331"/>
      <c r="P1745" s="328"/>
      <c r="Q1745" s="328"/>
      <c r="R1745" s="328"/>
      <c r="S1745" s="328" t="s">
        <v>2185</v>
      </c>
      <c r="T1745" s="328" t="s">
        <v>2184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str">
        <f t="shared" si="234"/>
        <v/>
      </c>
    </row>
    <row r="1746" spans="14:59" x14ac:dyDescent="0.35">
      <c r="N1746">
        <f t="shared" si="236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2102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4"/>
      <c r="BA1746" s="320"/>
      <c r="BB1746" s="320"/>
      <c r="BC1746" s="320"/>
      <c r="BD1746" s="119"/>
      <c r="BF1746">
        <f>ROWS($U$46:U1746)</f>
        <v>1701</v>
      </c>
      <c r="BG1746" t="str">
        <f t="shared" si="234"/>
        <v/>
      </c>
    </row>
    <row r="1747" spans="14:59" x14ac:dyDescent="0.35">
      <c r="N1747">
        <f t="shared" si="236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2102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str">
        <f t="shared" si="234"/>
        <v/>
      </c>
    </row>
    <row r="1748" spans="14:59" x14ac:dyDescent="0.35">
      <c r="N1748">
        <f t="shared" si="236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2102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str">
        <f t="shared" si="234"/>
        <v/>
      </c>
    </row>
    <row r="1749" spans="14:59" x14ac:dyDescent="0.35">
      <c r="N1749">
        <f t="shared" si="236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2102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str">
        <f t="shared" si="234"/>
        <v/>
      </c>
    </row>
    <row r="1750" spans="14:59" x14ac:dyDescent="0.35">
      <c r="N1750">
        <f t="shared" si="236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2102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str">
        <f t="shared" si="234"/>
        <v/>
      </c>
    </row>
    <row r="1751" spans="14:59" ht="15" thickBot="1" x14ac:dyDescent="0.4">
      <c r="N1751">
        <f t="shared" si="236"/>
        <v>0</v>
      </c>
      <c r="O1751" s="331"/>
      <c r="P1751" s="328"/>
      <c r="Q1751" s="328"/>
      <c r="R1751" s="328"/>
      <c r="S1751" s="328" t="s">
        <v>1198</v>
      </c>
      <c r="T1751" s="328" t="s">
        <v>2102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str">
        <f t="shared" si="234"/>
        <v/>
      </c>
    </row>
    <row r="1752" spans="14:59" x14ac:dyDescent="0.35">
      <c r="N1752">
        <f t="shared" si="236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2188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str">
        <f t="shared" si="234"/>
        <v/>
      </c>
    </row>
    <row r="1753" spans="14:59" x14ac:dyDescent="0.35">
      <c r="N1753">
        <f t="shared" si="236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2188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str">
        <f t="shared" si="234"/>
        <v/>
      </c>
    </row>
    <row r="1754" spans="14:59" x14ac:dyDescent="0.35">
      <c r="N1754">
        <f t="shared" si="236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2188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str">
        <f t="shared" si="234"/>
        <v/>
      </c>
    </row>
    <row r="1755" spans="14:59" x14ac:dyDescent="0.35">
      <c r="N1755">
        <f t="shared" si="236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2188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str">
        <f t="shared" si="234"/>
        <v/>
      </c>
    </row>
    <row r="1756" spans="14:59" x14ac:dyDescent="0.35">
      <c r="N1756">
        <f t="shared" si="236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2188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str">
        <f t="shared" si="234"/>
        <v/>
      </c>
    </row>
    <row r="1757" spans="14:59" x14ac:dyDescent="0.35">
      <c r="N1757">
        <f t="shared" si="236"/>
        <v>0</v>
      </c>
      <c r="O1757" s="330"/>
      <c r="P1757" s="36"/>
      <c r="Q1757" s="36"/>
      <c r="R1757" s="36"/>
      <c r="S1757" s="36" t="s">
        <v>1209</v>
      </c>
      <c r="T1757" s="36" t="s">
        <v>2188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str">
        <f t="shared" si="234"/>
        <v/>
      </c>
    </row>
    <row r="1758" spans="14:59" x14ac:dyDescent="0.35">
      <c r="N1758">
        <f t="shared" si="236"/>
        <v>0</v>
      </c>
      <c r="O1758" s="330"/>
      <c r="P1758" s="36"/>
      <c r="Q1758" s="36"/>
      <c r="R1758" s="36"/>
      <c r="S1758" s="36" t="s">
        <v>1209</v>
      </c>
      <c r="T1758" s="36" t="s">
        <v>2188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str">
        <f t="shared" si="234"/>
        <v/>
      </c>
    </row>
    <row r="1759" spans="14:59" ht="15" thickBot="1" x14ac:dyDescent="0.4">
      <c r="N1759">
        <f t="shared" si="236"/>
        <v>0</v>
      </c>
      <c r="O1759" s="331"/>
      <c r="P1759" s="328"/>
      <c r="Q1759" s="328"/>
      <c r="R1759" s="328"/>
      <c r="S1759" s="328" t="s">
        <v>1209</v>
      </c>
      <c r="T1759" s="328" t="s">
        <v>2188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str">
        <f t="shared" si="234"/>
        <v/>
      </c>
    </row>
    <row r="1760" spans="14:59" x14ac:dyDescent="0.35">
      <c r="N1760">
        <f t="shared" si="236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2185</v>
      </c>
      <c r="T1760" s="320" t="s">
        <v>2200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str">
        <f t="shared" si="234"/>
        <v/>
      </c>
    </row>
    <row r="1761" spans="14:59" x14ac:dyDescent="0.35">
      <c r="N1761">
        <f t="shared" si="236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2185</v>
      </c>
      <c r="T1761" s="36" t="s">
        <v>2200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str">
        <f t="shared" si="234"/>
        <v/>
      </c>
    </row>
    <row r="1762" spans="14:59" x14ac:dyDescent="0.35">
      <c r="N1762">
        <f t="shared" si="236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2185</v>
      </c>
      <c r="T1762" s="36" t="s">
        <v>2200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str">
        <f t="shared" si="234"/>
        <v/>
      </c>
    </row>
    <row r="1763" spans="14:59" x14ac:dyDescent="0.35">
      <c r="N1763">
        <f t="shared" si="236"/>
        <v>24</v>
      </c>
      <c r="O1763" s="330">
        <v>4</v>
      </c>
      <c r="P1763" s="36">
        <v>418525</v>
      </c>
      <c r="Q1763" s="36">
        <v>6</v>
      </c>
      <c r="R1763" s="36"/>
      <c r="S1763" s="36" t="s">
        <v>2185</v>
      </c>
      <c r="T1763" s="36" t="s">
        <v>2200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str">
        <f t="shared" si="234"/>
        <v/>
      </c>
    </row>
    <row r="1764" spans="14:59" x14ac:dyDescent="0.35">
      <c r="N1764">
        <f t="shared" si="236"/>
        <v>30</v>
      </c>
      <c r="O1764" s="330">
        <v>5</v>
      </c>
      <c r="P1764" s="36">
        <v>649901</v>
      </c>
      <c r="Q1764" s="36">
        <v>6</v>
      </c>
      <c r="R1764" s="36"/>
      <c r="S1764" s="36" t="s">
        <v>2185</v>
      </c>
      <c r="T1764" s="36" t="s">
        <v>2200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str">
        <f t="shared" si="234"/>
        <v/>
      </c>
    </row>
    <row r="1765" spans="14:59" x14ac:dyDescent="0.35">
      <c r="N1765">
        <f t="shared" si="236"/>
        <v>36</v>
      </c>
      <c r="O1765" s="330">
        <v>6</v>
      </c>
      <c r="P1765" s="36">
        <v>871781</v>
      </c>
      <c r="Q1765" s="36">
        <v>6</v>
      </c>
      <c r="R1765" s="36"/>
      <c r="S1765" s="36" t="s">
        <v>2185</v>
      </c>
      <c r="T1765" s="36" t="s">
        <v>2200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str">
        <f t="shared" si="234"/>
        <v/>
      </c>
    </row>
    <row r="1766" spans="14:59" ht="15" thickBot="1" x14ac:dyDescent="0.4">
      <c r="N1766">
        <f t="shared" si="236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2185</v>
      </c>
      <c r="T1766" s="486" t="s">
        <v>2200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str">
        <f t="shared" si="234"/>
        <v/>
      </c>
    </row>
    <row r="1767" spans="14:59" x14ac:dyDescent="0.35">
      <c r="N1767">
        <f t="shared" si="236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2185</v>
      </c>
      <c r="T1767" s="320" t="s">
        <v>2201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str">
        <f t="shared" si="234"/>
        <v/>
      </c>
    </row>
    <row r="1768" spans="14:59" x14ac:dyDescent="0.35">
      <c r="N1768">
        <f t="shared" si="236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2185</v>
      </c>
      <c r="T1768" s="36" t="s">
        <v>2201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str">
        <f t="shared" si="234"/>
        <v/>
      </c>
    </row>
    <row r="1769" spans="14:59" x14ac:dyDescent="0.35">
      <c r="N1769">
        <f t="shared" si="236"/>
        <v>18</v>
      </c>
      <c r="O1769" s="330">
        <v>3</v>
      </c>
      <c r="P1769" s="36">
        <v>179733</v>
      </c>
      <c r="Q1769" s="36">
        <v>6</v>
      </c>
      <c r="R1769" s="36"/>
      <c r="S1769" s="36" t="s">
        <v>2185</v>
      </c>
      <c r="T1769" s="36" t="s">
        <v>2201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str">
        <f t="shared" si="234"/>
        <v/>
      </c>
    </row>
    <row r="1770" spans="14:59" x14ac:dyDescent="0.35">
      <c r="N1770">
        <f t="shared" si="236"/>
        <v>24</v>
      </c>
      <c r="O1770" s="330">
        <v>4</v>
      </c>
      <c r="P1770" s="36">
        <v>418525</v>
      </c>
      <c r="Q1770" s="36">
        <v>6</v>
      </c>
      <c r="R1770" s="36"/>
      <c r="S1770" s="36" t="s">
        <v>2185</v>
      </c>
      <c r="T1770" s="36" t="s">
        <v>2201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str">
        <f t="shared" si="234"/>
        <v/>
      </c>
    </row>
    <row r="1771" spans="14:59" x14ac:dyDescent="0.35">
      <c r="N1771">
        <f t="shared" si="236"/>
        <v>30</v>
      </c>
      <c r="O1771" s="330">
        <v>5</v>
      </c>
      <c r="P1771" s="36">
        <v>871781</v>
      </c>
      <c r="Q1771" s="36">
        <v>6</v>
      </c>
      <c r="R1771" s="36"/>
      <c r="S1771" s="36" t="s">
        <v>2185</v>
      </c>
      <c r="T1771" s="36" t="s">
        <v>2201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str">
        <f t="shared" si="234"/>
        <v/>
      </c>
    </row>
    <row r="1772" spans="14:59" x14ac:dyDescent="0.35">
      <c r="N1772">
        <f t="shared" si="236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2185</v>
      </c>
      <c r="T1772" s="36" t="s">
        <v>2201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str">
        <f t="shared" si="234"/>
        <v/>
      </c>
    </row>
    <row r="1773" spans="14:59" ht="15" thickBot="1" x14ac:dyDescent="0.4">
      <c r="O1773" s="331">
        <v>7</v>
      </c>
      <c r="P1773" s="328"/>
      <c r="Q1773" s="328"/>
      <c r="R1773" s="328"/>
      <c r="S1773" s="328" t="s">
        <v>2185</v>
      </c>
      <c r="T1773" s="328" t="s">
        <v>2201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str">
        <f t="shared" si="234"/>
        <v/>
      </c>
    </row>
    <row r="1774" spans="14:59" x14ac:dyDescent="0.3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2216</v>
      </c>
      <c r="U1774" s="1001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4"/>
      <c r="BA1774" s="320"/>
      <c r="BB1774" s="320"/>
      <c r="BC1774" s="320"/>
      <c r="BD1774" s="119"/>
      <c r="BF1774">
        <f>ROWS($U$46:U1774)</f>
        <v>1729</v>
      </c>
      <c r="BG1774" t="str">
        <f t="shared" si="234"/>
        <v/>
      </c>
    </row>
    <row r="1775" spans="14:59" x14ac:dyDescent="0.3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2216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str">
        <f t="shared" ref="BG1775:BG1838" si="237">IF(VALUE(SUBSTITUTE($B$5,"M",""))=U1775,BF1775,"")</f>
        <v/>
      </c>
    </row>
    <row r="1776" spans="14:59" x14ac:dyDescent="0.3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2216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str">
        <f t="shared" si="237"/>
        <v/>
      </c>
    </row>
    <row r="1777" spans="15:59" x14ac:dyDescent="0.3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2216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str">
        <f t="shared" si="237"/>
        <v/>
      </c>
    </row>
    <row r="1778" spans="15:59" x14ac:dyDescent="0.3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2216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str">
        <f t="shared" si="237"/>
        <v/>
      </c>
    </row>
    <row r="1779" spans="15:59" ht="15" thickBot="1" x14ac:dyDescent="0.4">
      <c r="O1779" s="331"/>
      <c r="P1779" s="328"/>
      <c r="Q1779" s="328"/>
      <c r="R1779" s="328"/>
      <c r="S1779" s="328" t="s">
        <v>1200</v>
      </c>
      <c r="T1779" s="328" t="s">
        <v>2216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str">
        <f t="shared" si="237"/>
        <v/>
      </c>
    </row>
    <row r="1780" spans="15:59" x14ac:dyDescent="0.3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2244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str">
        <f t="shared" si="237"/>
        <v/>
      </c>
    </row>
    <row r="1781" spans="15:59" x14ac:dyDescent="0.3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2244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str">
        <f t="shared" si="237"/>
        <v/>
      </c>
    </row>
    <row r="1782" spans="15:59" x14ac:dyDescent="0.35">
      <c r="O1782" s="330"/>
      <c r="P1782" s="36"/>
      <c r="Q1782" s="36"/>
      <c r="R1782" s="36"/>
      <c r="S1782" s="36" t="s">
        <v>1126</v>
      </c>
      <c r="T1782" s="36" t="s">
        <v>2244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str">
        <f t="shared" si="237"/>
        <v/>
      </c>
    </row>
    <row r="1783" spans="15:59" x14ac:dyDescent="0.35">
      <c r="O1783" s="330"/>
      <c r="P1783" s="36"/>
      <c r="Q1783" s="36"/>
      <c r="R1783" s="36"/>
      <c r="S1783" s="36" t="s">
        <v>1126</v>
      </c>
      <c r="T1783" s="36" t="s">
        <v>2244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str">
        <f t="shared" si="237"/>
        <v/>
      </c>
    </row>
    <row r="1784" spans="15:59" x14ac:dyDescent="0.35">
      <c r="O1784" s="330"/>
      <c r="P1784" s="36"/>
      <c r="Q1784" s="36"/>
      <c r="R1784" s="36"/>
      <c r="S1784" s="36" t="s">
        <v>1126</v>
      </c>
      <c r="T1784" s="36" t="s">
        <v>2244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str">
        <f t="shared" si="237"/>
        <v/>
      </c>
    </row>
    <row r="1785" spans="15:59" x14ac:dyDescent="0.35">
      <c r="O1785" s="330"/>
      <c r="P1785" s="36"/>
      <c r="Q1785" s="36"/>
      <c r="R1785" s="36"/>
      <c r="S1785" s="36" t="s">
        <v>1126</v>
      </c>
      <c r="T1785" s="36" t="s">
        <v>2244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str">
        <f t="shared" si="237"/>
        <v/>
      </c>
    </row>
    <row r="1786" spans="15:59" x14ac:dyDescent="0.35">
      <c r="O1786" s="330"/>
      <c r="P1786" s="36"/>
      <c r="Q1786" s="36"/>
      <c r="R1786" s="36"/>
      <c r="S1786" s="36" t="s">
        <v>1126</v>
      </c>
      <c r="T1786" s="36" t="s">
        <v>2244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str">
        <f t="shared" si="237"/>
        <v/>
      </c>
    </row>
    <row r="1787" spans="15:59" ht="15" thickBot="1" x14ac:dyDescent="0.4">
      <c r="O1787" s="485"/>
      <c r="P1787" s="486"/>
      <c r="Q1787" s="486"/>
      <c r="R1787" s="486"/>
      <c r="S1787" s="486" t="s">
        <v>1126</v>
      </c>
      <c r="T1787" s="486" t="s">
        <v>2244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str">
        <f t="shared" si="237"/>
        <v/>
      </c>
    </row>
    <row r="1788" spans="15:59" x14ac:dyDescent="0.3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2247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str">
        <f t="shared" si="237"/>
        <v/>
      </c>
    </row>
    <row r="1789" spans="15:59" x14ac:dyDescent="0.3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2247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str">
        <f t="shared" si="237"/>
        <v/>
      </c>
    </row>
    <row r="1790" spans="15:59" x14ac:dyDescent="0.3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2247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str">
        <f t="shared" si="237"/>
        <v/>
      </c>
    </row>
    <row r="1791" spans="15:59" x14ac:dyDescent="0.3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2247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str">
        <f t="shared" si="237"/>
        <v/>
      </c>
    </row>
    <row r="1792" spans="15:59" x14ac:dyDescent="0.3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2247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str">
        <f t="shared" si="237"/>
        <v/>
      </c>
    </row>
    <row r="1793" spans="15:59" x14ac:dyDescent="0.35">
      <c r="O1793" s="3"/>
      <c r="P1793" s="36"/>
      <c r="Q1793" s="36"/>
      <c r="R1793" s="36"/>
      <c r="S1793" s="36">
        <v>12</v>
      </c>
      <c r="T1793" s="36" t="s">
        <v>2247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str">
        <f t="shared" si="237"/>
        <v/>
      </c>
    </row>
    <row r="1794" spans="15:59" x14ac:dyDescent="0.35">
      <c r="O1794" s="3"/>
      <c r="P1794" s="36"/>
      <c r="Q1794" s="36"/>
      <c r="R1794" s="36"/>
      <c r="S1794" s="36">
        <v>12</v>
      </c>
      <c r="T1794" s="36" t="s">
        <v>2247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str">
        <f t="shared" si="237"/>
        <v/>
      </c>
    </row>
    <row r="1795" spans="15:59" ht="15" thickBot="1" x14ac:dyDescent="0.4">
      <c r="O1795" s="76"/>
      <c r="P1795" s="328"/>
      <c r="Q1795" s="328"/>
      <c r="R1795" s="328"/>
      <c r="S1795" s="328">
        <v>12</v>
      </c>
      <c r="T1795" s="328" t="s">
        <v>2247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str">
        <f t="shared" si="237"/>
        <v/>
      </c>
    </row>
    <row r="1796" spans="15:59" x14ac:dyDescent="0.3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2249</v>
      </c>
      <c r="U1796" s="1001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4"/>
      <c r="BA1796" s="320"/>
      <c r="BB1796" s="320"/>
      <c r="BC1796" s="320"/>
      <c r="BD1796" s="119"/>
      <c r="BF1796">
        <f>ROWS($U$46:U1796)</f>
        <v>1751</v>
      </c>
      <c r="BG1796" t="str">
        <f t="shared" si="237"/>
        <v/>
      </c>
    </row>
    <row r="1797" spans="15:59" x14ac:dyDescent="0.35">
      <c r="O1797" s="330"/>
      <c r="P1797" s="36"/>
      <c r="Q1797" s="36"/>
      <c r="R1797" s="36"/>
      <c r="S1797" s="36" t="s">
        <v>1421</v>
      </c>
      <c r="T1797" s="36" t="s">
        <v>2249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str">
        <f t="shared" si="237"/>
        <v/>
      </c>
    </row>
    <row r="1798" spans="15:59" x14ac:dyDescent="0.35">
      <c r="O1798" s="330"/>
      <c r="P1798" s="36"/>
      <c r="Q1798" s="36"/>
      <c r="R1798" s="36"/>
      <c r="S1798" s="36" t="s">
        <v>1421</v>
      </c>
      <c r="T1798" s="36" t="s">
        <v>2249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str">
        <f t="shared" si="237"/>
        <v/>
      </c>
    </row>
    <row r="1799" spans="15:59" x14ac:dyDescent="0.35">
      <c r="O1799" s="330"/>
      <c r="P1799" s="36"/>
      <c r="Q1799" s="36"/>
      <c r="R1799" s="36"/>
      <c r="S1799" s="36" t="s">
        <v>1421</v>
      </c>
      <c r="T1799" s="36" t="s">
        <v>2249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str">
        <f t="shared" si="237"/>
        <v/>
      </c>
    </row>
    <row r="1800" spans="15:59" x14ac:dyDescent="0.35">
      <c r="O1800" s="330"/>
      <c r="P1800" s="36"/>
      <c r="Q1800" s="36"/>
      <c r="R1800" s="36"/>
      <c r="S1800" s="36" t="s">
        <v>1421</v>
      </c>
      <c r="T1800" s="36" t="s">
        <v>2249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str">
        <f t="shared" si="237"/>
        <v/>
      </c>
    </row>
    <row r="1801" spans="15:59" ht="15" thickBot="1" x14ac:dyDescent="0.4">
      <c r="O1801" s="331"/>
      <c r="P1801" s="328"/>
      <c r="Q1801" s="328"/>
      <c r="R1801" s="328"/>
      <c r="S1801" s="328" t="s">
        <v>1421</v>
      </c>
      <c r="T1801" s="328" t="s">
        <v>2249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str">
        <f t="shared" si="237"/>
        <v/>
      </c>
    </row>
    <row r="1802" spans="15:59" x14ac:dyDescent="0.35">
      <c r="O1802" s="329">
        <v>1</v>
      </c>
      <c r="P1802" s="320">
        <v>1165882</v>
      </c>
      <c r="Q1802" s="320">
        <v>30</v>
      </c>
      <c r="R1802" s="320"/>
      <c r="S1802" s="1010" t="s">
        <v>2261</v>
      </c>
      <c r="T1802" s="320" t="s">
        <v>2262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str">
        <f t="shared" si="237"/>
        <v/>
      </c>
    </row>
    <row r="1803" spans="15:59" x14ac:dyDescent="0.35">
      <c r="O1803" s="330">
        <v>2</v>
      </c>
      <c r="P1803" s="36">
        <v>1209410</v>
      </c>
      <c r="Q1803" s="36">
        <v>27</v>
      </c>
      <c r="R1803" s="36"/>
      <c r="S1803" s="1011" t="s">
        <v>2261</v>
      </c>
      <c r="T1803" s="36" t="s">
        <v>2262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str">
        <f t="shared" si="237"/>
        <v/>
      </c>
    </row>
    <row r="1804" spans="15:59" x14ac:dyDescent="0.35">
      <c r="O1804" s="330">
        <v>3</v>
      </c>
      <c r="P1804" s="36">
        <v>1165880</v>
      </c>
      <c r="Q1804" s="36">
        <v>26</v>
      </c>
      <c r="R1804" s="36"/>
      <c r="S1804" s="1011" t="s">
        <v>2261</v>
      </c>
      <c r="T1804" s="36" t="s">
        <v>2262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str">
        <f t="shared" si="237"/>
        <v/>
      </c>
    </row>
    <row r="1805" spans="15:59" x14ac:dyDescent="0.35">
      <c r="O1805" s="330">
        <v>4</v>
      </c>
      <c r="P1805" s="36">
        <v>179734</v>
      </c>
      <c r="Q1805" s="36">
        <v>7</v>
      </c>
      <c r="R1805" s="36"/>
      <c r="S1805" s="1011" t="s">
        <v>2261</v>
      </c>
      <c r="T1805" s="36" t="s">
        <v>2262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str">
        <f t="shared" si="237"/>
        <v/>
      </c>
    </row>
    <row r="1806" spans="15:59" x14ac:dyDescent="0.35">
      <c r="O1806" s="330">
        <v>5</v>
      </c>
      <c r="P1806" s="36">
        <v>418525</v>
      </c>
      <c r="Q1806" s="36">
        <v>7</v>
      </c>
      <c r="R1806" s="36"/>
      <c r="S1806" s="1011" t="s">
        <v>2261</v>
      </c>
      <c r="T1806" s="36" t="s">
        <v>2262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str">
        <f t="shared" si="237"/>
        <v/>
      </c>
    </row>
    <row r="1807" spans="15:59" x14ac:dyDescent="0.35">
      <c r="O1807" s="330">
        <v>6</v>
      </c>
      <c r="P1807" s="36">
        <v>1189972</v>
      </c>
      <c r="Q1807" s="36">
        <v>7</v>
      </c>
      <c r="R1807" s="36"/>
      <c r="S1807" s="1011" t="s">
        <v>2261</v>
      </c>
      <c r="T1807" s="36" t="s">
        <v>2262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str">
        <f t="shared" si="237"/>
        <v/>
      </c>
    </row>
    <row r="1808" spans="15:59" ht="15" thickBot="1" x14ac:dyDescent="0.4">
      <c r="O1808" s="331">
        <v>7</v>
      </c>
      <c r="P1808" s="328">
        <v>1086351</v>
      </c>
      <c r="Q1808" s="328">
        <v>6</v>
      </c>
      <c r="R1808" s="328"/>
      <c r="S1808" s="1012" t="s">
        <v>2261</v>
      </c>
      <c r="T1808" s="328" t="s">
        <v>2262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str">
        <f t="shared" si="237"/>
        <v/>
      </c>
    </row>
    <row r="1809" spans="15:59" x14ac:dyDescent="0.35">
      <c r="O1809" s="329">
        <v>1</v>
      </c>
      <c r="P1809" s="320">
        <v>1219562</v>
      </c>
      <c r="Q1809" s="320">
        <v>42</v>
      </c>
      <c r="R1809" s="320"/>
      <c r="S1809" s="1010">
        <v>16</v>
      </c>
      <c r="T1809" s="320" t="s">
        <v>2263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str">
        <f t="shared" si="237"/>
        <v/>
      </c>
    </row>
    <row r="1810" spans="15:59" x14ac:dyDescent="0.35">
      <c r="O1810" s="330">
        <v>2</v>
      </c>
      <c r="P1810" s="36">
        <v>1228929</v>
      </c>
      <c r="Q1810" s="36">
        <v>37</v>
      </c>
      <c r="R1810" s="36"/>
      <c r="S1810" s="1011">
        <v>16</v>
      </c>
      <c r="T1810" s="36" t="s">
        <v>2263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str">
        <f t="shared" si="237"/>
        <v/>
      </c>
    </row>
    <row r="1811" spans="15:59" x14ac:dyDescent="0.35">
      <c r="O1811" s="330">
        <v>3</v>
      </c>
      <c r="P1811" s="36">
        <v>1165882</v>
      </c>
      <c r="Q1811" s="36">
        <v>28</v>
      </c>
      <c r="R1811" s="36"/>
      <c r="S1811" s="1011">
        <v>16</v>
      </c>
      <c r="T1811" s="36" t="s">
        <v>2263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str">
        <f t="shared" si="237"/>
        <v/>
      </c>
    </row>
    <row r="1812" spans="15:59" x14ac:dyDescent="0.35">
      <c r="O1812" s="330">
        <v>4</v>
      </c>
      <c r="P1812" s="36">
        <v>179734</v>
      </c>
      <c r="Q1812" s="36">
        <v>14</v>
      </c>
      <c r="R1812" s="36"/>
      <c r="S1812" s="1011">
        <v>16</v>
      </c>
      <c r="T1812" s="36" t="s">
        <v>2263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str">
        <f t="shared" si="237"/>
        <v/>
      </c>
    </row>
    <row r="1813" spans="15:59" x14ac:dyDescent="0.35">
      <c r="O1813" s="330">
        <v>5</v>
      </c>
      <c r="P1813" s="36">
        <v>1165880</v>
      </c>
      <c r="Q1813" s="36">
        <v>14</v>
      </c>
      <c r="R1813" s="36"/>
      <c r="S1813" s="1011">
        <v>16</v>
      </c>
      <c r="T1813" s="36" t="s">
        <v>2263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str">
        <f t="shared" si="237"/>
        <v/>
      </c>
    </row>
    <row r="1814" spans="15:59" x14ac:dyDescent="0.35">
      <c r="O1814" s="330">
        <v>6</v>
      </c>
      <c r="P1814" s="36">
        <v>1165838</v>
      </c>
      <c r="Q1814" s="36">
        <v>10</v>
      </c>
      <c r="R1814" s="36"/>
      <c r="S1814" s="1011">
        <v>16</v>
      </c>
      <c r="T1814" s="36" t="s">
        <v>2263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str">
        <f t="shared" si="237"/>
        <v/>
      </c>
    </row>
    <row r="1815" spans="15:59" ht="15" thickBot="1" x14ac:dyDescent="0.4">
      <c r="O1815" s="331">
        <v>7</v>
      </c>
      <c r="P1815" s="328">
        <v>1086351</v>
      </c>
      <c r="Q1815" s="328">
        <v>9</v>
      </c>
      <c r="R1815" s="328"/>
      <c r="S1815" s="1012">
        <v>16</v>
      </c>
      <c r="T1815" s="328" t="s">
        <v>2263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str">
        <f t="shared" si="237"/>
        <v/>
      </c>
    </row>
    <row r="1816" spans="15:59" x14ac:dyDescent="0.35">
      <c r="O1816" s="329">
        <v>1</v>
      </c>
      <c r="P1816" s="320">
        <v>1165882</v>
      </c>
      <c r="Q1816" s="320">
        <v>30</v>
      </c>
      <c r="R1816" s="320"/>
      <c r="S1816" s="1010">
        <v>12.25</v>
      </c>
      <c r="T1816" s="320" t="s">
        <v>2264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str">
        <f t="shared" si="237"/>
        <v/>
      </c>
    </row>
    <row r="1817" spans="15:59" x14ac:dyDescent="0.35">
      <c r="O1817" s="330">
        <v>2</v>
      </c>
      <c r="P1817" s="36">
        <v>1209410</v>
      </c>
      <c r="Q1817" s="36">
        <v>27</v>
      </c>
      <c r="R1817" s="36"/>
      <c r="S1817" s="1011">
        <v>12.25</v>
      </c>
      <c r="T1817" s="36" t="s">
        <v>2264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str">
        <f t="shared" si="237"/>
        <v/>
      </c>
    </row>
    <row r="1818" spans="15:59" x14ac:dyDescent="0.35">
      <c r="O1818" s="330">
        <v>3</v>
      </c>
      <c r="P1818" s="36">
        <v>1165880</v>
      </c>
      <c r="Q1818" s="36">
        <v>26</v>
      </c>
      <c r="R1818" s="36"/>
      <c r="S1818" s="1011">
        <v>12.25</v>
      </c>
      <c r="T1818" s="36" t="s">
        <v>2264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str">
        <f t="shared" si="237"/>
        <v/>
      </c>
    </row>
    <row r="1819" spans="15:59" x14ac:dyDescent="0.35">
      <c r="O1819" s="330">
        <v>4</v>
      </c>
      <c r="P1819" s="36">
        <v>179734</v>
      </c>
      <c r="Q1819" s="36">
        <v>7</v>
      </c>
      <c r="R1819" s="36"/>
      <c r="S1819" s="1011">
        <v>12.25</v>
      </c>
      <c r="T1819" s="36" t="s">
        <v>2264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str">
        <f t="shared" si="237"/>
        <v/>
      </c>
    </row>
    <row r="1820" spans="15:59" x14ac:dyDescent="0.35">
      <c r="O1820" s="330">
        <v>5</v>
      </c>
      <c r="P1820" s="36">
        <v>418525</v>
      </c>
      <c r="Q1820" s="36">
        <v>7</v>
      </c>
      <c r="R1820" s="36"/>
      <c r="S1820" s="1011">
        <v>12.25</v>
      </c>
      <c r="T1820" s="36" t="s">
        <v>2264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str">
        <f t="shared" si="237"/>
        <v/>
      </c>
    </row>
    <row r="1821" spans="15:59" x14ac:dyDescent="0.35">
      <c r="O1821" s="330">
        <v>6</v>
      </c>
      <c r="P1821" s="36">
        <v>1189972</v>
      </c>
      <c r="Q1821" s="36">
        <v>7</v>
      </c>
      <c r="R1821" s="36"/>
      <c r="S1821" s="1011">
        <v>12.25</v>
      </c>
      <c r="T1821" s="36" t="s">
        <v>2264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str">
        <f t="shared" si="237"/>
        <v/>
      </c>
    </row>
    <row r="1822" spans="15:59" ht="15" thickBot="1" x14ac:dyDescent="0.4">
      <c r="O1822" s="331">
        <v>7</v>
      </c>
      <c r="P1822" s="328">
        <v>1086351</v>
      </c>
      <c r="Q1822" s="328">
        <v>6</v>
      </c>
      <c r="R1822" s="328"/>
      <c r="S1822" s="1012">
        <v>12.25</v>
      </c>
      <c r="T1822" s="328" t="s">
        <v>2264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str">
        <f t="shared" si="237"/>
        <v/>
      </c>
    </row>
    <row r="1823" spans="15:59" x14ac:dyDescent="0.35">
      <c r="O1823" s="329">
        <v>1</v>
      </c>
      <c r="P1823" s="320">
        <v>1165882</v>
      </c>
      <c r="Q1823" s="320">
        <v>19</v>
      </c>
      <c r="R1823" s="320"/>
      <c r="S1823" s="1010">
        <v>8.5</v>
      </c>
      <c r="T1823" s="320" t="s">
        <v>2265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str">
        <f t="shared" si="237"/>
        <v/>
      </c>
    </row>
    <row r="1824" spans="15:59" x14ac:dyDescent="0.35">
      <c r="O1824" s="330">
        <v>2</v>
      </c>
      <c r="P1824" s="36">
        <v>1189972</v>
      </c>
      <c r="Q1824" s="36">
        <v>14</v>
      </c>
      <c r="R1824" s="36"/>
      <c r="S1824" s="1011">
        <v>8.5</v>
      </c>
      <c r="T1824" s="36" t="s">
        <v>2265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str">
        <f t="shared" si="237"/>
        <v/>
      </c>
    </row>
    <row r="1825" spans="15:59" x14ac:dyDescent="0.35">
      <c r="O1825" s="330">
        <v>3</v>
      </c>
      <c r="P1825" s="36">
        <v>1209410</v>
      </c>
      <c r="Q1825" s="36">
        <v>12</v>
      </c>
      <c r="R1825" s="36"/>
      <c r="S1825" s="1011">
        <v>8.5</v>
      </c>
      <c r="T1825" s="36" t="s">
        <v>2265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str">
        <f t="shared" si="237"/>
        <v/>
      </c>
    </row>
    <row r="1826" spans="15:59" x14ac:dyDescent="0.35">
      <c r="O1826" s="330">
        <v>4</v>
      </c>
      <c r="P1826" s="36">
        <v>1165880</v>
      </c>
      <c r="Q1826" s="36">
        <v>11</v>
      </c>
      <c r="R1826" s="36"/>
      <c r="S1826" s="1011">
        <v>8.5</v>
      </c>
      <c r="T1826" s="36" t="s">
        <v>2265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str">
        <f t="shared" si="237"/>
        <v/>
      </c>
    </row>
    <row r="1827" spans="15:59" x14ac:dyDescent="0.35">
      <c r="O1827" s="330">
        <v>5</v>
      </c>
      <c r="P1827" s="36">
        <v>418525</v>
      </c>
      <c r="Q1827" s="36">
        <v>7</v>
      </c>
      <c r="R1827" s="36"/>
      <c r="S1827" s="1011">
        <v>8.5</v>
      </c>
      <c r="T1827" s="36" t="s">
        <v>2265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str">
        <f t="shared" si="237"/>
        <v/>
      </c>
    </row>
    <row r="1828" spans="15:59" x14ac:dyDescent="0.35">
      <c r="O1828" s="330"/>
      <c r="P1828" s="36"/>
      <c r="Q1828" s="36"/>
      <c r="R1828" s="36"/>
      <c r="S1828" s="1011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str">
        <f t="shared" si="237"/>
        <v/>
      </c>
    </row>
    <row r="1829" spans="15:59" ht="15" thickBot="1" x14ac:dyDescent="0.4">
      <c r="O1829" s="485"/>
      <c r="P1829" s="486"/>
      <c r="Q1829" s="486"/>
      <c r="R1829" s="486"/>
      <c r="S1829" s="1013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str">
        <f t="shared" si="237"/>
        <v/>
      </c>
    </row>
    <row r="1830" spans="15:59" x14ac:dyDescent="0.35">
      <c r="O1830" s="329">
        <v>1</v>
      </c>
      <c r="P1830" s="320">
        <v>1165840</v>
      </c>
      <c r="Q1830" s="320">
        <v>30</v>
      </c>
      <c r="R1830" s="320"/>
      <c r="S1830" s="1010">
        <v>12.25</v>
      </c>
      <c r="T1830" s="320" t="s">
        <v>2266</v>
      </c>
      <c r="U1830" s="1014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str">
        <f t="shared" si="237"/>
        <v/>
      </c>
    </row>
    <row r="1831" spans="15:59" x14ac:dyDescent="0.35">
      <c r="O1831" s="330">
        <v>2</v>
      </c>
      <c r="P1831" s="36">
        <v>1165882</v>
      </c>
      <c r="Q1831" s="36">
        <v>19</v>
      </c>
      <c r="R1831" s="36"/>
      <c r="S1831" s="1011">
        <v>12.25</v>
      </c>
      <c r="T1831" s="36" t="s">
        <v>2266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str">
        <f t="shared" si="237"/>
        <v/>
      </c>
    </row>
    <row r="1832" spans="15:59" x14ac:dyDescent="0.35">
      <c r="O1832" s="330">
        <v>3</v>
      </c>
      <c r="P1832" s="36">
        <v>1228929</v>
      </c>
      <c r="Q1832" s="36">
        <v>17</v>
      </c>
      <c r="R1832" s="36"/>
      <c r="S1832" s="1011">
        <v>12.25</v>
      </c>
      <c r="T1832" s="36" t="s">
        <v>2266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str">
        <f t="shared" si="237"/>
        <v/>
      </c>
    </row>
    <row r="1833" spans="15:59" x14ac:dyDescent="0.35">
      <c r="O1833" s="330">
        <v>4</v>
      </c>
      <c r="P1833" s="36">
        <v>179734</v>
      </c>
      <c r="Q1833" s="36">
        <v>6</v>
      </c>
      <c r="R1833" s="36"/>
      <c r="S1833" s="1011">
        <v>12.25</v>
      </c>
      <c r="T1833" s="36" t="s">
        <v>2266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str">
        <f t="shared" si="237"/>
        <v/>
      </c>
    </row>
    <row r="1834" spans="15:59" x14ac:dyDescent="0.35">
      <c r="O1834" s="330">
        <v>5</v>
      </c>
      <c r="P1834" s="36">
        <v>871781</v>
      </c>
      <c r="Q1834" s="36">
        <v>6</v>
      </c>
      <c r="R1834" s="36"/>
      <c r="S1834" s="1011">
        <v>12.25</v>
      </c>
      <c r="T1834" s="36" t="s">
        <v>2266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str">
        <f t="shared" si="237"/>
        <v/>
      </c>
    </row>
    <row r="1835" spans="15:59" x14ac:dyDescent="0.35">
      <c r="O1835" s="330">
        <v>6</v>
      </c>
      <c r="P1835" s="36">
        <v>1189972</v>
      </c>
      <c r="Q1835" s="36">
        <v>6</v>
      </c>
      <c r="R1835" s="36"/>
      <c r="S1835" s="1011">
        <v>12.25</v>
      </c>
      <c r="T1835" s="36" t="s">
        <v>2266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str">
        <f t="shared" si="237"/>
        <v/>
      </c>
    </row>
    <row r="1836" spans="15:59" ht="15" thickBot="1" x14ac:dyDescent="0.4">
      <c r="O1836" s="485">
        <v>7</v>
      </c>
      <c r="P1836" s="486">
        <v>1071262</v>
      </c>
      <c r="Q1836" s="486">
        <v>1</v>
      </c>
      <c r="R1836" s="486"/>
      <c r="S1836" s="1013">
        <v>12.25</v>
      </c>
      <c r="T1836" s="486" t="s">
        <v>2266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str">
        <f t="shared" si="237"/>
        <v/>
      </c>
    </row>
    <row r="1837" spans="15:59" x14ac:dyDescent="0.35">
      <c r="O1837" s="329">
        <v>1</v>
      </c>
      <c r="P1837" s="320">
        <v>1187983</v>
      </c>
      <c r="Q1837" s="320">
        <v>28</v>
      </c>
      <c r="R1837" s="320"/>
      <c r="S1837" s="1010">
        <v>16</v>
      </c>
      <c r="T1837" s="320" t="s">
        <v>2262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str">
        <f t="shared" si="237"/>
        <v/>
      </c>
    </row>
    <row r="1838" spans="15:59" x14ac:dyDescent="0.35">
      <c r="O1838" s="330">
        <v>2</v>
      </c>
      <c r="P1838" s="36">
        <v>1219562</v>
      </c>
      <c r="Q1838" s="36">
        <v>42</v>
      </c>
      <c r="R1838" s="36"/>
      <c r="S1838" s="1011">
        <v>16</v>
      </c>
      <c r="T1838" s="36" t="s">
        <v>2262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str">
        <f t="shared" si="237"/>
        <v/>
      </c>
    </row>
    <row r="1839" spans="15:59" x14ac:dyDescent="0.35">
      <c r="O1839" s="330">
        <v>3</v>
      </c>
      <c r="P1839" s="36">
        <v>1187982</v>
      </c>
      <c r="Q1839" s="36">
        <v>24</v>
      </c>
      <c r="R1839" s="36"/>
      <c r="S1839" s="1011">
        <v>16</v>
      </c>
      <c r="T1839" s="36" t="s">
        <v>2262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str">
        <f t="shared" ref="BG1839:BG1902" si="238">IF(VALUE(SUBSTITUTE($B$5,"M",""))=U1839,BF1839,"")</f>
        <v/>
      </c>
    </row>
    <row r="1840" spans="15:59" x14ac:dyDescent="0.35">
      <c r="O1840" s="330">
        <v>4</v>
      </c>
      <c r="P1840" s="36">
        <v>871781</v>
      </c>
      <c r="Q1840" s="36">
        <v>7</v>
      </c>
      <c r="R1840" s="36"/>
      <c r="S1840" s="1011">
        <v>16</v>
      </c>
      <c r="T1840" s="36" t="s">
        <v>2262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str">
        <f t="shared" si="238"/>
        <v/>
      </c>
    </row>
    <row r="1841" spans="14:59" x14ac:dyDescent="0.35">
      <c r="O1841" s="330">
        <v>5</v>
      </c>
      <c r="P1841" s="36">
        <v>1086351</v>
      </c>
      <c r="Q1841" s="36">
        <v>9</v>
      </c>
      <c r="R1841" s="36"/>
      <c r="S1841" s="1011">
        <v>16</v>
      </c>
      <c r="T1841" s="36" t="s">
        <v>2262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str">
        <f t="shared" si="238"/>
        <v/>
      </c>
    </row>
    <row r="1842" spans="14:59" x14ac:dyDescent="0.35">
      <c r="O1842" s="330">
        <v>6</v>
      </c>
      <c r="P1842" s="36">
        <v>1228929</v>
      </c>
      <c r="Q1842" s="36">
        <v>37</v>
      </c>
      <c r="R1842" s="36"/>
      <c r="S1842" s="1011">
        <v>16</v>
      </c>
      <c r="T1842" s="36" t="s">
        <v>2262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str">
        <f t="shared" si="238"/>
        <v/>
      </c>
    </row>
    <row r="1843" spans="14:59" ht="15" thickBot="1" x14ac:dyDescent="0.4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2">
        <v>16</v>
      </c>
      <c r="T1843" s="328" t="s">
        <v>2262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str">
        <f t="shared" si="238"/>
        <v/>
      </c>
    </row>
    <row r="1844" spans="14:59" x14ac:dyDescent="0.35">
      <c r="N1844">
        <f t="shared" ref="N1844:N1903" si="239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2098</v>
      </c>
      <c r="U1844" s="1001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4"/>
      <c r="BA1844" s="320"/>
      <c r="BB1844" s="320"/>
      <c r="BC1844" s="320"/>
      <c r="BD1844" s="119"/>
      <c r="BF1844">
        <f>ROWS($U$46:U1844)</f>
        <v>1799</v>
      </c>
      <c r="BG1844" t="str">
        <f t="shared" si="238"/>
        <v/>
      </c>
    </row>
    <row r="1845" spans="14:59" x14ac:dyDescent="0.35">
      <c r="N1845">
        <f t="shared" si="239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2098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str">
        <f t="shared" si="238"/>
        <v/>
      </c>
    </row>
    <row r="1846" spans="14:59" x14ac:dyDescent="0.35">
      <c r="N1846">
        <f t="shared" si="239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2098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str">
        <f t="shared" si="238"/>
        <v/>
      </c>
    </row>
    <row r="1847" spans="14:59" x14ac:dyDescent="0.35">
      <c r="N1847">
        <f t="shared" si="239"/>
        <v>0</v>
      </c>
      <c r="O1847" s="330"/>
      <c r="P1847" s="36"/>
      <c r="Q1847" s="36"/>
      <c r="R1847" s="36"/>
      <c r="S1847" s="36" t="s">
        <v>1198</v>
      </c>
      <c r="T1847" s="36" t="s">
        <v>2098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str">
        <f t="shared" si="238"/>
        <v/>
      </c>
    </row>
    <row r="1848" spans="14:59" x14ac:dyDescent="0.35">
      <c r="N1848">
        <f t="shared" si="239"/>
        <v>0</v>
      </c>
      <c r="O1848" s="330"/>
      <c r="P1848" s="36"/>
      <c r="Q1848" s="36"/>
      <c r="R1848" s="36"/>
      <c r="S1848" s="36" t="s">
        <v>1198</v>
      </c>
      <c r="T1848" s="36" t="s">
        <v>2098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str">
        <f t="shared" si="238"/>
        <v/>
      </c>
    </row>
    <row r="1849" spans="14:59" ht="15" thickBot="1" x14ac:dyDescent="0.4">
      <c r="N1849">
        <f t="shared" si="239"/>
        <v>0</v>
      </c>
      <c r="O1849" s="331"/>
      <c r="P1849" s="328"/>
      <c r="Q1849" s="328"/>
      <c r="R1849" s="328"/>
      <c r="S1849" s="328" t="s">
        <v>1198</v>
      </c>
      <c r="T1849" s="328" t="s">
        <v>2098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str">
        <f t="shared" si="238"/>
        <v/>
      </c>
    </row>
    <row r="1850" spans="14:59" x14ac:dyDescent="0.35">
      <c r="N1850">
        <f t="shared" si="239"/>
        <v>32</v>
      </c>
      <c r="O1850" s="329">
        <v>1</v>
      </c>
      <c r="P1850" s="320">
        <v>1271790</v>
      </c>
      <c r="Q1850" s="320">
        <v>32</v>
      </c>
      <c r="R1850" s="320"/>
      <c r="S1850" s="1010" t="s">
        <v>1938</v>
      </c>
      <c r="T1850" s="320" t="s">
        <v>2276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str">
        <f t="shared" si="238"/>
        <v/>
      </c>
    </row>
    <row r="1851" spans="14:59" x14ac:dyDescent="0.35">
      <c r="N1851">
        <f t="shared" si="239"/>
        <v>44</v>
      </c>
      <c r="O1851" s="330">
        <v>2</v>
      </c>
      <c r="P1851" s="36">
        <v>1100755</v>
      </c>
      <c r="Q1851" s="36">
        <v>22</v>
      </c>
      <c r="R1851" s="36"/>
      <c r="S1851" s="1011" t="s">
        <v>1938</v>
      </c>
      <c r="T1851" s="36" t="s">
        <v>2276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str">
        <f t="shared" si="238"/>
        <v/>
      </c>
    </row>
    <row r="1852" spans="14:59" x14ac:dyDescent="0.35">
      <c r="N1852">
        <f t="shared" si="239"/>
        <v>21</v>
      </c>
      <c r="O1852" s="330">
        <v>3</v>
      </c>
      <c r="P1852" s="36">
        <v>871781</v>
      </c>
      <c r="Q1852" s="36">
        <v>7</v>
      </c>
      <c r="R1852" s="36"/>
      <c r="S1852" s="1011" t="s">
        <v>1938</v>
      </c>
      <c r="T1852" s="36" t="s">
        <v>2276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str">
        <f t="shared" si="238"/>
        <v/>
      </c>
    </row>
    <row r="1853" spans="14:59" x14ac:dyDescent="0.35">
      <c r="N1853">
        <f t="shared" si="239"/>
        <v>24</v>
      </c>
      <c r="O1853" s="330">
        <v>4</v>
      </c>
      <c r="P1853" s="36">
        <v>1100753</v>
      </c>
      <c r="Q1853" s="36">
        <v>6</v>
      </c>
      <c r="R1853" s="36"/>
      <c r="S1853" s="1011" t="s">
        <v>1938</v>
      </c>
      <c r="T1853" s="36" t="s">
        <v>2276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str">
        <f t="shared" si="238"/>
        <v/>
      </c>
    </row>
    <row r="1854" spans="14:59" x14ac:dyDescent="0.35">
      <c r="N1854">
        <f t="shared" si="239"/>
        <v>100</v>
      </c>
      <c r="O1854" s="330">
        <v>5</v>
      </c>
      <c r="P1854" s="36">
        <v>1146737</v>
      </c>
      <c r="Q1854" s="36">
        <v>20</v>
      </c>
      <c r="R1854" s="36"/>
      <c r="S1854" s="1011" t="s">
        <v>1938</v>
      </c>
      <c r="T1854" s="36" t="s">
        <v>2276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str">
        <f t="shared" si="238"/>
        <v/>
      </c>
    </row>
    <row r="1855" spans="14:59" x14ac:dyDescent="0.35">
      <c r="N1855">
        <f t="shared" si="239"/>
        <v>6</v>
      </c>
      <c r="O1855" s="330">
        <v>6</v>
      </c>
      <c r="P1855" s="36">
        <v>1104086</v>
      </c>
      <c r="Q1855" s="36">
        <v>1</v>
      </c>
      <c r="R1855" s="36"/>
      <c r="S1855" s="1011" t="s">
        <v>1938</v>
      </c>
      <c r="T1855" s="36" t="s">
        <v>2276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str">
        <f t="shared" si="238"/>
        <v/>
      </c>
    </row>
    <row r="1856" spans="14:59" ht="15" thickBot="1" x14ac:dyDescent="0.4">
      <c r="N1856">
        <f t="shared" si="239"/>
        <v>0</v>
      </c>
      <c r="O1856" s="485"/>
      <c r="P1856" s="486"/>
      <c r="Q1856" s="486"/>
      <c r="R1856" s="486"/>
      <c r="S1856" s="1013" t="s">
        <v>1938</v>
      </c>
      <c r="T1856" s="486" t="s">
        <v>2276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str">
        <f t="shared" si="238"/>
        <v/>
      </c>
    </row>
    <row r="1857" spans="14:59" x14ac:dyDescent="0.35">
      <c r="N1857">
        <f t="shared" si="239"/>
        <v>0</v>
      </c>
      <c r="O1857" s="329"/>
      <c r="P1857" s="320"/>
      <c r="Q1857" s="320"/>
      <c r="R1857" s="320"/>
      <c r="S1857" s="320"/>
      <c r="T1857" s="320"/>
      <c r="U1857" s="1014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str">
        <f t="shared" si="238"/>
        <v/>
      </c>
    </row>
    <row r="1858" spans="14:59" x14ac:dyDescent="0.35">
      <c r="N1858">
        <f t="shared" si="239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str">
        <f t="shared" si="238"/>
        <v/>
      </c>
    </row>
    <row r="1859" spans="14:59" x14ac:dyDescent="0.35">
      <c r="N1859">
        <f t="shared" si="239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str">
        <f t="shared" si="238"/>
        <v/>
      </c>
    </row>
    <row r="1860" spans="14:59" x14ac:dyDescent="0.35">
      <c r="N1860">
        <f t="shared" si="239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str">
        <f t="shared" si="238"/>
        <v/>
      </c>
    </row>
    <row r="1861" spans="14:59" x14ac:dyDescent="0.35">
      <c r="N1861">
        <f t="shared" si="239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str">
        <f t="shared" si="238"/>
        <v/>
      </c>
    </row>
    <row r="1862" spans="14:59" ht="15" thickBot="1" x14ac:dyDescent="0.4">
      <c r="N1862">
        <f t="shared" si="239"/>
        <v>0</v>
      </c>
      <c r="O1862" s="331"/>
      <c r="P1862" s="328"/>
      <c r="Q1862" s="328"/>
      <c r="R1862" s="328"/>
      <c r="S1862" s="328"/>
      <c r="T1862" s="328"/>
      <c r="U1862" s="1016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str">
        <f t="shared" si="238"/>
        <v/>
      </c>
    </row>
    <row r="1863" spans="14:59" x14ac:dyDescent="0.35">
      <c r="N1863">
        <f t="shared" si="239"/>
        <v>43</v>
      </c>
      <c r="O1863" s="1015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2280</v>
      </c>
      <c r="U1863" s="1001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str">
        <f t="shared" si="238"/>
        <v/>
      </c>
    </row>
    <row r="1864" spans="14:59" x14ac:dyDescent="0.35">
      <c r="N1864">
        <f t="shared" si="239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2280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str">
        <f t="shared" si="238"/>
        <v/>
      </c>
    </row>
    <row r="1865" spans="14:59" x14ac:dyDescent="0.35">
      <c r="N1865">
        <f t="shared" si="239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2280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str">
        <f t="shared" si="238"/>
        <v/>
      </c>
    </row>
    <row r="1866" spans="14:59" x14ac:dyDescent="0.35">
      <c r="N1866">
        <f t="shared" si="239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2280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str">
        <f t="shared" si="238"/>
        <v/>
      </c>
    </row>
    <row r="1867" spans="14:59" x14ac:dyDescent="0.35">
      <c r="N1867">
        <f t="shared" si="239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2280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str">
        <f t="shared" si="238"/>
        <v/>
      </c>
    </row>
    <row r="1868" spans="14:59" ht="15" thickBot="1" x14ac:dyDescent="0.4">
      <c r="N1868">
        <f t="shared" si="239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2280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str">
        <f t="shared" si="238"/>
        <v/>
      </c>
    </row>
    <row r="1869" spans="14:59" x14ac:dyDescent="0.35">
      <c r="N1869">
        <f t="shared" si="239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2279</v>
      </c>
      <c r="T1869" s="320" t="s">
        <v>2281</v>
      </c>
      <c r="U1869" s="1001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4"/>
      <c r="BA1869" s="320"/>
      <c r="BB1869" s="320"/>
      <c r="BC1869" s="320"/>
      <c r="BD1869" s="119"/>
      <c r="BF1869">
        <f>ROWS($U$46:U1869)</f>
        <v>1824</v>
      </c>
      <c r="BG1869" t="str">
        <f t="shared" si="238"/>
        <v/>
      </c>
    </row>
    <row r="1870" spans="14:59" x14ac:dyDescent="0.35">
      <c r="N1870">
        <f t="shared" si="239"/>
        <v>36</v>
      </c>
      <c r="O1870" s="330">
        <v>2</v>
      </c>
      <c r="P1870" s="36">
        <v>410851</v>
      </c>
      <c r="Q1870" s="36">
        <v>18</v>
      </c>
      <c r="R1870" s="36"/>
      <c r="S1870" s="36" t="s">
        <v>2279</v>
      </c>
      <c r="T1870" s="36" t="s">
        <v>2281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str">
        <f t="shared" si="238"/>
        <v/>
      </c>
    </row>
    <row r="1871" spans="14:59" x14ac:dyDescent="0.35">
      <c r="N1871">
        <f t="shared" si="239"/>
        <v>18</v>
      </c>
      <c r="O1871" s="330">
        <v>3</v>
      </c>
      <c r="P1871" s="36">
        <v>649901</v>
      </c>
      <c r="Q1871" s="36">
        <v>6</v>
      </c>
      <c r="R1871" s="36"/>
      <c r="S1871" s="36" t="s">
        <v>2279</v>
      </c>
      <c r="T1871" s="36" t="s">
        <v>2281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str">
        <f t="shared" si="238"/>
        <v/>
      </c>
    </row>
    <row r="1872" spans="14:59" x14ac:dyDescent="0.35">
      <c r="N1872">
        <f t="shared" si="239"/>
        <v>24</v>
      </c>
      <c r="O1872" s="330">
        <v>4</v>
      </c>
      <c r="P1872" s="36">
        <v>1165879</v>
      </c>
      <c r="Q1872" s="36">
        <v>6</v>
      </c>
      <c r="R1872" s="36"/>
      <c r="S1872" s="36" t="s">
        <v>2279</v>
      </c>
      <c r="T1872" s="36" t="s">
        <v>2281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str">
        <f t="shared" si="238"/>
        <v/>
      </c>
    </row>
    <row r="1873" spans="14:59" x14ac:dyDescent="0.35">
      <c r="N1873">
        <f t="shared" si="239"/>
        <v>0</v>
      </c>
      <c r="O1873" s="330"/>
      <c r="P1873" s="36"/>
      <c r="Q1873" s="36"/>
      <c r="R1873" s="36"/>
      <c r="S1873" s="36" t="s">
        <v>2279</v>
      </c>
      <c r="T1873" s="36" t="s">
        <v>2281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str">
        <f t="shared" si="238"/>
        <v/>
      </c>
    </row>
    <row r="1874" spans="14:59" ht="15" thickBot="1" x14ac:dyDescent="0.4">
      <c r="N1874">
        <f t="shared" si="239"/>
        <v>0</v>
      </c>
      <c r="O1874" s="331"/>
      <c r="P1874" s="328"/>
      <c r="Q1874" s="328"/>
      <c r="R1874" s="328"/>
      <c r="S1874" s="328" t="s">
        <v>2279</v>
      </c>
      <c r="T1874" s="328" t="s">
        <v>2281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str">
        <f t="shared" si="238"/>
        <v/>
      </c>
    </row>
    <row r="1875" spans="14:59" x14ac:dyDescent="0.35">
      <c r="N1875">
        <f t="shared" si="239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2282</v>
      </c>
      <c r="U1875" s="1014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str">
        <f t="shared" si="238"/>
        <v/>
      </c>
    </row>
    <row r="1876" spans="14:59" x14ac:dyDescent="0.35">
      <c r="N1876">
        <f t="shared" si="239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2282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str">
        <f t="shared" si="238"/>
        <v/>
      </c>
    </row>
    <row r="1877" spans="14:59" x14ac:dyDescent="0.35">
      <c r="N1877">
        <f t="shared" si="239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2282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str">
        <f t="shared" si="238"/>
        <v/>
      </c>
    </row>
    <row r="1878" spans="14:59" x14ac:dyDescent="0.35">
      <c r="N1878">
        <f t="shared" si="239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2282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str">
        <f t="shared" si="238"/>
        <v/>
      </c>
    </row>
    <row r="1879" spans="14:59" x14ac:dyDescent="0.35">
      <c r="N1879">
        <f t="shared" si="239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2282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str">
        <f t="shared" si="238"/>
        <v/>
      </c>
    </row>
    <row r="1880" spans="14:59" x14ac:dyDescent="0.35">
      <c r="N1880">
        <f t="shared" si="239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2282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str">
        <f t="shared" si="238"/>
        <v/>
      </c>
    </row>
    <row r="1881" spans="14:59" ht="15" thickBot="1" x14ac:dyDescent="0.4">
      <c r="N1881">
        <f t="shared" si="239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2282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str">
        <f t="shared" si="238"/>
        <v/>
      </c>
    </row>
    <row r="1882" spans="14:59" x14ac:dyDescent="0.35">
      <c r="N1882">
        <f t="shared" si="239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2283</v>
      </c>
      <c r="U1882" s="1014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str">
        <f t="shared" si="238"/>
        <v/>
      </c>
    </row>
    <row r="1883" spans="14:59" x14ac:dyDescent="0.35">
      <c r="N1883">
        <f t="shared" si="239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2283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str">
        <f t="shared" si="238"/>
        <v/>
      </c>
    </row>
    <row r="1884" spans="14:59" x14ac:dyDescent="0.35">
      <c r="N1884">
        <f t="shared" si="239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2283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str">
        <f t="shared" si="238"/>
        <v/>
      </c>
    </row>
    <row r="1885" spans="14:59" x14ac:dyDescent="0.35">
      <c r="N1885">
        <f t="shared" si="239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2283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str">
        <f t="shared" si="238"/>
        <v/>
      </c>
    </row>
    <row r="1886" spans="14:59" x14ac:dyDescent="0.35">
      <c r="N1886">
        <f t="shared" si="239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2283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str">
        <f t="shared" si="238"/>
        <v/>
      </c>
    </row>
    <row r="1887" spans="14:59" x14ac:dyDescent="0.35">
      <c r="N1887">
        <f t="shared" si="239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2283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str">
        <f t="shared" si="238"/>
        <v/>
      </c>
    </row>
    <row r="1888" spans="14:59" x14ac:dyDescent="0.35">
      <c r="N1888">
        <f t="shared" si="239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2283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str">
        <f t="shared" si="238"/>
        <v/>
      </c>
    </row>
    <row r="1889" spans="14:59" x14ac:dyDescent="0.35">
      <c r="N1889">
        <f t="shared" si="239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2283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str">
        <f t="shared" si="238"/>
        <v/>
      </c>
    </row>
    <row r="1890" spans="14:59" ht="15" thickBot="1" x14ac:dyDescent="0.4">
      <c r="N1890">
        <f t="shared" si="239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2283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str">
        <f t="shared" si="238"/>
        <v/>
      </c>
    </row>
    <row r="1891" spans="14:59" x14ac:dyDescent="0.35">
      <c r="N1891">
        <f t="shared" si="239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1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4"/>
      <c r="BA1891" s="320"/>
      <c r="BB1891" s="320"/>
      <c r="BC1891" s="320"/>
      <c r="BD1891" s="119"/>
      <c r="BF1891">
        <f>ROWS($U$46:U1891)</f>
        <v>1846</v>
      </c>
      <c r="BG1891" t="str">
        <f t="shared" si="238"/>
        <v/>
      </c>
    </row>
    <row r="1892" spans="14:59" x14ac:dyDescent="0.35">
      <c r="N1892">
        <f t="shared" si="239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str">
        <f t="shared" si="238"/>
        <v/>
      </c>
    </row>
    <row r="1893" spans="14:59" x14ac:dyDescent="0.35">
      <c r="N1893">
        <f t="shared" si="239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str">
        <f t="shared" si="238"/>
        <v/>
      </c>
    </row>
    <row r="1894" spans="14:59" x14ac:dyDescent="0.35">
      <c r="N1894">
        <f t="shared" si="239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str">
        <f t="shared" si="238"/>
        <v/>
      </c>
    </row>
    <row r="1895" spans="14:59" x14ac:dyDescent="0.35">
      <c r="N1895">
        <f t="shared" si="239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str">
        <f t="shared" si="238"/>
        <v/>
      </c>
    </row>
    <row r="1896" spans="14:59" ht="15" thickBot="1" x14ac:dyDescent="0.4">
      <c r="N1896">
        <f t="shared" si="239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str">
        <f t="shared" si="238"/>
        <v/>
      </c>
    </row>
    <row r="1897" spans="14:59" x14ac:dyDescent="0.35">
      <c r="N1897">
        <f t="shared" si="239"/>
        <v>47</v>
      </c>
      <c r="O1897" s="329">
        <v>1</v>
      </c>
      <c r="P1897" s="320">
        <v>1271790</v>
      </c>
      <c r="Q1897" s="320">
        <v>47</v>
      </c>
      <c r="R1897" s="320"/>
      <c r="S1897" s="1010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str">
        <f t="shared" si="238"/>
        <v/>
      </c>
    </row>
    <row r="1898" spans="14:59" x14ac:dyDescent="0.35">
      <c r="N1898">
        <f t="shared" si="239"/>
        <v>70</v>
      </c>
      <c r="O1898" s="330">
        <v>2</v>
      </c>
      <c r="P1898" s="36">
        <v>179734</v>
      </c>
      <c r="Q1898" s="36">
        <v>35</v>
      </c>
      <c r="R1898" s="36"/>
      <c r="S1898" s="1011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str">
        <f t="shared" si="238"/>
        <v/>
      </c>
    </row>
    <row r="1899" spans="14:59" x14ac:dyDescent="0.35">
      <c r="N1899">
        <f t="shared" si="239"/>
        <v>99</v>
      </c>
      <c r="O1899" s="330">
        <v>3</v>
      </c>
      <c r="P1899" s="36">
        <v>1146737</v>
      </c>
      <c r="Q1899" s="36">
        <v>33</v>
      </c>
      <c r="R1899" s="36"/>
      <c r="S1899" s="1011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str">
        <f t="shared" si="238"/>
        <v/>
      </c>
    </row>
    <row r="1900" spans="14:59" x14ac:dyDescent="0.35">
      <c r="N1900">
        <f t="shared" si="239"/>
        <v>112</v>
      </c>
      <c r="O1900" s="330">
        <v>4</v>
      </c>
      <c r="P1900" s="36">
        <v>410851</v>
      </c>
      <c r="Q1900" s="36">
        <v>28</v>
      </c>
      <c r="R1900" s="36"/>
      <c r="S1900" s="1011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str">
        <f t="shared" si="238"/>
        <v/>
      </c>
    </row>
    <row r="1901" spans="14:59" x14ac:dyDescent="0.35">
      <c r="N1901">
        <f t="shared" si="239"/>
        <v>135</v>
      </c>
      <c r="O1901" s="330">
        <v>5</v>
      </c>
      <c r="P1901" s="36">
        <v>647436</v>
      </c>
      <c r="Q1901" s="36">
        <v>27</v>
      </c>
      <c r="R1901" s="36"/>
      <c r="S1901" s="1011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str">
        <f t="shared" si="238"/>
        <v/>
      </c>
    </row>
    <row r="1902" spans="14:59" x14ac:dyDescent="0.35">
      <c r="N1902">
        <f t="shared" si="239"/>
        <v>84</v>
      </c>
      <c r="O1902" s="330">
        <v>6</v>
      </c>
      <c r="P1902" s="36">
        <v>418525</v>
      </c>
      <c r="Q1902" s="36">
        <v>14</v>
      </c>
      <c r="R1902" s="36"/>
      <c r="S1902" s="1011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str">
        <f t="shared" si="238"/>
        <v/>
      </c>
    </row>
    <row r="1903" spans="14:59" ht="15" thickBot="1" x14ac:dyDescent="0.4">
      <c r="N1903">
        <f t="shared" si="239"/>
        <v>0</v>
      </c>
      <c r="O1903" s="331"/>
      <c r="P1903" s="328"/>
      <c r="Q1903" s="328"/>
      <c r="R1903" s="328"/>
      <c r="S1903" s="1012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str">
        <f t="shared" ref="BG1903:BG1966" si="240">IF(VALUE(SUBSTITUTE($B$5,"M",""))=U1903,BF1903,"")</f>
        <v/>
      </c>
    </row>
    <row r="1904" spans="14:59" x14ac:dyDescent="0.35">
      <c r="O1904" s="329">
        <v>1</v>
      </c>
      <c r="P1904" s="320">
        <v>745171</v>
      </c>
      <c r="Q1904" s="320">
        <v>32</v>
      </c>
      <c r="R1904" s="320"/>
      <c r="S1904" s="320" t="s">
        <v>2297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str">
        <f t="shared" si="240"/>
        <v/>
      </c>
    </row>
    <row r="1905" spans="15:59" x14ac:dyDescent="0.35">
      <c r="O1905" s="330">
        <v>2</v>
      </c>
      <c r="P1905" s="36">
        <v>418525</v>
      </c>
      <c r="Q1905" s="36">
        <v>8</v>
      </c>
      <c r="R1905" s="36"/>
      <c r="S1905" s="36" t="s">
        <v>2297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str">
        <f t="shared" si="240"/>
        <v/>
      </c>
    </row>
    <row r="1906" spans="15:59" x14ac:dyDescent="0.35">
      <c r="O1906" s="330">
        <v>3</v>
      </c>
      <c r="P1906" s="36">
        <v>177778</v>
      </c>
      <c r="Q1906" s="36">
        <v>4</v>
      </c>
      <c r="R1906" s="36"/>
      <c r="S1906" s="36" t="s">
        <v>2297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str">
        <f t="shared" si="240"/>
        <v/>
      </c>
    </row>
    <row r="1907" spans="15:59" x14ac:dyDescent="0.35">
      <c r="O1907" s="330"/>
      <c r="P1907" s="36"/>
      <c r="Q1907" s="36"/>
      <c r="R1907" s="36"/>
      <c r="S1907" s="36" t="s">
        <v>2297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str">
        <f t="shared" si="240"/>
        <v/>
      </c>
    </row>
    <row r="1908" spans="15:59" x14ac:dyDescent="0.35">
      <c r="O1908" s="330"/>
      <c r="P1908" s="36"/>
      <c r="Q1908" s="36"/>
      <c r="R1908" s="36"/>
      <c r="S1908" s="36" t="s">
        <v>2297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str">
        <f t="shared" si="240"/>
        <v/>
      </c>
    </row>
    <row r="1909" spans="15:59" x14ac:dyDescent="0.35">
      <c r="O1909" s="330"/>
      <c r="P1909" s="36"/>
      <c r="Q1909" s="36"/>
      <c r="R1909" s="36"/>
      <c r="S1909" s="36" t="s">
        <v>2297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str">
        <f t="shared" si="240"/>
        <v/>
      </c>
    </row>
    <row r="1910" spans="15:59" x14ac:dyDescent="0.35">
      <c r="O1910" s="330"/>
      <c r="P1910" s="36"/>
      <c r="Q1910" s="36"/>
      <c r="R1910" s="36"/>
      <c r="S1910" s="36" t="s">
        <v>2297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str">
        <f t="shared" si="240"/>
        <v/>
      </c>
    </row>
    <row r="1911" spans="15:59" ht="15" thickBot="1" x14ac:dyDescent="0.4">
      <c r="O1911" s="331"/>
      <c r="P1911" s="328"/>
      <c r="Q1911" s="328"/>
      <c r="R1911" s="328"/>
      <c r="S1911" s="328" t="s">
        <v>2297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str">
        <f t="shared" si="240"/>
        <v/>
      </c>
    </row>
    <row r="1912" spans="15:59" x14ac:dyDescent="0.35">
      <c r="O1912" s="329">
        <v>1</v>
      </c>
      <c r="P1912" s="320">
        <v>717749</v>
      </c>
      <c r="Q1912" s="320">
        <v>24</v>
      </c>
      <c r="R1912" s="320"/>
      <c r="S1912" s="320" t="s">
        <v>2297</v>
      </c>
      <c r="T1912" s="320" t="s">
        <v>2083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str">
        <f t="shared" si="240"/>
        <v/>
      </c>
    </row>
    <row r="1913" spans="15:59" x14ac:dyDescent="0.35">
      <c r="O1913" s="330">
        <v>2</v>
      </c>
      <c r="P1913" s="36">
        <v>418525</v>
      </c>
      <c r="Q1913" s="36">
        <v>6</v>
      </c>
      <c r="R1913" s="36"/>
      <c r="S1913" s="36" t="s">
        <v>2297</v>
      </c>
      <c r="T1913" s="36" t="s">
        <v>2083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str">
        <f t="shared" si="240"/>
        <v/>
      </c>
    </row>
    <row r="1914" spans="15:59" x14ac:dyDescent="0.35">
      <c r="O1914" s="330">
        <v>3</v>
      </c>
      <c r="P1914" s="36">
        <v>177778</v>
      </c>
      <c r="Q1914" s="36">
        <v>3</v>
      </c>
      <c r="R1914" s="36"/>
      <c r="S1914" s="36" t="s">
        <v>2297</v>
      </c>
      <c r="T1914" s="36" t="s">
        <v>2083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str">
        <f t="shared" si="240"/>
        <v/>
      </c>
    </row>
    <row r="1915" spans="15:59" x14ac:dyDescent="0.35">
      <c r="O1915" s="330"/>
      <c r="P1915" s="36"/>
      <c r="Q1915" s="36"/>
      <c r="R1915" s="36"/>
      <c r="S1915" s="36" t="s">
        <v>2297</v>
      </c>
      <c r="T1915" s="36" t="s">
        <v>2083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str">
        <f t="shared" si="240"/>
        <v/>
      </c>
    </row>
    <row r="1916" spans="15:59" x14ac:dyDescent="0.35">
      <c r="O1916" s="330"/>
      <c r="P1916" s="36"/>
      <c r="Q1916" s="36"/>
      <c r="R1916" s="36"/>
      <c r="S1916" s="36" t="s">
        <v>2297</v>
      </c>
      <c r="T1916" s="36" t="s">
        <v>2083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str">
        <f t="shared" si="240"/>
        <v/>
      </c>
    </row>
    <row r="1917" spans="15:59" ht="15" thickBot="1" x14ac:dyDescent="0.4">
      <c r="O1917" s="330"/>
      <c r="P1917" s="36"/>
      <c r="Q1917" s="36"/>
      <c r="R1917" s="36"/>
      <c r="S1917" s="36" t="s">
        <v>2297</v>
      </c>
      <c r="T1917" s="36" t="s">
        <v>2083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str">
        <f t="shared" si="240"/>
        <v/>
      </c>
    </row>
    <row r="1918" spans="15:59" x14ac:dyDescent="0.35">
      <c r="O1918" s="329">
        <v>1</v>
      </c>
      <c r="P1918" s="320">
        <v>717749</v>
      </c>
      <c r="Q1918" s="320">
        <v>32</v>
      </c>
      <c r="R1918" s="320"/>
      <c r="S1918" s="320" t="s">
        <v>2297</v>
      </c>
      <c r="T1918" s="320" t="s">
        <v>2296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str">
        <f t="shared" si="240"/>
        <v/>
      </c>
    </row>
    <row r="1919" spans="15:59" x14ac:dyDescent="0.35">
      <c r="O1919" s="330">
        <v>2</v>
      </c>
      <c r="P1919" s="36">
        <v>418525</v>
      </c>
      <c r="Q1919" s="36">
        <v>8</v>
      </c>
      <c r="R1919" s="36"/>
      <c r="S1919" s="36" t="s">
        <v>2297</v>
      </c>
      <c r="T1919" s="36" t="s">
        <v>2296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str">
        <f t="shared" si="240"/>
        <v/>
      </c>
    </row>
    <row r="1920" spans="15:59" x14ac:dyDescent="0.35">
      <c r="O1920" s="330">
        <v>3</v>
      </c>
      <c r="P1920" s="36">
        <v>177778</v>
      </c>
      <c r="Q1920" s="36">
        <v>4</v>
      </c>
      <c r="R1920" s="36"/>
      <c r="S1920" s="36" t="s">
        <v>2297</v>
      </c>
      <c r="T1920" s="36" t="s">
        <v>2296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str">
        <f t="shared" si="240"/>
        <v/>
      </c>
    </row>
    <row r="1921" spans="14:59" x14ac:dyDescent="0.35">
      <c r="O1921" s="330"/>
      <c r="P1921" s="36"/>
      <c r="Q1921" s="36"/>
      <c r="R1921" s="36"/>
      <c r="S1921" s="36" t="s">
        <v>2297</v>
      </c>
      <c r="T1921" s="36" t="s">
        <v>2296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str">
        <f t="shared" si="240"/>
        <v/>
      </c>
    </row>
    <row r="1922" spans="14:59" x14ac:dyDescent="0.35">
      <c r="O1922" s="330"/>
      <c r="P1922" s="36"/>
      <c r="Q1922" s="36"/>
      <c r="R1922" s="36"/>
      <c r="S1922" s="36" t="s">
        <v>2297</v>
      </c>
      <c r="T1922" s="36" t="s">
        <v>2296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str">
        <f t="shared" si="240"/>
        <v/>
      </c>
    </row>
    <row r="1923" spans="14:59" x14ac:dyDescent="0.35">
      <c r="O1923" s="330"/>
      <c r="P1923" s="36"/>
      <c r="Q1923" s="36"/>
      <c r="R1923" s="36"/>
      <c r="S1923" s="36" t="s">
        <v>2297</v>
      </c>
      <c r="T1923" s="36" t="s">
        <v>2296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str">
        <f t="shared" si="240"/>
        <v/>
      </c>
    </row>
    <row r="1924" spans="14:59" x14ac:dyDescent="0.35">
      <c r="O1924" s="330"/>
      <c r="P1924" s="36"/>
      <c r="Q1924" s="36"/>
      <c r="R1924" s="36"/>
      <c r="S1924" s="36" t="s">
        <v>2297</v>
      </c>
      <c r="T1924" s="36" t="s">
        <v>2296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str">
        <f t="shared" si="240"/>
        <v/>
      </c>
    </row>
    <row r="1925" spans="14:59" ht="15" thickBot="1" x14ac:dyDescent="0.4">
      <c r="O1925" s="331"/>
      <c r="P1925" s="328"/>
      <c r="Q1925" s="328"/>
      <c r="R1925" s="328"/>
      <c r="S1925" s="328" t="s">
        <v>2297</v>
      </c>
      <c r="T1925" s="328" t="s">
        <v>2296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str">
        <f t="shared" si="240"/>
        <v/>
      </c>
    </row>
    <row r="1926" spans="14:59" x14ac:dyDescent="0.3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str">
        <f t="shared" si="240"/>
        <v/>
      </c>
    </row>
    <row r="1927" spans="14:59" x14ac:dyDescent="0.35">
      <c r="N1927">
        <f t="shared" ref="N1927:N1933" si="241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str">
        <f t="shared" si="240"/>
        <v/>
      </c>
    </row>
    <row r="1928" spans="14:59" x14ac:dyDescent="0.35">
      <c r="N1928">
        <f t="shared" si="241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str">
        <f t="shared" si="240"/>
        <v/>
      </c>
    </row>
    <row r="1929" spans="14:59" x14ac:dyDescent="0.35">
      <c r="N1929">
        <f t="shared" si="241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str">
        <f t="shared" si="240"/>
        <v/>
      </c>
    </row>
    <row r="1930" spans="14:59" x14ac:dyDescent="0.35">
      <c r="N1930">
        <f t="shared" si="241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str">
        <f t="shared" si="240"/>
        <v/>
      </c>
    </row>
    <row r="1931" spans="14:59" x14ac:dyDescent="0.35">
      <c r="N1931">
        <f t="shared" si="241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str">
        <f t="shared" si="240"/>
        <v/>
      </c>
    </row>
    <row r="1932" spans="14:59" x14ac:dyDescent="0.35">
      <c r="N1932">
        <f t="shared" si="241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str">
        <f t="shared" si="240"/>
        <v/>
      </c>
    </row>
    <row r="1933" spans="14:59" ht="15" thickBot="1" x14ac:dyDescent="0.4">
      <c r="N1933">
        <f t="shared" si="241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str">
        <f t="shared" si="240"/>
        <v/>
      </c>
    </row>
    <row r="1934" spans="14:59" x14ac:dyDescent="0.3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2302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str">
        <f t="shared" si="240"/>
        <v/>
      </c>
    </row>
    <row r="1935" spans="14:59" x14ac:dyDescent="0.35">
      <c r="N1935">
        <f t="shared" ref="N1935:N1946" si="242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2302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str">
        <f t="shared" si="240"/>
        <v/>
      </c>
    </row>
    <row r="1936" spans="14:59" x14ac:dyDescent="0.35">
      <c r="N1936">
        <f t="shared" si="242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2302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str">
        <f t="shared" si="240"/>
        <v/>
      </c>
    </row>
    <row r="1937" spans="14:59" x14ac:dyDescent="0.35">
      <c r="N1937">
        <f t="shared" si="242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2302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str">
        <f t="shared" si="240"/>
        <v/>
      </c>
    </row>
    <row r="1938" spans="14:59" x14ac:dyDescent="0.35">
      <c r="N1938">
        <f t="shared" si="242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2302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str">
        <f t="shared" si="240"/>
        <v/>
      </c>
    </row>
    <row r="1939" spans="14:59" x14ac:dyDescent="0.35">
      <c r="N1939">
        <f t="shared" si="242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2302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str">
        <f t="shared" si="240"/>
        <v/>
      </c>
    </row>
    <row r="1940" spans="14:59" ht="15" thickBot="1" x14ac:dyDescent="0.4">
      <c r="N1940">
        <f t="shared" si="242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2302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str">
        <f t="shared" si="240"/>
        <v/>
      </c>
    </row>
    <row r="1941" spans="14:59" x14ac:dyDescent="0.35">
      <c r="N1941">
        <f t="shared" si="242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str">
        <f t="shared" si="240"/>
        <v/>
      </c>
    </row>
    <row r="1942" spans="14:59" x14ac:dyDescent="0.35">
      <c r="N1942">
        <f t="shared" si="242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str">
        <f t="shared" si="240"/>
        <v/>
      </c>
    </row>
    <row r="1943" spans="14:59" x14ac:dyDescent="0.35">
      <c r="N1943">
        <f t="shared" si="242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str">
        <f t="shared" si="240"/>
        <v/>
      </c>
    </row>
    <row r="1944" spans="14:59" x14ac:dyDescent="0.35">
      <c r="N1944">
        <f t="shared" si="242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str">
        <f t="shared" si="240"/>
        <v/>
      </c>
    </row>
    <row r="1945" spans="14:59" x14ac:dyDescent="0.35">
      <c r="N1945">
        <f t="shared" si="242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str">
        <f t="shared" si="240"/>
        <v/>
      </c>
    </row>
    <row r="1946" spans="14:59" ht="15" thickBot="1" x14ac:dyDescent="0.4">
      <c r="N1946">
        <f t="shared" si="242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str">
        <f t="shared" si="240"/>
        <v/>
      </c>
    </row>
    <row r="1947" spans="14:59" x14ac:dyDescent="0.3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2308</v>
      </c>
      <c r="T1947" s="320" t="s">
        <v>2309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str">
        <f t="shared" si="240"/>
        <v/>
      </c>
    </row>
    <row r="1948" spans="14:59" x14ac:dyDescent="0.35">
      <c r="N1948">
        <f t="shared" ref="N1948:N2016" si="243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2308</v>
      </c>
      <c r="T1948" s="36" t="s">
        <v>2309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str">
        <f t="shared" si="240"/>
        <v/>
      </c>
    </row>
    <row r="1949" spans="14:59" x14ac:dyDescent="0.35">
      <c r="N1949">
        <f t="shared" si="243"/>
        <v>12</v>
      </c>
      <c r="O1949" s="330">
        <v>3</v>
      </c>
      <c r="P1949" s="36">
        <v>882800</v>
      </c>
      <c r="Q1949" s="36">
        <v>4</v>
      </c>
      <c r="R1949" s="36"/>
      <c r="S1949" s="36" t="s">
        <v>2308</v>
      </c>
      <c r="T1949" s="36" t="s">
        <v>2309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str">
        <f t="shared" si="240"/>
        <v/>
      </c>
    </row>
    <row r="1950" spans="14:59" x14ac:dyDescent="0.35">
      <c r="N1950">
        <f t="shared" si="243"/>
        <v>0</v>
      </c>
      <c r="O1950" s="330"/>
      <c r="P1950" s="36"/>
      <c r="Q1950" s="36"/>
      <c r="R1950" s="36"/>
      <c r="S1950" s="36" t="s">
        <v>2308</v>
      </c>
      <c r="T1950" s="36" t="s">
        <v>2309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str">
        <f t="shared" si="240"/>
        <v/>
      </c>
    </row>
    <row r="1951" spans="14:59" x14ac:dyDescent="0.35">
      <c r="N1951">
        <f t="shared" si="243"/>
        <v>0</v>
      </c>
      <c r="O1951" s="330"/>
      <c r="P1951" s="36"/>
      <c r="Q1951" s="36"/>
      <c r="R1951" s="36"/>
      <c r="S1951" s="36" t="s">
        <v>2308</v>
      </c>
      <c r="T1951" s="36" t="s">
        <v>2309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str">
        <f t="shared" si="240"/>
        <v/>
      </c>
    </row>
    <row r="1952" spans="14:59" x14ac:dyDescent="0.35">
      <c r="N1952">
        <f t="shared" si="243"/>
        <v>0</v>
      </c>
      <c r="O1952" s="330"/>
      <c r="P1952" s="36"/>
      <c r="Q1952" s="36"/>
      <c r="R1952" s="36"/>
      <c r="S1952" s="36" t="s">
        <v>2308</v>
      </c>
      <c r="T1952" s="36" t="s">
        <v>2309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str">
        <f t="shared" si="240"/>
        <v/>
      </c>
    </row>
    <row r="1953" spans="14:59" x14ac:dyDescent="0.35">
      <c r="N1953">
        <f t="shared" si="243"/>
        <v>0</v>
      </c>
      <c r="O1953" s="330"/>
      <c r="P1953" s="36"/>
      <c r="Q1953" s="36"/>
      <c r="R1953" s="36"/>
      <c r="S1953" s="36" t="s">
        <v>2308</v>
      </c>
      <c r="T1953" s="36" t="s">
        <v>2309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str">
        <f t="shared" si="240"/>
        <v/>
      </c>
    </row>
    <row r="1954" spans="14:59" ht="15" thickBot="1" x14ac:dyDescent="0.4">
      <c r="N1954">
        <f t="shared" si="243"/>
        <v>0</v>
      </c>
      <c r="O1954" s="331"/>
      <c r="P1954" s="328"/>
      <c r="Q1954" s="328"/>
      <c r="R1954" s="328"/>
      <c r="S1954" s="328" t="s">
        <v>2308</v>
      </c>
      <c r="T1954" s="328" t="s">
        <v>2309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str">
        <f t="shared" si="240"/>
        <v/>
      </c>
    </row>
    <row r="1955" spans="14:59" x14ac:dyDescent="0.35">
      <c r="N1955">
        <f t="shared" si="243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2312</v>
      </c>
      <c r="T1955" s="320" t="s">
        <v>2263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str">
        <f t="shared" si="240"/>
        <v/>
      </c>
    </row>
    <row r="1956" spans="14:59" x14ac:dyDescent="0.35">
      <c r="N1956">
        <f t="shared" si="243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2312</v>
      </c>
      <c r="T1956" s="36" t="s">
        <v>2263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str">
        <f t="shared" si="240"/>
        <v/>
      </c>
    </row>
    <row r="1957" spans="14:59" x14ac:dyDescent="0.35">
      <c r="N1957">
        <f t="shared" si="243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2312</v>
      </c>
      <c r="T1957" s="36" t="s">
        <v>2263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str">
        <f t="shared" si="240"/>
        <v/>
      </c>
    </row>
    <row r="1958" spans="14:59" x14ac:dyDescent="0.35">
      <c r="N1958">
        <f t="shared" si="243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2312</v>
      </c>
      <c r="T1958" s="36" t="s">
        <v>2263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str">
        <f t="shared" si="240"/>
        <v/>
      </c>
    </row>
    <row r="1959" spans="14:59" x14ac:dyDescent="0.35">
      <c r="N1959">
        <f t="shared" si="243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2312</v>
      </c>
      <c r="T1959" s="36" t="s">
        <v>2263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str">
        <f t="shared" si="240"/>
        <v/>
      </c>
    </row>
    <row r="1960" spans="14:59" x14ac:dyDescent="0.35">
      <c r="N1960">
        <f t="shared" si="243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2312</v>
      </c>
      <c r="T1960" s="36" t="s">
        <v>2263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str">
        <f t="shared" si="240"/>
        <v/>
      </c>
    </row>
    <row r="1961" spans="14:59" x14ac:dyDescent="0.35">
      <c r="N1961">
        <f t="shared" si="243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2312</v>
      </c>
      <c r="T1961" s="36" t="s">
        <v>2263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str">
        <f t="shared" si="240"/>
        <v/>
      </c>
    </row>
    <row r="1962" spans="14:59" x14ac:dyDescent="0.35">
      <c r="N1962">
        <f t="shared" si="243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2312</v>
      </c>
      <c r="T1962" s="36" t="s">
        <v>2263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str">
        <f t="shared" si="240"/>
        <v/>
      </c>
    </row>
    <row r="1963" spans="14:59" ht="15" thickBot="1" x14ac:dyDescent="0.4">
      <c r="N1963">
        <f t="shared" si="243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2312</v>
      </c>
      <c r="T1963" s="328" t="s">
        <v>2263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str">
        <f t="shared" si="240"/>
        <v/>
      </c>
    </row>
    <row r="1964" spans="14:59" x14ac:dyDescent="0.35">
      <c r="N1964">
        <f t="shared" si="243"/>
        <v>7</v>
      </c>
      <c r="O1964" s="329">
        <v>1</v>
      </c>
      <c r="P1964" s="974">
        <v>886466</v>
      </c>
      <c r="Q1964" s="320">
        <v>7</v>
      </c>
      <c r="R1964" s="320"/>
      <c r="S1964" s="320" t="s">
        <v>2316</v>
      </c>
      <c r="T1964" s="320" t="s">
        <v>2102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str">
        <f t="shared" si="240"/>
        <v/>
      </c>
    </row>
    <row r="1965" spans="14:59" x14ac:dyDescent="0.35">
      <c r="N1965">
        <f t="shared" si="243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2316</v>
      </c>
      <c r="T1965" s="36" t="s">
        <v>2102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str">
        <f t="shared" si="240"/>
        <v/>
      </c>
    </row>
    <row r="1966" spans="14:59" x14ac:dyDescent="0.35">
      <c r="N1966">
        <f t="shared" si="243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2316</v>
      </c>
      <c r="T1966" s="36" t="s">
        <v>2102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str">
        <f t="shared" si="240"/>
        <v/>
      </c>
    </row>
    <row r="1967" spans="14:59" x14ac:dyDescent="0.35">
      <c r="N1967">
        <f t="shared" si="243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2316</v>
      </c>
      <c r="T1967" s="36" t="s">
        <v>2102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str">
        <f t="shared" ref="BG1967:BG2030" si="244">IF(VALUE(SUBSTITUTE($B$5,"M",""))=U1967,BF1967,"")</f>
        <v/>
      </c>
    </row>
    <row r="1968" spans="14:59" x14ac:dyDescent="0.35">
      <c r="N1968">
        <f t="shared" si="243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2316</v>
      </c>
      <c r="T1968" s="36" t="s">
        <v>2102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str">
        <f t="shared" si="244"/>
        <v/>
      </c>
    </row>
    <row r="1969" spans="14:59" ht="15" thickBot="1" x14ac:dyDescent="0.4">
      <c r="N1969">
        <f t="shared" si="243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2316</v>
      </c>
      <c r="T1969" s="486" t="s">
        <v>2102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str">
        <f t="shared" si="244"/>
        <v/>
      </c>
    </row>
    <row r="1970" spans="14:59" x14ac:dyDescent="0.35">
      <c r="N1970">
        <f t="shared" si="243"/>
        <v>4</v>
      </c>
      <c r="O1970" s="329">
        <v>1</v>
      </c>
      <c r="P1970" s="320"/>
      <c r="Q1970" s="320">
        <v>4</v>
      </c>
      <c r="R1970" s="320"/>
      <c r="S1970" s="320"/>
      <c r="T1970" s="320" t="s">
        <v>2322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str">
        <f t="shared" si="244"/>
        <v/>
      </c>
    </row>
    <row r="1971" spans="14:59" x14ac:dyDescent="0.35">
      <c r="N1971">
        <f t="shared" si="243"/>
        <v>66</v>
      </c>
      <c r="O1971" s="330">
        <v>2</v>
      </c>
      <c r="P1971" s="36"/>
      <c r="Q1971" s="36">
        <v>33</v>
      </c>
      <c r="R1971" s="36"/>
      <c r="S1971" s="36"/>
      <c r="T1971" s="36" t="s">
        <v>2322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str">
        <f t="shared" si="244"/>
        <v/>
      </c>
    </row>
    <row r="1972" spans="14:59" x14ac:dyDescent="0.35">
      <c r="N1972">
        <f t="shared" si="243"/>
        <v>36</v>
      </c>
      <c r="O1972" s="330">
        <v>3</v>
      </c>
      <c r="P1972" s="36"/>
      <c r="Q1972" s="36">
        <v>12</v>
      </c>
      <c r="R1972" s="36"/>
      <c r="S1972" s="36"/>
      <c r="T1972" s="36" t="s">
        <v>2322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str">
        <f t="shared" si="244"/>
        <v/>
      </c>
    </row>
    <row r="1973" spans="14:59" x14ac:dyDescent="0.35">
      <c r="N1973">
        <f t="shared" si="243"/>
        <v>28</v>
      </c>
      <c r="O1973" s="330">
        <v>4</v>
      </c>
      <c r="P1973" s="36"/>
      <c r="Q1973" s="36">
        <v>7</v>
      </c>
      <c r="R1973" s="36"/>
      <c r="S1973" s="36"/>
      <c r="T1973" s="36" t="s">
        <v>2322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str">
        <f t="shared" si="244"/>
        <v/>
      </c>
    </row>
    <row r="1974" spans="14:59" x14ac:dyDescent="0.35">
      <c r="N1974">
        <f t="shared" si="243"/>
        <v>0</v>
      </c>
      <c r="O1974" s="3"/>
      <c r="P1974" s="36"/>
      <c r="Q1974" s="36"/>
      <c r="R1974" s="36"/>
      <c r="S1974" s="36"/>
      <c r="T1974" s="36" t="s">
        <v>2322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str">
        <f t="shared" si="244"/>
        <v/>
      </c>
    </row>
    <row r="1975" spans="14:59" x14ac:dyDescent="0.35">
      <c r="N1975">
        <f t="shared" si="243"/>
        <v>0</v>
      </c>
      <c r="O1975" s="3"/>
      <c r="P1975" s="36"/>
      <c r="Q1975" s="36"/>
      <c r="R1975" s="36"/>
      <c r="S1975" s="36"/>
      <c r="T1975" s="36" t="s">
        <v>2322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str">
        <f t="shared" si="244"/>
        <v/>
      </c>
    </row>
    <row r="1976" spans="14:59" ht="15" thickBot="1" x14ac:dyDescent="0.4">
      <c r="N1976">
        <f t="shared" si="243"/>
        <v>0</v>
      </c>
      <c r="O1976" s="959"/>
      <c r="P1976" s="486"/>
      <c r="Q1976" s="486"/>
      <c r="R1976" s="486"/>
      <c r="S1976" s="486"/>
      <c r="T1976" s="486" t="s">
        <v>2322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str">
        <f t="shared" si="244"/>
        <v/>
      </c>
    </row>
    <row r="1977" spans="14:59" x14ac:dyDescent="0.35">
      <c r="N1977">
        <f t="shared" si="243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2316</v>
      </c>
      <c r="T1977" s="320" t="s">
        <v>2338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str">
        <f t="shared" si="244"/>
        <v/>
      </c>
    </row>
    <row r="1978" spans="14:59" x14ac:dyDescent="0.35">
      <c r="N1978">
        <f t="shared" si="243"/>
        <v>10</v>
      </c>
      <c r="O1978" s="3">
        <v>2</v>
      </c>
      <c r="P1978" s="36">
        <v>1146737</v>
      </c>
      <c r="Q1978" s="36">
        <v>5</v>
      </c>
      <c r="R1978" s="36"/>
      <c r="S1978" s="36" t="s">
        <v>2316</v>
      </c>
      <c r="T1978" s="36" t="s">
        <v>2338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str">
        <f t="shared" si="244"/>
        <v/>
      </c>
    </row>
    <row r="1979" spans="14:59" x14ac:dyDescent="0.35">
      <c r="N1979">
        <f t="shared" si="243"/>
        <v>30</v>
      </c>
      <c r="O1979" s="3">
        <v>3</v>
      </c>
      <c r="P1979" s="36">
        <v>2001060</v>
      </c>
      <c r="Q1979" s="36">
        <v>10</v>
      </c>
      <c r="R1979" s="36"/>
      <c r="S1979" s="36" t="s">
        <v>2316</v>
      </c>
      <c r="T1979" s="36" t="s">
        <v>2338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str">
        <f t="shared" si="244"/>
        <v/>
      </c>
    </row>
    <row r="1980" spans="14:59" x14ac:dyDescent="0.35">
      <c r="N1980">
        <f t="shared" si="243"/>
        <v>32</v>
      </c>
      <c r="O1980" s="3">
        <v>4</v>
      </c>
      <c r="P1980" s="36">
        <v>1208601</v>
      </c>
      <c r="Q1980" s="36">
        <v>8</v>
      </c>
      <c r="R1980" s="36"/>
      <c r="S1980" s="36" t="s">
        <v>2316</v>
      </c>
      <c r="T1980" s="36" t="s">
        <v>2338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str">
        <f t="shared" si="244"/>
        <v/>
      </c>
    </row>
    <row r="1981" spans="14:59" x14ac:dyDescent="0.35">
      <c r="N1981">
        <f t="shared" si="243"/>
        <v>25</v>
      </c>
      <c r="O1981" s="3">
        <v>5</v>
      </c>
      <c r="P1981" s="36">
        <v>871781</v>
      </c>
      <c r="Q1981" s="36">
        <v>5</v>
      </c>
      <c r="R1981" s="36"/>
      <c r="S1981" s="36" t="s">
        <v>2316</v>
      </c>
      <c r="T1981" s="36" t="s">
        <v>2338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str">
        <f t="shared" si="244"/>
        <v/>
      </c>
    </row>
    <row r="1982" spans="14:59" ht="15" thickBot="1" x14ac:dyDescent="0.4">
      <c r="N1982">
        <f t="shared" si="243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2316</v>
      </c>
      <c r="T1982" s="486" t="s">
        <v>2338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str">
        <f t="shared" si="244"/>
        <v/>
      </c>
    </row>
    <row r="1983" spans="14:59" x14ac:dyDescent="0.35">
      <c r="N1983">
        <f t="shared" si="243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2316</v>
      </c>
      <c r="T1983" s="320" t="s">
        <v>2343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str">
        <f t="shared" si="244"/>
        <v/>
      </c>
    </row>
    <row r="1984" spans="14:59" x14ac:dyDescent="0.35">
      <c r="N1984">
        <f t="shared" si="243"/>
        <v>24</v>
      </c>
      <c r="O1984" s="3">
        <v>2</v>
      </c>
      <c r="P1984" s="36">
        <v>200106</v>
      </c>
      <c r="Q1984" s="36">
        <v>12</v>
      </c>
      <c r="R1984" s="36"/>
      <c r="S1984" s="36" t="s">
        <v>2316</v>
      </c>
      <c r="T1984" s="36" t="s">
        <v>2343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str">
        <f t="shared" si="244"/>
        <v/>
      </c>
    </row>
    <row r="1985" spans="14:59" x14ac:dyDescent="0.35">
      <c r="N1985">
        <f t="shared" si="243"/>
        <v>24</v>
      </c>
      <c r="O1985" s="3">
        <v>3</v>
      </c>
      <c r="P1985" s="36">
        <v>1208601</v>
      </c>
      <c r="Q1985" s="36">
        <v>8</v>
      </c>
      <c r="R1985" s="36"/>
      <c r="S1985" s="36" t="s">
        <v>2316</v>
      </c>
      <c r="T1985" s="36" t="s">
        <v>2343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str">
        <f t="shared" si="244"/>
        <v/>
      </c>
    </row>
    <row r="1986" spans="14:59" x14ac:dyDescent="0.35">
      <c r="N1986">
        <f t="shared" si="243"/>
        <v>24</v>
      </c>
      <c r="O1986" s="3">
        <v>4</v>
      </c>
      <c r="P1986" s="36">
        <v>871781</v>
      </c>
      <c r="Q1986" s="36">
        <v>6</v>
      </c>
      <c r="R1986" s="36"/>
      <c r="S1986" s="36" t="s">
        <v>2316</v>
      </c>
      <c r="T1986" s="36" t="s">
        <v>2343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str">
        <f t="shared" si="244"/>
        <v/>
      </c>
    </row>
    <row r="1987" spans="14:59" x14ac:dyDescent="0.35">
      <c r="N1987">
        <f t="shared" si="243"/>
        <v>30</v>
      </c>
      <c r="O1987" s="3">
        <v>5</v>
      </c>
      <c r="P1987" s="36">
        <v>1130197</v>
      </c>
      <c r="Q1987" s="36">
        <v>6</v>
      </c>
      <c r="R1987" s="36"/>
      <c r="S1987" s="36" t="s">
        <v>2316</v>
      </c>
      <c r="T1987" s="36" t="s">
        <v>2343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str">
        <f t="shared" si="244"/>
        <v/>
      </c>
    </row>
    <row r="1988" spans="14:59" x14ac:dyDescent="0.35">
      <c r="N1988">
        <f t="shared" si="243"/>
        <v>36</v>
      </c>
      <c r="O1988" s="3">
        <v>6</v>
      </c>
      <c r="P1988" s="36">
        <v>1146737</v>
      </c>
      <c r="Q1988" s="36">
        <v>6</v>
      </c>
      <c r="R1988" s="36"/>
      <c r="S1988" s="36" t="s">
        <v>2316</v>
      </c>
      <c r="T1988" s="36" t="s">
        <v>2343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str">
        <f t="shared" si="244"/>
        <v/>
      </c>
    </row>
    <row r="1989" spans="14:59" ht="15" thickBot="1" x14ac:dyDescent="0.4">
      <c r="N1989">
        <f t="shared" si="243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2316</v>
      </c>
      <c r="T1989" s="486" t="s">
        <v>2343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str">
        <f t="shared" si="244"/>
        <v/>
      </c>
    </row>
    <row r="1990" spans="14:59" x14ac:dyDescent="0.35">
      <c r="N1990">
        <f t="shared" si="243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2345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str">
        <f t="shared" si="244"/>
        <v/>
      </c>
    </row>
    <row r="1991" spans="14:59" x14ac:dyDescent="0.35">
      <c r="N1991">
        <f t="shared" si="243"/>
        <v>24</v>
      </c>
      <c r="O1991" s="3">
        <v>2</v>
      </c>
      <c r="P1991" s="36">
        <v>1146346</v>
      </c>
      <c r="Q1991" s="36">
        <v>12</v>
      </c>
      <c r="R1991" s="36"/>
      <c r="S1991" s="36" t="s">
        <v>2345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str">
        <f t="shared" si="244"/>
        <v/>
      </c>
    </row>
    <row r="1992" spans="14:59" x14ac:dyDescent="0.35">
      <c r="N1992">
        <f t="shared" si="243"/>
        <v>18</v>
      </c>
      <c r="O1992" s="3">
        <v>3</v>
      </c>
      <c r="P1992" s="36">
        <v>871781</v>
      </c>
      <c r="Q1992" s="36">
        <v>6</v>
      </c>
      <c r="R1992" s="36"/>
      <c r="S1992" s="36" t="s">
        <v>2345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str">
        <f t="shared" si="244"/>
        <v/>
      </c>
    </row>
    <row r="1993" spans="14:59" x14ac:dyDescent="0.35">
      <c r="N1993">
        <f t="shared" si="243"/>
        <v>20</v>
      </c>
      <c r="O1993" s="3">
        <v>4</v>
      </c>
      <c r="P1993" s="36">
        <v>1101509</v>
      </c>
      <c r="Q1993" s="36">
        <v>5</v>
      </c>
      <c r="R1993" s="36"/>
      <c r="S1993" s="36" t="s">
        <v>2345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str">
        <f t="shared" si="244"/>
        <v/>
      </c>
    </row>
    <row r="1994" spans="14:59" x14ac:dyDescent="0.35">
      <c r="N1994">
        <f t="shared" si="243"/>
        <v>5</v>
      </c>
      <c r="O1994" s="3">
        <v>5</v>
      </c>
      <c r="P1994" s="36">
        <v>1220334</v>
      </c>
      <c r="Q1994" s="36">
        <v>1</v>
      </c>
      <c r="R1994" s="36"/>
      <c r="S1994" s="36" t="s">
        <v>2345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str">
        <f t="shared" si="244"/>
        <v/>
      </c>
    </row>
    <row r="1995" spans="14:59" ht="15" thickBot="1" x14ac:dyDescent="0.4">
      <c r="N1995">
        <f t="shared" si="243"/>
        <v>0</v>
      </c>
      <c r="O1995" s="959"/>
      <c r="P1995" s="486"/>
      <c r="Q1995" s="486"/>
      <c r="R1995" s="486"/>
      <c r="S1995" s="486" t="s">
        <v>2345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str">
        <f t="shared" si="244"/>
        <v/>
      </c>
    </row>
    <row r="1996" spans="14:59" x14ac:dyDescent="0.35">
      <c r="N1996">
        <f t="shared" si="243"/>
        <v>22</v>
      </c>
      <c r="O1996" s="118">
        <v>1</v>
      </c>
      <c r="P1996" s="320">
        <v>1261319</v>
      </c>
      <c r="Q1996" s="320">
        <v>22</v>
      </c>
      <c r="R1996" s="320"/>
      <c r="S1996" s="320" t="s">
        <v>1198</v>
      </c>
      <c r="T1996" s="320" t="s">
        <v>2154</v>
      </c>
      <c r="U1996" s="320">
        <v>1283630</v>
      </c>
      <c r="V1996" s="319" t="s">
        <v>87</v>
      </c>
      <c r="W1996" s="320">
        <v>2</v>
      </c>
      <c r="X1996" s="320">
        <v>2</v>
      </c>
      <c r="Y1996" s="320">
        <v>2</v>
      </c>
      <c r="Z1996" s="320">
        <v>2</v>
      </c>
      <c r="AA1996" s="320">
        <v>3</v>
      </c>
      <c r="AB1996" s="320">
        <v>3</v>
      </c>
      <c r="AC1996" s="320">
        <v>2</v>
      </c>
      <c r="AD1996" s="320">
        <v>6</v>
      </c>
      <c r="AE1996" s="320">
        <v>4</v>
      </c>
      <c r="AF1996" s="320"/>
      <c r="AG1996" s="320">
        <v>1</v>
      </c>
      <c r="AH1996" s="320">
        <v>1</v>
      </c>
      <c r="AI1996" s="320">
        <v>1</v>
      </c>
      <c r="AJ1996" s="320">
        <v>5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str">
        <f t="shared" si="244"/>
        <v/>
      </c>
    </row>
    <row r="1997" spans="14:59" x14ac:dyDescent="0.35">
      <c r="N1997">
        <f t="shared" si="243"/>
        <v>40</v>
      </c>
      <c r="O1997" s="3">
        <v>2</v>
      </c>
      <c r="P1997" s="36">
        <v>1255773</v>
      </c>
      <c r="Q1997" s="36">
        <v>20</v>
      </c>
      <c r="R1997" s="36"/>
      <c r="S1997" s="36" t="s">
        <v>1198</v>
      </c>
      <c r="T1997" s="36" t="s">
        <v>2154</v>
      </c>
      <c r="U1997" s="36">
        <v>1283630</v>
      </c>
      <c r="V1997" s="165" t="s">
        <v>88</v>
      </c>
      <c r="W1997" s="36">
        <v>2</v>
      </c>
      <c r="X1997" s="36">
        <v>3</v>
      </c>
      <c r="Y1997" s="36">
        <v>3</v>
      </c>
      <c r="Z1997" s="36">
        <v>2</v>
      </c>
      <c r="AA1997" s="36">
        <v>6</v>
      </c>
      <c r="AB1997" s="36">
        <v>4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5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str">
        <f t="shared" si="244"/>
        <v/>
      </c>
    </row>
    <row r="1998" spans="14:59" x14ac:dyDescent="0.35">
      <c r="N1998">
        <f t="shared" si="243"/>
        <v>42</v>
      </c>
      <c r="O1998" s="3">
        <v>3</v>
      </c>
      <c r="P1998" s="36">
        <v>1228502</v>
      </c>
      <c r="Q1998" s="36">
        <v>14</v>
      </c>
      <c r="R1998" s="36"/>
      <c r="S1998" s="36" t="s">
        <v>1198</v>
      </c>
      <c r="T1998" s="36" t="s">
        <v>2154</v>
      </c>
      <c r="U1998" s="36">
        <v>1283630</v>
      </c>
      <c r="V1998" s="165" t="s">
        <v>89</v>
      </c>
      <c r="W1998" s="36">
        <v>2</v>
      </c>
      <c r="X1998" s="36">
        <v>2</v>
      </c>
      <c r="Y1998" s="36">
        <v>2</v>
      </c>
      <c r="Z1998" s="36">
        <v>3</v>
      </c>
      <c r="AA1998" s="36">
        <v>3</v>
      </c>
      <c r="AB1998" s="36">
        <v>2</v>
      </c>
      <c r="AC1998" s="36">
        <v>6</v>
      </c>
      <c r="AD1998" s="36">
        <v>6</v>
      </c>
      <c r="AE1998" s="36">
        <v>4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str">
        <f t="shared" si="244"/>
        <v/>
      </c>
    </row>
    <row r="1999" spans="14:59" x14ac:dyDescent="0.35">
      <c r="N1999">
        <f t="shared" si="243"/>
        <v>24</v>
      </c>
      <c r="O1999" s="3">
        <v>4</v>
      </c>
      <c r="P1999" s="36">
        <v>871781</v>
      </c>
      <c r="Q1999" s="36">
        <v>6</v>
      </c>
      <c r="R1999" s="36"/>
      <c r="S1999" s="36" t="s">
        <v>1198</v>
      </c>
      <c r="T1999" s="36" t="s">
        <v>2154</v>
      </c>
      <c r="U1999" s="36">
        <v>1283630</v>
      </c>
      <c r="V1999" s="165" t="s">
        <v>90</v>
      </c>
      <c r="W1999" s="36">
        <v>2</v>
      </c>
      <c r="X1999" s="36">
        <v>3</v>
      </c>
      <c r="Y1999" s="36">
        <v>3</v>
      </c>
      <c r="Z1999" s="36">
        <v>3</v>
      </c>
      <c r="AA1999" s="36">
        <v>2</v>
      </c>
      <c r="AB1999" s="36">
        <v>6</v>
      </c>
      <c r="AC1999" s="36">
        <v>4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str">
        <f t="shared" si="244"/>
        <v/>
      </c>
    </row>
    <row r="2000" spans="14:59" x14ac:dyDescent="0.35">
      <c r="N2000">
        <f t="shared" si="243"/>
        <v>15</v>
      </c>
      <c r="O2000" s="3">
        <v>5</v>
      </c>
      <c r="P2000" s="36">
        <v>1201518</v>
      </c>
      <c r="Q2000" s="36">
        <v>3</v>
      </c>
      <c r="R2000" s="36"/>
      <c r="S2000" s="36" t="s">
        <v>1198</v>
      </c>
      <c r="T2000" s="36" t="s">
        <v>2154</v>
      </c>
      <c r="U2000" s="36">
        <v>1283630</v>
      </c>
      <c r="V2000" s="165" t="s">
        <v>91</v>
      </c>
      <c r="W2000" s="36">
        <v>2</v>
      </c>
      <c r="X2000" s="36">
        <v>2</v>
      </c>
      <c r="Y2000" s="36">
        <v>2</v>
      </c>
      <c r="Z2000" s="36">
        <v>3</v>
      </c>
      <c r="AA2000" s="36">
        <v>3</v>
      </c>
      <c r="AB2000" s="36">
        <v>3</v>
      </c>
      <c r="AC2000" s="36">
        <v>2</v>
      </c>
      <c r="AD2000" s="36">
        <v>6</v>
      </c>
      <c r="AE2000" s="36">
        <v>4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str">
        <f t="shared" si="244"/>
        <v/>
      </c>
    </row>
    <row r="2001" spans="11:59" x14ac:dyDescent="0.35">
      <c r="K2001" s="569"/>
      <c r="N2001">
        <f t="shared" ref="N2001:N2006" si="245">O2001*Q2001</f>
        <v>42</v>
      </c>
      <c r="O2001" s="3">
        <v>6</v>
      </c>
      <c r="P2001" s="36">
        <v>1126402</v>
      </c>
      <c r="Q2001" s="36">
        <v>7</v>
      </c>
      <c r="R2001" s="36"/>
      <c r="S2001" s="36" t="s">
        <v>1198</v>
      </c>
      <c r="T2001" s="36" t="s">
        <v>2154</v>
      </c>
      <c r="U2001" s="36">
        <v>1283630</v>
      </c>
      <c r="V2001" s="165" t="s">
        <v>92</v>
      </c>
      <c r="W2001" s="36">
        <v>2</v>
      </c>
      <c r="X2001" s="36">
        <v>2</v>
      </c>
      <c r="Y2001" s="36">
        <v>3</v>
      </c>
      <c r="Z2001" s="36">
        <v>3</v>
      </c>
      <c r="AA2001" s="36">
        <v>2</v>
      </c>
      <c r="AB2001" s="36">
        <v>6</v>
      </c>
      <c r="AC2001" s="36">
        <v>4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5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str">
        <f t="shared" si="244"/>
        <v/>
      </c>
    </row>
    <row r="2002" spans="11:59" x14ac:dyDescent="0.35">
      <c r="N2002">
        <f t="shared" si="245"/>
        <v>98</v>
      </c>
      <c r="O2002" s="1120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2154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str">
        <f t="shared" si="244"/>
        <v/>
      </c>
    </row>
    <row r="2003" spans="11:59" x14ac:dyDescent="0.35">
      <c r="N2003">
        <f t="shared" si="245"/>
        <v>0</v>
      </c>
      <c r="O2003" s="3"/>
      <c r="P2003" s="36"/>
      <c r="Q2003" s="36"/>
      <c r="R2003" s="36"/>
      <c r="S2003" s="36" t="s">
        <v>1198</v>
      </c>
      <c r="T2003" s="36" t="s">
        <v>2154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str">
        <f t="shared" si="244"/>
        <v/>
      </c>
    </row>
    <row r="2004" spans="11:59" x14ac:dyDescent="0.35">
      <c r="N2004">
        <f t="shared" si="245"/>
        <v>0</v>
      </c>
      <c r="O2004" s="3"/>
      <c r="P2004" s="36"/>
      <c r="Q2004" s="36"/>
      <c r="R2004" s="36"/>
      <c r="S2004" s="36" t="s">
        <v>1198</v>
      </c>
      <c r="T2004" s="36" t="s">
        <v>2154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str">
        <f t="shared" si="244"/>
        <v/>
      </c>
    </row>
    <row r="2005" spans="11:59" x14ac:dyDescent="0.35">
      <c r="N2005">
        <f t="shared" si="245"/>
        <v>0</v>
      </c>
      <c r="O2005" s="3"/>
      <c r="P2005" s="36"/>
      <c r="Q2005" s="36"/>
      <c r="R2005" s="36"/>
      <c r="S2005" s="36" t="s">
        <v>1198</v>
      </c>
      <c r="T2005" s="36" t="s">
        <v>2154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str">
        <f t="shared" si="244"/>
        <v/>
      </c>
    </row>
    <row r="2006" spans="11:59" ht="15" thickBot="1" x14ac:dyDescent="0.4">
      <c r="N2006">
        <f t="shared" si="245"/>
        <v>0</v>
      </c>
      <c r="O2006" s="76"/>
      <c r="P2006" s="328"/>
      <c r="Q2006" s="328"/>
      <c r="R2006" s="328"/>
      <c r="S2006" s="328" t="s">
        <v>1198</v>
      </c>
      <c r="T2006" s="328" t="s">
        <v>2154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str">
        <f t="shared" si="244"/>
        <v/>
      </c>
    </row>
    <row r="2007" spans="11:59" x14ac:dyDescent="0.35">
      <c r="N2007">
        <f t="shared" si="243"/>
        <v>12</v>
      </c>
      <c r="O2007" s="77">
        <v>1</v>
      </c>
      <c r="P2007" s="38">
        <v>773383</v>
      </c>
      <c r="Q2007" s="38">
        <v>12</v>
      </c>
      <c r="R2007" s="38"/>
      <c r="S2007" s="38" t="s">
        <v>2363</v>
      </c>
      <c r="T2007" s="38" t="s">
        <v>2364</v>
      </c>
      <c r="U2007" s="38">
        <v>2018723</v>
      </c>
      <c r="V2007" s="1105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str">
        <f t="shared" si="244"/>
        <v/>
      </c>
    </row>
    <row r="2008" spans="11:59" x14ac:dyDescent="0.35">
      <c r="N2008">
        <f t="shared" si="243"/>
        <v>24</v>
      </c>
      <c r="O2008" s="3">
        <v>2</v>
      </c>
      <c r="P2008" s="36">
        <v>2001155</v>
      </c>
      <c r="Q2008" s="36">
        <v>12</v>
      </c>
      <c r="R2008" s="36"/>
      <c r="S2008" s="36" t="s">
        <v>2363</v>
      </c>
      <c r="T2008" s="36" t="s">
        <v>2364</v>
      </c>
      <c r="U2008" s="36">
        <v>2018723</v>
      </c>
      <c r="V2008" s="1024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str">
        <f t="shared" si="244"/>
        <v/>
      </c>
    </row>
    <row r="2009" spans="11:59" x14ac:dyDescent="0.35">
      <c r="N2009">
        <f t="shared" si="243"/>
        <v>18</v>
      </c>
      <c r="O2009" s="3">
        <v>3</v>
      </c>
      <c r="P2009" s="36">
        <v>871781</v>
      </c>
      <c r="Q2009" s="36">
        <v>6</v>
      </c>
      <c r="R2009" s="36"/>
      <c r="S2009" s="36" t="s">
        <v>2363</v>
      </c>
      <c r="T2009" s="36" t="s">
        <v>2364</v>
      </c>
      <c r="U2009" s="36">
        <v>2018723</v>
      </c>
      <c r="V2009" s="1024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str">
        <f t="shared" si="244"/>
        <v/>
      </c>
    </row>
    <row r="2010" spans="11:59" x14ac:dyDescent="0.35">
      <c r="N2010">
        <f t="shared" si="243"/>
        <v>24</v>
      </c>
      <c r="O2010" s="3">
        <v>4</v>
      </c>
      <c r="P2010" s="36">
        <v>1152018</v>
      </c>
      <c r="Q2010" s="36">
        <v>6</v>
      </c>
      <c r="R2010" s="36"/>
      <c r="S2010" s="36" t="s">
        <v>2363</v>
      </c>
      <c r="T2010" s="36" t="s">
        <v>2364</v>
      </c>
      <c r="U2010" s="36">
        <v>2018723</v>
      </c>
      <c r="V2010" s="1024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str">
        <f t="shared" si="244"/>
        <v/>
      </c>
    </row>
    <row r="2011" spans="11:59" x14ac:dyDescent="0.35">
      <c r="N2011">
        <f t="shared" si="243"/>
        <v>30</v>
      </c>
      <c r="O2011" s="3">
        <v>5</v>
      </c>
      <c r="P2011" s="36">
        <v>1146346</v>
      </c>
      <c r="Q2011" s="36">
        <v>6</v>
      </c>
      <c r="R2011" s="36"/>
      <c r="S2011" s="36" t="s">
        <v>2363</v>
      </c>
      <c r="T2011" s="36" t="s">
        <v>2364</v>
      </c>
      <c r="U2011" s="36">
        <v>2018723</v>
      </c>
      <c r="V2011" s="1024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str">
        <f t="shared" si="244"/>
        <v/>
      </c>
    </row>
    <row r="2012" spans="11:59" x14ac:dyDescent="0.35">
      <c r="N2012">
        <f t="shared" si="243"/>
        <v>30</v>
      </c>
      <c r="O2012" s="3">
        <v>6</v>
      </c>
      <c r="P2012" s="36">
        <v>410851</v>
      </c>
      <c r="Q2012" s="36">
        <v>5</v>
      </c>
      <c r="R2012" s="36"/>
      <c r="S2012" s="36" t="s">
        <v>2363</v>
      </c>
      <c r="T2012" s="36" t="s">
        <v>2364</v>
      </c>
      <c r="U2012" s="36">
        <v>2018723</v>
      </c>
      <c r="V2012" s="1024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str">
        <f t="shared" si="244"/>
        <v/>
      </c>
    </row>
    <row r="2013" spans="11:59" x14ac:dyDescent="0.35">
      <c r="N2013">
        <f t="shared" si="243"/>
        <v>35</v>
      </c>
      <c r="O2013" s="3">
        <v>7</v>
      </c>
      <c r="P2013" s="36">
        <v>179733</v>
      </c>
      <c r="Q2013" s="36">
        <v>5</v>
      </c>
      <c r="R2013" s="36"/>
      <c r="S2013" s="36" t="s">
        <v>2363</v>
      </c>
      <c r="T2013" s="36" t="s">
        <v>2364</v>
      </c>
      <c r="U2013" s="36">
        <v>2018723</v>
      </c>
      <c r="V2013" s="1024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str">
        <f t="shared" si="244"/>
        <v/>
      </c>
    </row>
    <row r="2014" spans="11:59" ht="15" thickBot="1" x14ac:dyDescent="0.4">
      <c r="N2014">
        <f t="shared" si="243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2363</v>
      </c>
      <c r="T2014" s="486" t="s">
        <v>2364</v>
      </c>
      <c r="U2014" s="486">
        <v>2018723</v>
      </c>
      <c r="V2014" s="1024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str">
        <f t="shared" si="244"/>
        <v/>
      </c>
    </row>
    <row r="2015" spans="11:59" x14ac:dyDescent="0.35">
      <c r="N2015">
        <f t="shared" si="243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1938</v>
      </c>
      <c r="T2015" s="320" t="s">
        <v>2102</v>
      </c>
      <c r="U2015" s="320">
        <v>2015327</v>
      </c>
      <c r="V2015" s="1024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str">
        <f t="shared" si="244"/>
        <v/>
      </c>
    </row>
    <row r="2016" spans="11:59" x14ac:dyDescent="0.35">
      <c r="N2016">
        <f t="shared" si="243"/>
        <v>56</v>
      </c>
      <c r="O2016" s="3">
        <v>2</v>
      </c>
      <c r="P2016" s="36">
        <v>1130197</v>
      </c>
      <c r="Q2016" s="36">
        <v>28</v>
      </c>
      <c r="R2016" s="36"/>
      <c r="S2016" s="36" t="s">
        <v>1938</v>
      </c>
      <c r="T2016" s="36" t="s">
        <v>2102</v>
      </c>
      <c r="U2016" s="36">
        <v>2015327</v>
      </c>
      <c r="V2016" s="1024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str">
        <f t="shared" si="244"/>
        <v/>
      </c>
    </row>
    <row r="2017" spans="14:59" x14ac:dyDescent="0.35">
      <c r="N2017">
        <f t="shared" ref="N2017:N2063" si="246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1938</v>
      </c>
      <c r="T2017" s="36" t="s">
        <v>2102</v>
      </c>
      <c r="U2017" s="36">
        <v>2015327</v>
      </c>
      <c r="V2017" s="1024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str">
        <f t="shared" si="244"/>
        <v/>
      </c>
    </row>
    <row r="2018" spans="14:59" x14ac:dyDescent="0.35">
      <c r="N2018">
        <f t="shared" si="246"/>
        <v>48</v>
      </c>
      <c r="O2018" s="3">
        <v>4</v>
      </c>
      <c r="P2018" s="36">
        <v>1192901</v>
      </c>
      <c r="Q2018" s="36">
        <v>12</v>
      </c>
      <c r="R2018" s="36"/>
      <c r="S2018" s="36" t="s">
        <v>1938</v>
      </c>
      <c r="T2018" s="36" t="s">
        <v>2102</v>
      </c>
      <c r="U2018" s="36">
        <v>2015327</v>
      </c>
      <c r="V2018" s="1024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str">
        <f t="shared" si="244"/>
        <v/>
      </c>
    </row>
    <row r="2019" spans="14:59" x14ac:dyDescent="0.35">
      <c r="N2019">
        <f t="shared" si="246"/>
        <v>30</v>
      </c>
      <c r="O2019" s="3">
        <v>5</v>
      </c>
      <c r="P2019" s="36">
        <v>871781</v>
      </c>
      <c r="Q2019" s="36">
        <v>6</v>
      </c>
      <c r="R2019" s="36"/>
      <c r="S2019" s="36" t="s">
        <v>1938</v>
      </c>
      <c r="T2019" s="36" t="s">
        <v>2102</v>
      </c>
      <c r="U2019" s="36">
        <v>2015327</v>
      </c>
      <c r="V2019" s="1024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str">
        <f t="shared" si="244"/>
        <v/>
      </c>
    </row>
    <row r="2020" spans="14:59" ht="15" thickBot="1" x14ac:dyDescent="0.4">
      <c r="N2020">
        <f t="shared" si="246"/>
        <v>0</v>
      </c>
      <c r="O2020" s="959"/>
      <c r="P2020" s="486"/>
      <c r="Q2020" s="486"/>
      <c r="R2020" s="486"/>
      <c r="S2020" s="486" t="s">
        <v>1938</v>
      </c>
      <c r="T2020" s="486" t="s">
        <v>2102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str">
        <f t="shared" si="244"/>
        <v/>
      </c>
    </row>
    <row r="2021" spans="14:59" x14ac:dyDescent="0.35">
      <c r="N2021">
        <f t="shared" si="246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2316</v>
      </c>
      <c r="T2021" s="320" t="s">
        <v>2414</v>
      </c>
      <c r="U2021" s="320">
        <v>2019412</v>
      </c>
      <c r="V2021" s="1025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str">
        <f t="shared" si="244"/>
        <v/>
      </c>
    </row>
    <row r="2022" spans="14:59" x14ac:dyDescent="0.35">
      <c r="N2022">
        <f t="shared" si="246"/>
        <v>24</v>
      </c>
      <c r="O2022" s="3">
        <v>2</v>
      </c>
      <c r="P2022" s="36">
        <v>1282370</v>
      </c>
      <c r="Q2022" s="36">
        <v>12</v>
      </c>
      <c r="R2022" s="36"/>
      <c r="S2022" s="36" t="s">
        <v>2316</v>
      </c>
      <c r="T2022" s="36" t="s">
        <v>2414</v>
      </c>
      <c r="U2022" s="36">
        <v>2019412</v>
      </c>
      <c r="V2022" s="1024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str">
        <f t="shared" si="244"/>
        <v/>
      </c>
    </row>
    <row r="2023" spans="14:59" x14ac:dyDescent="0.35">
      <c r="N2023">
        <f t="shared" si="246"/>
        <v>3</v>
      </c>
      <c r="O2023" s="3">
        <v>3</v>
      </c>
      <c r="P2023" s="36">
        <v>1208601</v>
      </c>
      <c r="Q2023" s="36">
        <v>1</v>
      </c>
      <c r="R2023" s="36"/>
      <c r="S2023" s="36" t="s">
        <v>2316</v>
      </c>
      <c r="T2023" s="36" t="s">
        <v>2414</v>
      </c>
      <c r="U2023" s="36">
        <v>2019412</v>
      </c>
      <c r="V2023" s="1024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str">
        <f t="shared" si="244"/>
        <v/>
      </c>
    </row>
    <row r="2024" spans="14:59" x14ac:dyDescent="0.35">
      <c r="N2024">
        <f t="shared" si="246"/>
        <v>28</v>
      </c>
      <c r="O2024" s="3">
        <v>4</v>
      </c>
      <c r="P2024" s="36">
        <v>2001060</v>
      </c>
      <c r="Q2024" s="36">
        <v>7</v>
      </c>
      <c r="R2024" s="36"/>
      <c r="S2024" s="36" t="s">
        <v>2316</v>
      </c>
      <c r="T2024" s="36" t="s">
        <v>2414</v>
      </c>
      <c r="U2024" s="36">
        <v>2019412</v>
      </c>
      <c r="V2024" s="1024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str">
        <f t="shared" si="244"/>
        <v/>
      </c>
    </row>
    <row r="2025" spans="14:59" x14ac:dyDescent="0.35">
      <c r="N2025">
        <f t="shared" si="246"/>
        <v>30</v>
      </c>
      <c r="O2025" s="3">
        <v>5</v>
      </c>
      <c r="P2025" s="36">
        <v>871781</v>
      </c>
      <c r="Q2025" s="36">
        <v>6</v>
      </c>
      <c r="R2025" s="36"/>
      <c r="S2025" s="36" t="s">
        <v>2316</v>
      </c>
      <c r="T2025" s="36" t="s">
        <v>2414</v>
      </c>
      <c r="U2025" s="36">
        <v>2019412</v>
      </c>
      <c r="V2025" s="1024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str">
        <f t="shared" si="244"/>
        <v/>
      </c>
    </row>
    <row r="2026" spans="14:59" x14ac:dyDescent="0.35">
      <c r="N2026">
        <f t="shared" si="246"/>
        <v>36</v>
      </c>
      <c r="O2026" s="3">
        <v>6</v>
      </c>
      <c r="P2026" s="36">
        <v>1130197</v>
      </c>
      <c r="Q2026" s="36">
        <v>6</v>
      </c>
      <c r="R2026" s="36"/>
      <c r="S2026" s="36" t="s">
        <v>2316</v>
      </c>
      <c r="T2026" s="36" t="s">
        <v>2414</v>
      </c>
      <c r="U2026" s="36">
        <v>2019412</v>
      </c>
      <c r="V2026" s="1024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str">
        <f t="shared" si="244"/>
        <v/>
      </c>
    </row>
    <row r="2027" spans="14:59" x14ac:dyDescent="0.35">
      <c r="N2027">
        <f t="shared" si="246"/>
        <v>35</v>
      </c>
      <c r="O2027" s="3">
        <v>7</v>
      </c>
      <c r="P2027" s="36">
        <v>1288783</v>
      </c>
      <c r="Q2027" s="36">
        <v>5</v>
      </c>
      <c r="R2027" s="36"/>
      <c r="S2027" s="36" t="s">
        <v>2316</v>
      </c>
      <c r="T2027" s="36" t="s">
        <v>2414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str">
        <f t="shared" si="244"/>
        <v/>
      </c>
    </row>
    <row r="2028" spans="14:59" ht="15" thickBot="1" x14ac:dyDescent="0.4">
      <c r="N2028">
        <f t="shared" si="246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2316</v>
      </c>
      <c r="T2028" s="486" t="s">
        <v>2414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str">
        <f t="shared" si="244"/>
        <v/>
      </c>
    </row>
    <row r="2029" spans="14:59" x14ac:dyDescent="0.35">
      <c r="N2029">
        <f t="shared" si="246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2345</v>
      </c>
      <c r="T2029" s="320" t="s">
        <v>2423</v>
      </c>
      <c r="U2029" s="320">
        <v>2020054</v>
      </c>
      <c r="V2029" s="1025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str">
        <f t="shared" si="244"/>
        <v/>
      </c>
    </row>
    <row r="2030" spans="14:59" x14ac:dyDescent="0.35">
      <c r="N2030">
        <f t="shared" si="246"/>
        <v>20</v>
      </c>
      <c r="O2030" s="3">
        <v>2</v>
      </c>
      <c r="P2030" s="36">
        <v>649901</v>
      </c>
      <c r="Q2030" s="36">
        <v>10</v>
      </c>
      <c r="R2030" s="36"/>
      <c r="S2030" s="36" t="s">
        <v>2345</v>
      </c>
      <c r="T2030" s="36" t="s">
        <v>2423</v>
      </c>
      <c r="U2030" s="36">
        <v>2020054</v>
      </c>
      <c r="V2030" s="1024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str">
        <f t="shared" si="244"/>
        <v/>
      </c>
    </row>
    <row r="2031" spans="14:59" x14ac:dyDescent="0.35">
      <c r="N2031">
        <f t="shared" si="246"/>
        <v>21</v>
      </c>
      <c r="O2031" s="3">
        <v>3</v>
      </c>
      <c r="P2031" s="36">
        <v>1244299</v>
      </c>
      <c r="Q2031" s="36">
        <v>7</v>
      </c>
      <c r="R2031" s="36"/>
      <c r="S2031" s="36" t="s">
        <v>2345</v>
      </c>
      <c r="T2031" s="36" t="s">
        <v>2423</v>
      </c>
      <c r="U2031" s="36">
        <v>2020054</v>
      </c>
      <c r="V2031" s="1024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str">
        <f t="shared" ref="BG2031:BG2094" si="247">IF(VALUE(SUBSTITUTE($B$5,"M",""))=U2031,BF2031,"")</f>
        <v/>
      </c>
    </row>
    <row r="2032" spans="14:59" x14ac:dyDescent="0.35">
      <c r="N2032">
        <f t="shared" si="246"/>
        <v>20</v>
      </c>
      <c r="O2032" s="3">
        <v>4</v>
      </c>
      <c r="P2032" s="36">
        <v>871781</v>
      </c>
      <c r="Q2032" s="36">
        <v>5</v>
      </c>
      <c r="R2032" s="36"/>
      <c r="S2032" s="36" t="s">
        <v>2345</v>
      </c>
      <c r="T2032" s="36" t="s">
        <v>2423</v>
      </c>
      <c r="U2032" s="36">
        <v>2020054</v>
      </c>
      <c r="V2032" s="1024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str">
        <f t="shared" si="247"/>
        <v/>
      </c>
    </row>
    <row r="2033" spans="14:59" ht="15" thickBot="1" x14ac:dyDescent="0.4">
      <c r="N2033">
        <f t="shared" si="246"/>
        <v>0</v>
      </c>
      <c r="O2033" s="76"/>
      <c r="P2033" s="328"/>
      <c r="Q2033" s="328"/>
      <c r="R2033" s="328"/>
      <c r="S2033" s="328" t="s">
        <v>2345</v>
      </c>
      <c r="T2033" s="328" t="s">
        <v>2423</v>
      </c>
      <c r="U2033" s="328">
        <v>2020054</v>
      </c>
      <c r="V2033" s="1058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str">
        <f t="shared" si="247"/>
        <v/>
      </c>
    </row>
    <row r="2034" spans="14:59" x14ac:dyDescent="0.35">
      <c r="N2034">
        <f t="shared" si="246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2345</v>
      </c>
      <c r="T2034" s="320" t="s">
        <v>2154</v>
      </c>
      <c r="U2034" s="320">
        <v>2017993</v>
      </c>
      <c r="V2034" s="1025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str">
        <f t="shared" si="247"/>
        <v/>
      </c>
    </row>
    <row r="2035" spans="14:59" x14ac:dyDescent="0.35">
      <c r="N2035">
        <f t="shared" si="246"/>
        <v>20</v>
      </c>
      <c r="O2035" s="3">
        <v>2</v>
      </c>
      <c r="P2035" s="36">
        <v>1228502</v>
      </c>
      <c r="Q2035" s="36">
        <v>10</v>
      </c>
      <c r="R2035" s="36"/>
      <c r="S2035" s="36" t="s">
        <v>2345</v>
      </c>
      <c r="T2035" s="36" t="s">
        <v>2154</v>
      </c>
      <c r="U2035" s="36">
        <v>2017993</v>
      </c>
      <c r="V2035" s="1024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str">
        <f t="shared" si="247"/>
        <v/>
      </c>
    </row>
    <row r="2036" spans="14:59" x14ac:dyDescent="0.35">
      <c r="N2036">
        <f t="shared" si="246"/>
        <v>18</v>
      </c>
      <c r="O2036" s="3">
        <v>3</v>
      </c>
      <c r="P2036" s="36">
        <v>871781</v>
      </c>
      <c r="Q2036" s="36">
        <v>6</v>
      </c>
      <c r="R2036" s="36"/>
      <c r="S2036" s="36" t="s">
        <v>2345</v>
      </c>
      <c r="T2036" s="36" t="s">
        <v>2154</v>
      </c>
      <c r="U2036" s="36">
        <v>2017993</v>
      </c>
      <c r="V2036" s="1024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str">
        <f t="shared" si="247"/>
        <v/>
      </c>
    </row>
    <row r="2037" spans="14:59" x14ac:dyDescent="0.35">
      <c r="N2037">
        <f t="shared" si="246"/>
        <v>60</v>
      </c>
      <c r="O2037" s="3">
        <v>4</v>
      </c>
      <c r="P2037" s="36">
        <v>2002244</v>
      </c>
      <c r="Q2037" s="36">
        <v>15</v>
      </c>
      <c r="R2037" s="36"/>
      <c r="S2037" s="36" t="s">
        <v>2345</v>
      </c>
      <c r="T2037" s="36" t="s">
        <v>2154</v>
      </c>
      <c r="U2037" s="36">
        <v>2017993</v>
      </c>
      <c r="V2037" s="1024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str">
        <f t="shared" si="247"/>
        <v/>
      </c>
    </row>
    <row r="2038" spans="14:59" x14ac:dyDescent="0.35">
      <c r="N2038">
        <f t="shared" si="246"/>
        <v>20</v>
      </c>
      <c r="O2038" s="3">
        <v>5</v>
      </c>
      <c r="P2038" s="36">
        <v>2002299</v>
      </c>
      <c r="Q2038" s="36">
        <v>4</v>
      </c>
      <c r="R2038" s="36"/>
      <c r="S2038" s="36" t="s">
        <v>2345</v>
      </c>
      <c r="T2038" s="36" t="s">
        <v>2154</v>
      </c>
      <c r="U2038" s="36">
        <v>2017993</v>
      </c>
      <c r="V2038" s="1024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str">
        <f t="shared" si="247"/>
        <v/>
      </c>
    </row>
    <row r="2039" spans="14:59" ht="15" thickBot="1" x14ac:dyDescent="0.4">
      <c r="N2039">
        <f t="shared" si="246"/>
        <v>60</v>
      </c>
      <c r="O2039" s="1062">
        <v>6</v>
      </c>
      <c r="P2039" s="1063">
        <v>1228501</v>
      </c>
      <c r="Q2039" s="1063">
        <v>10</v>
      </c>
      <c r="R2039" s="486"/>
      <c r="S2039" s="486" t="s">
        <v>2345</v>
      </c>
      <c r="T2039" s="486" t="s">
        <v>2154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str">
        <f t="shared" si="247"/>
        <v/>
      </c>
    </row>
    <row r="2040" spans="14:59" x14ac:dyDescent="0.35">
      <c r="N2040">
        <f t="shared" si="246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2430</v>
      </c>
      <c r="U2040" s="320">
        <v>2019414</v>
      </c>
      <c r="V2040" s="1025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str">
        <f t="shared" si="247"/>
        <v/>
      </c>
    </row>
    <row r="2041" spans="14:59" x14ac:dyDescent="0.35">
      <c r="N2041">
        <f t="shared" si="246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2430</v>
      </c>
      <c r="U2041" s="36">
        <v>2019414</v>
      </c>
      <c r="V2041" s="1024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str">
        <f t="shared" si="247"/>
        <v/>
      </c>
    </row>
    <row r="2042" spans="14:59" x14ac:dyDescent="0.35">
      <c r="N2042">
        <f t="shared" si="246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2430</v>
      </c>
      <c r="U2042" s="36">
        <v>2019414</v>
      </c>
      <c r="V2042" s="1024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str">
        <f t="shared" si="247"/>
        <v/>
      </c>
    </row>
    <row r="2043" spans="14:59" x14ac:dyDescent="0.35">
      <c r="N2043">
        <f t="shared" si="246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2430</v>
      </c>
      <c r="U2043" s="36">
        <v>2019414</v>
      </c>
      <c r="V2043" s="1024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str">
        <f t="shared" si="247"/>
        <v/>
      </c>
    </row>
    <row r="2044" spans="14:59" x14ac:dyDescent="0.35">
      <c r="N2044">
        <f t="shared" si="246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2430</v>
      </c>
      <c r="U2044" s="36">
        <v>2019414</v>
      </c>
      <c r="V2044" s="1024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str">
        <f t="shared" si="247"/>
        <v/>
      </c>
    </row>
    <row r="2045" spans="14:59" ht="15" thickBot="1" x14ac:dyDescent="0.4">
      <c r="N2045">
        <f t="shared" si="246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2430</v>
      </c>
      <c r="U2045" s="486">
        <v>2019414</v>
      </c>
      <c r="V2045" s="1103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str">
        <f t="shared" si="247"/>
        <v/>
      </c>
    </row>
    <row r="2046" spans="14:59" x14ac:dyDescent="0.35">
      <c r="N2046">
        <f t="shared" si="246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2484</v>
      </c>
      <c r="T2046" s="320" t="s">
        <v>1321</v>
      </c>
      <c r="U2046" s="320">
        <v>2009244</v>
      </c>
      <c r="V2046" s="1103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str">
        <f t="shared" si="247"/>
        <v/>
      </c>
    </row>
    <row r="2047" spans="14:59" x14ac:dyDescent="0.35">
      <c r="N2047">
        <f t="shared" si="246"/>
        <v>46</v>
      </c>
      <c r="O2047" s="3">
        <v>2</v>
      </c>
      <c r="P2047" s="36">
        <v>647435</v>
      </c>
      <c r="Q2047" s="36">
        <v>23</v>
      </c>
      <c r="R2047" s="36"/>
      <c r="S2047" s="36" t="s">
        <v>2484</v>
      </c>
      <c r="T2047" s="36" t="s">
        <v>1321</v>
      </c>
      <c r="U2047" s="36">
        <v>2009244</v>
      </c>
      <c r="V2047" s="1103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str">
        <f t="shared" si="247"/>
        <v/>
      </c>
    </row>
    <row r="2048" spans="14:59" x14ac:dyDescent="0.35">
      <c r="N2048">
        <f t="shared" si="246"/>
        <v>18</v>
      </c>
      <c r="O2048" s="3">
        <v>3</v>
      </c>
      <c r="P2048" s="36">
        <v>871781</v>
      </c>
      <c r="Q2048" s="36">
        <v>6</v>
      </c>
      <c r="R2048" s="36"/>
      <c r="S2048" s="36" t="s">
        <v>2484</v>
      </c>
      <c r="T2048" s="36" t="s">
        <v>1321</v>
      </c>
      <c r="U2048" s="36">
        <v>2009244</v>
      </c>
      <c r="V2048" s="1103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str">
        <f t="shared" si="247"/>
        <v/>
      </c>
    </row>
    <row r="2049" spans="14:59" x14ac:dyDescent="0.35">
      <c r="N2049">
        <f t="shared" si="246"/>
        <v>0</v>
      </c>
      <c r="O2049" s="3"/>
      <c r="P2049" s="36"/>
      <c r="Q2049" s="36"/>
      <c r="R2049" s="36"/>
      <c r="S2049" s="36" t="s">
        <v>2484</v>
      </c>
      <c r="T2049" s="36" t="s">
        <v>1321</v>
      </c>
      <c r="U2049" s="36">
        <v>2009244</v>
      </c>
      <c r="V2049" s="1103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str">
        <f t="shared" si="247"/>
        <v/>
      </c>
    </row>
    <row r="2050" spans="14:59" x14ac:dyDescent="0.35">
      <c r="N2050">
        <f t="shared" si="246"/>
        <v>0</v>
      </c>
      <c r="O2050" s="3"/>
      <c r="P2050" s="36"/>
      <c r="Q2050" s="36"/>
      <c r="R2050" s="36"/>
      <c r="S2050" s="36" t="s">
        <v>2484</v>
      </c>
      <c r="T2050" s="36" t="s">
        <v>1321</v>
      </c>
      <c r="U2050" s="36">
        <v>2009244</v>
      </c>
      <c r="V2050" s="1103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str">
        <f t="shared" si="247"/>
        <v/>
      </c>
    </row>
    <row r="2051" spans="14:59" ht="15" thickBot="1" x14ac:dyDescent="0.4">
      <c r="N2051">
        <f t="shared" si="246"/>
        <v>0</v>
      </c>
      <c r="O2051" s="959"/>
      <c r="P2051" s="486"/>
      <c r="Q2051" s="486"/>
      <c r="R2051" s="486"/>
      <c r="S2051" s="486" t="s">
        <v>2484</v>
      </c>
      <c r="T2051" s="486" t="s">
        <v>1321</v>
      </c>
      <c r="U2051" s="486">
        <v>2009244</v>
      </c>
      <c r="V2051" s="1103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str">
        <f t="shared" si="247"/>
        <v/>
      </c>
    </row>
    <row r="2052" spans="14:59" x14ac:dyDescent="0.35">
      <c r="N2052">
        <f t="shared" si="246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2484</v>
      </c>
      <c r="T2052" s="320" t="s">
        <v>1321</v>
      </c>
      <c r="U2052" s="320">
        <v>2016137</v>
      </c>
      <c r="V2052" s="1103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str">
        <f t="shared" si="247"/>
        <v/>
      </c>
    </row>
    <row r="2053" spans="14:59" x14ac:dyDescent="0.35">
      <c r="N2053">
        <f t="shared" si="246"/>
        <v>46</v>
      </c>
      <c r="O2053" s="3">
        <v>2</v>
      </c>
      <c r="P2053" s="36">
        <v>647435</v>
      </c>
      <c r="Q2053" s="36">
        <v>23</v>
      </c>
      <c r="R2053" s="36"/>
      <c r="S2053" s="36" t="s">
        <v>2484</v>
      </c>
      <c r="T2053" s="36" t="s">
        <v>1321</v>
      </c>
      <c r="U2053" s="36">
        <v>2016137</v>
      </c>
      <c r="V2053" s="1103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str">
        <f t="shared" si="247"/>
        <v/>
      </c>
    </row>
    <row r="2054" spans="14:59" x14ac:dyDescent="0.35">
      <c r="N2054">
        <f t="shared" si="246"/>
        <v>18</v>
      </c>
      <c r="O2054" s="3">
        <v>3</v>
      </c>
      <c r="P2054" s="36">
        <v>871781</v>
      </c>
      <c r="Q2054" s="36">
        <v>6</v>
      </c>
      <c r="R2054" s="36"/>
      <c r="S2054" s="36" t="s">
        <v>2484</v>
      </c>
      <c r="T2054" s="36" t="s">
        <v>1321</v>
      </c>
      <c r="U2054" s="36">
        <v>2016137</v>
      </c>
      <c r="V2054" s="1103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str">
        <f t="shared" si="247"/>
        <v/>
      </c>
    </row>
    <row r="2055" spans="14:59" x14ac:dyDescent="0.35">
      <c r="N2055">
        <f t="shared" si="246"/>
        <v>0</v>
      </c>
      <c r="O2055" s="3"/>
      <c r="P2055" s="36"/>
      <c r="Q2055" s="36"/>
      <c r="R2055" s="36"/>
      <c r="S2055" s="36" t="s">
        <v>2484</v>
      </c>
      <c r="T2055" s="36" t="s">
        <v>1321</v>
      </c>
      <c r="U2055" s="36">
        <v>2016137</v>
      </c>
      <c r="V2055" s="1103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str">
        <f t="shared" si="247"/>
        <v/>
      </c>
    </row>
    <row r="2056" spans="14:59" x14ac:dyDescent="0.35">
      <c r="N2056">
        <f t="shared" si="246"/>
        <v>0</v>
      </c>
      <c r="O2056" s="3"/>
      <c r="P2056" s="36"/>
      <c r="Q2056" s="36"/>
      <c r="R2056" s="36"/>
      <c r="S2056" s="36" t="s">
        <v>2484</v>
      </c>
      <c r="T2056" s="36" t="s">
        <v>1321</v>
      </c>
      <c r="U2056" s="36">
        <v>2016137</v>
      </c>
      <c r="V2056" s="1103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str">
        <f t="shared" si="247"/>
        <v/>
      </c>
    </row>
    <row r="2057" spans="14:59" ht="15" thickBot="1" x14ac:dyDescent="0.4">
      <c r="N2057">
        <f t="shared" si="246"/>
        <v>0</v>
      </c>
      <c r="O2057" s="959"/>
      <c r="P2057" s="486"/>
      <c r="Q2057" s="486"/>
      <c r="R2057" s="486"/>
      <c r="S2057" s="486" t="s">
        <v>2484</v>
      </c>
      <c r="T2057" s="486" t="s">
        <v>1321</v>
      </c>
      <c r="U2057" s="486">
        <v>2016137</v>
      </c>
      <c r="V2057" s="1103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str">
        <f t="shared" si="247"/>
        <v/>
      </c>
    </row>
    <row r="2058" spans="14:59" x14ac:dyDescent="0.35">
      <c r="N2058">
        <f t="shared" si="246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2484</v>
      </c>
      <c r="T2058" s="320" t="s">
        <v>2486</v>
      </c>
      <c r="U2058" s="320">
        <v>2009246</v>
      </c>
      <c r="V2058" s="1104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str">
        <f t="shared" si="247"/>
        <v/>
      </c>
    </row>
    <row r="2059" spans="14:59" x14ac:dyDescent="0.35">
      <c r="N2059">
        <f t="shared" si="246"/>
        <v>46</v>
      </c>
      <c r="O2059" s="3">
        <v>2</v>
      </c>
      <c r="P2059" s="36">
        <v>647435</v>
      </c>
      <c r="Q2059" s="36">
        <v>23</v>
      </c>
      <c r="R2059" s="36"/>
      <c r="S2059" s="36" t="s">
        <v>2484</v>
      </c>
      <c r="T2059" s="36" t="s">
        <v>2486</v>
      </c>
      <c r="U2059" s="36">
        <v>2009246</v>
      </c>
      <c r="V2059" s="1103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str">
        <f t="shared" si="247"/>
        <v/>
      </c>
    </row>
    <row r="2060" spans="14:59" x14ac:dyDescent="0.35">
      <c r="N2060">
        <f t="shared" si="246"/>
        <v>18</v>
      </c>
      <c r="O2060" s="3">
        <v>3</v>
      </c>
      <c r="P2060" s="36">
        <v>871781</v>
      </c>
      <c r="Q2060" s="36">
        <v>6</v>
      </c>
      <c r="R2060" s="36"/>
      <c r="S2060" s="36" t="s">
        <v>2484</v>
      </c>
      <c r="T2060" s="36" t="s">
        <v>2486</v>
      </c>
      <c r="U2060" s="36">
        <v>2009246</v>
      </c>
      <c r="V2060" s="1103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str">
        <f t="shared" si="247"/>
        <v/>
      </c>
    </row>
    <row r="2061" spans="14:59" x14ac:dyDescent="0.35">
      <c r="N2061">
        <f t="shared" si="246"/>
        <v>0</v>
      </c>
      <c r="O2061" s="3"/>
      <c r="P2061" s="36"/>
      <c r="Q2061" s="36"/>
      <c r="R2061" s="36"/>
      <c r="S2061" s="36" t="s">
        <v>2484</v>
      </c>
      <c r="T2061" s="36" t="s">
        <v>2486</v>
      </c>
      <c r="U2061" s="36">
        <v>2009246</v>
      </c>
      <c r="V2061" s="1103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str">
        <f t="shared" si="247"/>
        <v/>
      </c>
    </row>
    <row r="2062" spans="14:59" x14ac:dyDescent="0.35">
      <c r="N2062">
        <f t="shared" si="246"/>
        <v>0</v>
      </c>
      <c r="O2062" s="3"/>
      <c r="P2062" s="36"/>
      <c r="Q2062" s="36"/>
      <c r="R2062" s="36"/>
      <c r="S2062" s="36" t="s">
        <v>2484</v>
      </c>
      <c r="T2062" s="36" t="s">
        <v>2486</v>
      </c>
      <c r="U2062" s="36">
        <v>2009246</v>
      </c>
      <c r="V2062" s="1103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str">
        <f t="shared" si="247"/>
        <v/>
      </c>
    </row>
    <row r="2063" spans="14:59" ht="15" thickBot="1" x14ac:dyDescent="0.4">
      <c r="N2063">
        <f t="shared" si="246"/>
        <v>0</v>
      </c>
      <c r="O2063" s="76"/>
      <c r="P2063" s="328"/>
      <c r="Q2063" s="328"/>
      <c r="R2063" s="328"/>
      <c r="S2063" s="328" t="s">
        <v>2484</v>
      </c>
      <c r="T2063" s="328" t="s">
        <v>2486</v>
      </c>
      <c r="U2063" s="328">
        <v>2009246</v>
      </c>
      <c r="V2063" s="1058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str">
        <f t="shared" si="247"/>
        <v/>
      </c>
    </row>
    <row r="2064" spans="14:59" x14ac:dyDescent="0.35">
      <c r="N2064">
        <f t="shared" ref="N2064:N2087" si="248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2345</v>
      </c>
      <c r="T2064" s="320" t="s">
        <v>2154</v>
      </c>
      <c r="U2064" s="320">
        <v>2021865</v>
      </c>
      <c r="V2064" s="1025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str">
        <f t="shared" si="247"/>
        <v/>
      </c>
    </row>
    <row r="2065" spans="14:59" x14ac:dyDescent="0.35">
      <c r="N2065">
        <f t="shared" si="248"/>
        <v>30</v>
      </c>
      <c r="O2065" s="3">
        <v>2</v>
      </c>
      <c r="P2065" s="36">
        <v>2002186</v>
      </c>
      <c r="Q2065" s="36">
        <v>15</v>
      </c>
      <c r="R2065" s="36"/>
      <c r="S2065" s="36" t="s">
        <v>2345</v>
      </c>
      <c r="T2065" s="36" t="s">
        <v>2154</v>
      </c>
      <c r="U2065" s="36">
        <v>2021865</v>
      </c>
      <c r="V2065" s="1024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str">
        <f t="shared" si="247"/>
        <v/>
      </c>
    </row>
    <row r="2066" spans="14:59" x14ac:dyDescent="0.35">
      <c r="N2066">
        <f t="shared" si="248"/>
        <v>30</v>
      </c>
      <c r="O2066" s="3">
        <v>3</v>
      </c>
      <c r="P2066" s="36">
        <v>1228502</v>
      </c>
      <c r="Q2066" s="36">
        <v>10</v>
      </c>
      <c r="R2066" s="36"/>
      <c r="S2066" s="36" t="s">
        <v>2345</v>
      </c>
      <c r="T2066" s="36" t="s">
        <v>2154</v>
      </c>
      <c r="U2066" s="36">
        <v>2021865</v>
      </c>
      <c r="V2066" s="1024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str">
        <f t="shared" si="247"/>
        <v/>
      </c>
    </row>
    <row r="2067" spans="14:59" x14ac:dyDescent="0.35">
      <c r="N2067">
        <f t="shared" si="248"/>
        <v>24</v>
      </c>
      <c r="O2067" s="3">
        <v>4</v>
      </c>
      <c r="P2067" s="36">
        <v>871781</v>
      </c>
      <c r="Q2067" s="36">
        <v>6</v>
      </c>
      <c r="R2067" s="36"/>
      <c r="S2067" s="36" t="s">
        <v>2345</v>
      </c>
      <c r="T2067" s="36" t="s">
        <v>2154</v>
      </c>
      <c r="U2067" s="36">
        <v>2021865</v>
      </c>
      <c r="V2067" s="1024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str">
        <f t="shared" si="247"/>
        <v/>
      </c>
    </row>
    <row r="2068" spans="14:59" x14ac:dyDescent="0.35">
      <c r="N2068">
        <f t="shared" si="248"/>
        <v>20</v>
      </c>
      <c r="O2068" s="3">
        <v>5</v>
      </c>
      <c r="P2068" s="36">
        <v>2002299</v>
      </c>
      <c r="Q2068" s="36">
        <v>4</v>
      </c>
      <c r="R2068" s="36"/>
      <c r="S2068" s="36" t="s">
        <v>2345</v>
      </c>
      <c r="T2068" s="36" t="s">
        <v>2154</v>
      </c>
      <c r="U2068" s="36">
        <v>2021865</v>
      </c>
      <c r="V2068" s="1024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str">
        <f t="shared" si="247"/>
        <v/>
      </c>
    </row>
    <row r="2069" spans="14:59" ht="15" thickBot="1" x14ac:dyDescent="0.4">
      <c r="N2069">
        <f t="shared" si="248"/>
        <v>60</v>
      </c>
      <c r="O2069" s="1062">
        <v>6</v>
      </c>
      <c r="P2069" s="1063">
        <v>1228501</v>
      </c>
      <c r="Q2069" s="1063">
        <v>10</v>
      </c>
      <c r="R2069" s="486"/>
      <c r="S2069" s="486" t="s">
        <v>2345</v>
      </c>
      <c r="T2069" s="486" t="s">
        <v>2154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str">
        <f t="shared" si="247"/>
        <v/>
      </c>
    </row>
    <row r="2070" spans="14:59" x14ac:dyDescent="0.35">
      <c r="N2070">
        <f t="shared" si="248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1941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str">
        <f t="shared" si="247"/>
        <v/>
      </c>
    </row>
    <row r="2071" spans="14:59" x14ac:dyDescent="0.35">
      <c r="N2071">
        <f t="shared" si="248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1941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str">
        <f t="shared" si="247"/>
        <v/>
      </c>
    </row>
    <row r="2072" spans="14:59" x14ac:dyDescent="0.35">
      <c r="N2072">
        <f t="shared" si="248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1941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str">
        <f t="shared" si="247"/>
        <v/>
      </c>
    </row>
    <row r="2073" spans="14:59" x14ac:dyDescent="0.35">
      <c r="N2073">
        <f t="shared" si="248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1941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str">
        <f t="shared" si="247"/>
        <v/>
      </c>
    </row>
    <row r="2074" spans="14:59" ht="15" thickBot="1" x14ac:dyDescent="0.4">
      <c r="N2074">
        <f t="shared" si="248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1941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str">
        <f t="shared" si="247"/>
        <v/>
      </c>
    </row>
    <row r="2075" spans="14:59" x14ac:dyDescent="0.35">
      <c r="N2075">
        <f t="shared" si="248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2520</v>
      </c>
      <c r="T2075" s="320" t="s">
        <v>2302</v>
      </c>
      <c r="U2075" s="320">
        <v>2008912</v>
      </c>
      <c r="V2075" s="1025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str">
        <f t="shared" si="247"/>
        <v/>
      </c>
    </row>
    <row r="2076" spans="14:59" x14ac:dyDescent="0.35">
      <c r="N2076">
        <f t="shared" si="248"/>
        <v>30</v>
      </c>
      <c r="O2076" s="3">
        <v>2</v>
      </c>
      <c r="P2076" s="36">
        <v>1146737</v>
      </c>
      <c r="Q2076" s="36">
        <v>15</v>
      </c>
      <c r="R2076" s="36"/>
      <c r="S2076" s="36" t="s">
        <v>2520</v>
      </c>
      <c r="T2076" s="36" t="s">
        <v>2302</v>
      </c>
      <c r="U2076" s="36">
        <v>2008912</v>
      </c>
      <c r="V2076" s="1024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str">
        <f t="shared" si="247"/>
        <v/>
      </c>
    </row>
    <row r="2077" spans="14:59" x14ac:dyDescent="0.35">
      <c r="N2077">
        <f t="shared" si="248"/>
        <v>36</v>
      </c>
      <c r="O2077" s="3">
        <v>3</v>
      </c>
      <c r="P2077" s="36">
        <v>410851</v>
      </c>
      <c r="Q2077" s="36">
        <v>12</v>
      </c>
      <c r="R2077" s="36"/>
      <c r="S2077" s="36" t="s">
        <v>2520</v>
      </c>
      <c r="T2077" s="36" t="s">
        <v>2302</v>
      </c>
      <c r="U2077" s="36">
        <v>2008912</v>
      </c>
      <c r="V2077" s="1024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str">
        <f t="shared" si="247"/>
        <v/>
      </c>
    </row>
    <row r="2078" spans="14:59" x14ac:dyDescent="0.35">
      <c r="N2078">
        <f t="shared" si="248"/>
        <v>48</v>
      </c>
      <c r="O2078" s="3">
        <v>4</v>
      </c>
      <c r="P2078" s="36">
        <v>1172481</v>
      </c>
      <c r="Q2078" s="36">
        <v>12</v>
      </c>
      <c r="R2078" s="36"/>
      <c r="S2078" s="36" t="s">
        <v>2520</v>
      </c>
      <c r="T2078" s="36" t="s">
        <v>2302</v>
      </c>
      <c r="U2078" s="36">
        <v>2008912</v>
      </c>
      <c r="V2078" s="1024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str">
        <f t="shared" si="247"/>
        <v/>
      </c>
    </row>
    <row r="2079" spans="14:59" x14ac:dyDescent="0.35">
      <c r="N2079">
        <f t="shared" si="248"/>
        <v>60</v>
      </c>
      <c r="O2079" s="3">
        <v>5</v>
      </c>
      <c r="P2079" s="36">
        <v>1288783</v>
      </c>
      <c r="Q2079" s="36">
        <v>12</v>
      </c>
      <c r="R2079" s="36"/>
      <c r="S2079" s="36" t="s">
        <v>2520</v>
      </c>
      <c r="T2079" s="36" t="s">
        <v>2302</v>
      </c>
      <c r="U2079" s="36">
        <v>2008912</v>
      </c>
      <c r="V2079" s="1024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str">
        <f t="shared" si="247"/>
        <v/>
      </c>
    </row>
    <row r="2080" spans="14:59" ht="15" thickBot="1" x14ac:dyDescent="0.4">
      <c r="N2080">
        <f t="shared" si="248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2520</v>
      </c>
      <c r="T2080" s="486" t="s">
        <v>2302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str">
        <f t="shared" si="247"/>
        <v/>
      </c>
    </row>
    <row r="2081" spans="14:59" ht="15" thickBot="1" x14ac:dyDescent="0.4">
      <c r="N2081">
        <f t="shared" si="248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2484</v>
      </c>
      <c r="T2081" s="320" t="s">
        <v>2524</v>
      </c>
      <c r="U2081" s="320">
        <v>1283482</v>
      </c>
      <c r="V2081" s="1025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str">
        <f t="shared" si="247"/>
        <v/>
      </c>
    </row>
    <row r="2082" spans="14:59" ht="15" thickBot="1" x14ac:dyDescent="0.4">
      <c r="N2082">
        <f t="shared" si="248"/>
        <v>36</v>
      </c>
      <c r="O2082" s="3">
        <v>2</v>
      </c>
      <c r="P2082" s="36">
        <v>2002299</v>
      </c>
      <c r="Q2082" s="36">
        <v>18</v>
      </c>
      <c r="R2082" s="36"/>
      <c r="S2082" s="36" t="s">
        <v>2484</v>
      </c>
      <c r="T2082" s="36" t="s">
        <v>2524</v>
      </c>
      <c r="U2082" s="36">
        <v>1283482</v>
      </c>
      <c r="V2082" s="1025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str">
        <f t="shared" si="247"/>
        <v/>
      </c>
    </row>
    <row r="2083" spans="14:59" ht="15" thickBot="1" x14ac:dyDescent="0.4">
      <c r="N2083">
        <f t="shared" si="248"/>
        <v>48</v>
      </c>
      <c r="O2083" s="3">
        <v>3</v>
      </c>
      <c r="P2083" s="36">
        <v>1228502</v>
      </c>
      <c r="Q2083" s="36">
        <v>16</v>
      </c>
      <c r="R2083" s="36"/>
      <c r="S2083" s="36" t="s">
        <v>2484</v>
      </c>
      <c r="T2083" s="36" t="s">
        <v>2524</v>
      </c>
      <c r="U2083" s="36">
        <v>1283482</v>
      </c>
      <c r="V2083" s="1025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str">
        <f t="shared" si="247"/>
        <v/>
      </c>
    </row>
    <row r="2084" spans="14:59" ht="15" thickBot="1" x14ac:dyDescent="0.4">
      <c r="N2084">
        <f t="shared" si="248"/>
        <v>28</v>
      </c>
      <c r="O2084" s="3">
        <v>4</v>
      </c>
      <c r="P2084" s="36">
        <v>871781</v>
      </c>
      <c r="Q2084" s="36">
        <v>7</v>
      </c>
      <c r="R2084" s="36"/>
      <c r="S2084" s="36" t="s">
        <v>2484</v>
      </c>
      <c r="T2084" s="36" t="s">
        <v>2524</v>
      </c>
      <c r="U2084" s="36">
        <v>1283482</v>
      </c>
      <c r="V2084" s="1025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str">
        <f t="shared" si="247"/>
        <v/>
      </c>
    </row>
    <row r="2085" spans="14:59" ht="15" thickBot="1" x14ac:dyDescent="0.4">
      <c r="N2085">
        <f t="shared" si="248"/>
        <v>35</v>
      </c>
      <c r="O2085" s="3">
        <v>5</v>
      </c>
      <c r="P2085" s="36">
        <v>1126402</v>
      </c>
      <c r="Q2085" s="36">
        <v>7</v>
      </c>
      <c r="R2085" s="36"/>
      <c r="S2085" s="36" t="s">
        <v>2484</v>
      </c>
      <c r="T2085" s="36" t="s">
        <v>2524</v>
      </c>
      <c r="U2085" s="36">
        <v>1283482</v>
      </c>
      <c r="V2085" s="1025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str">
        <f t="shared" si="247"/>
        <v/>
      </c>
    </row>
    <row r="2086" spans="14:59" ht="15" thickBot="1" x14ac:dyDescent="0.4">
      <c r="N2086">
        <f t="shared" si="248"/>
        <v>30</v>
      </c>
      <c r="O2086" s="3">
        <v>6</v>
      </c>
      <c r="P2086" s="36">
        <v>653400</v>
      </c>
      <c r="Q2086" s="36">
        <v>5</v>
      </c>
      <c r="R2086" s="36"/>
      <c r="S2086" s="36" t="s">
        <v>2484</v>
      </c>
      <c r="T2086" s="36" t="s">
        <v>2524</v>
      </c>
      <c r="U2086" s="36">
        <v>1283482</v>
      </c>
      <c r="V2086" s="1025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str">
        <f t="shared" si="247"/>
        <v/>
      </c>
    </row>
    <row r="2087" spans="14:59" ht="15" thickBot="1" x14ac:dyDescent="0.4">
      <c r="N2087">
        <f t="shared" si="248"/>
        <v>112</v>
      </c>
      <c r="O2087" s="1124">
        <v>7</v>
      </c>
      <c r="P2087" s="902">
        <v>1228501</v>
      </c>
      <c r="Q2087" s="902">
        <v>16</v>
      </c>
      <c r="R2087" s="328"/>
      <c r="S2087" s="328" t="s">
        <v>2484</v>
      </c>
      <c r="T2087" s="328" t="s">
        <v>2524</v>
      </c>
      <c r="U2087" s="328">
        <v>1283482</v>
      </c>
      <c r="V2087" s="1025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str">
        <f t="shared" si="247"/>
        <v/>
      </c>
    </row>
    <row r="2088" spans="14:59" x14ac:dyDescent="0.35">
      <c r="BF2088">
        <f>ROWS($U$46:U2088)</f>
        <v>2043</v>
      </c>
      <c r="BG2088" t="str">
        <f t="shared" si="247"/>
        <v/>
      </c>
    </row>
    <row r="2089" spans="14:59" x14ac:dyDescent="0.35">
      <c r="BF2089">
        <f>ROWS($U$46:U2089)</f>
        <v>2044</v>
      </c>
      <c r="BG2089" t="str">
        <f t="shared" si="247"/>
        <v/>
      </c>
    </row>
    <row r="2090" spans="14:59" x14ac:dyDescent="0.35">
      <c r="BF2090">
        <f>ROWS($U$46:U2090)</f>
        <v>2045</v>
      </c>
      <c r="BG2090" t="str">
        <f t="shared" si="247"/>
        <v/>
      </c>
    </row>
    <row r="2091" spans="14:59" x14ac:dyDescent="0.35">
      <c r="BF2091">
        <f>ROWS($U$46:U2091)</f>
        <v>2046</v>
      </c>
      <c r="BG2091" t="str">
        <f t="shared" si="247"/>
        <v/>
      </c>
    </row>
    <row r="2092" spans="14:59" x14ac:dyDescent="0.35">
      <c r="BF2092">
        <f>ROWS($U$46:U2092)</f>
        <v>2047</v>
      </c>
      <c r="BG2092" t="str">
        <f t="shared" si="247"/>
        <v/>
      </c>
    </row>
    <row r="2093" spans="14:59" x14ac:dyDescent="0.35">
      <c r="BF2093">
        <f>ROWS($U$46:U2093)</f>
        <v>2048</v>
      </c>
      <c r="BG2093" t="str">
        <f t="shared" si="247"/>
        <v/>
      </c>
    </row>
    <row r="2094" spans="14:59" x14ac:dyDescent="0.35">
      <c r="BF2094">
        <f>ROWS($U$46:U2094)</f>
        <v>2049</v>
      </c>
      <c r="BG2094" t="str">
        <f t="shared" si="247"/>
        <v/>
      </c>
    </row>
    <row r="2095" spans="14:59" x14ac:dyDescent="0.35">
      <c r="BF2095">
        <f>ROWS($U$46:U2095)</f>
        <v>2050</v>
      </c>
      <c r="BG2095" t="str">
        <f t="shared" ref="BG2095:BG2158" si="249">IF(VALUE(SUBSTITUTE($B$5,"M",""))=U2095,BF2095,"")</f>
        <v/>
      </c>
    </row>
    <row r="2096" spans="14:59" x14ac:dyDescent="0.35">
      <c r="BF2096">
        <f>ROWS($U$46:U2096)</f>
        <v>2051</v>
      </c>
      <c r="BG2096" t="str">
        <f t="shared" si="249"/>
        <v/>
      </c>
    </row>
    <row r="2097" spans="58:59" x14ac:dyDescent="0.35">
      <c r="BF2097">
        <f>ROWS($U$46:U2097)</f>
        <v>2052</v>
      </c>
      <c r="BG2097" t="str">
        <f t="shared" si="249"/>
        <v/>
      </c>
    </row>
    <row r="2098" spans="58:59" x14ac:dyDescent="0.35">
      <c r="BF2098">
        <f>ROWS($U$46:U2098)</f>
        <v>2053</v>
      </c>
      <c r="BG2098" t="str">
        <f t="shared" si="249"/>
        <v/>
      </c>
    </row>
    <row r="2099" spans="58:59" x14ac:dyDescent="0.35">
      <c r="BF2099">
        <f>ROWS($U$46:U2099)</f>
        <v>2054</v>
      </c>
      <c r="BG2099" t="str">
        <f t="shared" si="249"/>
        <v/>
      </c>
    </row>
    <row r="2100" spans="58:59" x14ac:dyDescent="0.35">
      <c r="BF2100">
        <f>ROWS($U$46:U2100)</f>
        <v>2055</v>
      </c>
      <c r="BG2100" t="str">
        <f t="shared" si="249"/>
        <v/>
      </c>
    </row>
    <row r="2101" spans="58:59" x14ac:dyDescent="0.35">
      <c r="BF2101">
        <f>ROWS($U$46:U2101)</f>
        <v>2056</v>
      </c>
      <c r="BG2101" t="str">
        <f t="shared" si="249"/>
        <v/>
      </c>
    </row>
    <row r="2102" spans="58:59" x14ac:dyDescent="0.35">
      <c r="BF2102">
        <f>ROWS($U$46:U2102)</f>
        <v>2057</v>
      </c>
      <c r="BG2102" t="str">
        <f t="shared" si="249"/>
        <v/>
      </c>
    </row>
    <row r="2103" spans="58:59" x14ac:dyDescent="0.35">
      <c r="BF2103">
        <f>ROWS($U$46:U2103)</f>
        <v>2058</v>
      </c>
      <c r="BG2103" t="str">
        <f t="shared" si="249"/>
        <v/>
      </c>
    </row>
    <row r="2104" spans="58:59" x14ac:dyDescent="0.35">
      <c r="BF2104">
        <f>ROWS($U$46:U2104)</f>
        <v>2059</v>
      </c>
      <c r="BG2104" t="str">
        <f t="shared" si="249"/>
        <v/>
      </c>
    </row>
    <row r="2105" spans="58:59" x14ac:dyDescent="0.35">
      <c r="BF2105">
        <f>ROWS($U$46:U2105)</f>
        <v>2060</v>
      </c>
      <c r="BG2105" t="str">
        <f t="shared" si="249"/>
        <v/>
      </c>
    </row>
    <row r="2106" spans="58:59" x14ac:dyDescent="0.35">
      <c r="BF2106">
        <f>ROWS($U$46:U2106)</f>
        <v>2061</v>
      </c>
      <c r="BG2106" t="str">
        <f t="shared" si="249"/>
        <v/>
      </c>
    </row>
    <row r="2107" spans="58:59" x14ac:dyDescent="0.35">
      <c r="BF2107">
        <f>ROWS($U$46:U2107)</f>
        <v>2062</v>
      </c>
      <c r="BG2107" t="str">
        <f t="shared" si="249"/>
        <v/>
      </c>
    </row>
    <row r="2108" spans="58:59" x14ac:dyDescent="0.35">
      <c r="BF2108">
        <f>ROWS($U$46:U2108)</f>
        <v>2063</v>
      </c>
      <c r="BG2108" t="str">
        <f t="shared" si="249"/>
        <v/>
      </c>
    </row>
    <row r="2109" spans="58:59" x14ac:dyDescent="0.35">
      <c r="BF2109">
        <f>ROWS($U$46:U2109)</f>
        <v>2064</v>
      </c>
      <c r="BG2109" t="str">
        <f t="shared" si="249"/>
        <v/>
      </c>
    </row>
    <row r="2110" spans="58:59" x14ac:dyDescent="0.35">
      <c r="BF2110">
        <f>ROWS($U$46:U2110)</f>
        <v>2065</v>
      </c>
      <c r="BG2110" t="str">
        <f t="shared" si="249"/>
        <v/>
      </c>
    </row>
    <row r="2111" spans="58:59" x14ac:dyDescent="0.35">
      <c r="BF2111">
        <f>ROWS($U$46:U2111)</f>
        <v>2066</v>
      </c>
      <c r="BG2111" t="str">
        <f t="shared" si="249"/>
        <v/>
      </c>
    </row>
    <row r="2112" spans="58:59" x14ac:dyDescent="0.35">
      <c r="BF2112">
        <f>ROWS($U$46:U2112)</f>
        <v>2067</v>
      </c>
      <c r="BG2112" t="str">
        <f t="shared" si="249"/>
        <v/>
      </c>
    </row>
    <row r="2113" spans="58:59" x14ac:dyDescent="0.35">
      <c r="BF2113">
        <f>ROWS($U$46:U2113)</f>
        <v>2068</v>
      </c>
      <c r="BG2113" t="str">
        <f t="shared" si="249"/>
        <v/>
      </c>
    </row>
    <row r="2114" spans="58:59" x14ac:dyDescent="0.35">
      <c r="BF2114">
        <f>ROWS($U$46:U2114)</f>
        <v>2069</v>
      </c>
      <c r="BG2114" t="str">
        <f t="shared" si="249"/>
        <v/>
      </c>
    </row>
    <row r="2115" spans="58:59" x14ac:dyDescent="0.35">
      <c r="BF2115">
        <f>ROWS($U$46:U2115)</f>
        <v>2070</v>
      </c>
      <c r="BG2115" t="str">
        <f t="shared" si="249"/>
        <v/>
      </c>
    </row>
    <row r="2116" spans="58:59" x14ac:dyDescent="0.35">
      <c r="BF2116">
        <f>ROWS($U$46:U2116)</f>
        <v>2071</v>
      </c>
      <c r="BG2116" t="str">
        <f t="shared" si="249"/>
        <v/>
      </c>
    </row>
    <row r="2117" spans="58:59" x14ac:dyDescent="0.35">
      <c r="BF2117">
        <f>ROWS($U$46:U2117)</f>
        <v>2072</v>
      </c>
      <c r="BG2117" t="str">
        <f t="shared" si="249"/>
        <v/>
      </c>
    </row>
    <row r="2118" spans="58:59" x14ac:dyDescent="0.35">
      <c r="BF2118">
        <f>ROWS($U$46:U2118)</f>
        <v>2073</v>
      </c>
      <c r="BG2118" t="str">
        <f t="shared" si="249"/>
        <v/>
      </c>
    </row>
    <row r="2119" spans="58:59" x14ac:dyDescent="0.35">
      <c r="BF2119">
        <f>ROWS($U$46:U2119)</f>
        <v>2074</v>
      </c>
      <c r="BG2119" t="str">
        <f t="shared" si="249"/>
        <v/>
      </c>
    </row>
    <row r="2120" spans="58:59" x14ac:dyDescent="0.35">
      <c r="BF2120">
        <f>ROWS($U$46:U2120)</f>
        <v>2075</v>
      </c>
      <c r="BG2120" t="str">
        <f t="shared" si="249"/>
        <v/>
      </c>
    </row>
    <row r="2121" spans="58:59" x14ac:dyDescent="0.35">
      <c r="BF2121">
        <f>ROWS($U$46:U2121)</f>
        <v>2076</v>
      </c>
      <c r="BG2121" t="str">
        <f t="shared" si="249"/>
        <v/>
      </c>
    </row>
    <row r="2122" spans="58:59" x14ac:dyDescent="0.35">
      <c r="BF2122">
        <f>ROWS($U$46:U2122)</f>
        <v>2077</v>
      </c>
      <c r="BG2122" t="str">
        <f t="shared" si="249"/>
        <v/>
      </c>
    </row>
    <row r="2123" spans="58:59" x14ac:dyDescent="0.35">
      <c r="BF2123">
        <f>ROWS($U$46:U2123)</f>
        <v>2078</v>
      </c>
      <c r="BG2123" t="str">
        <f t="shared" si="249"/>
        <v/>
      </c>
    </row>
    <row r="2124" spans="58:59" x14ac:dyDescent="0.35">
      <c r="BF2124">
        <f>ROWS($U$46:U2124)</f>
        <v>2079</v>
      </c>
      <c r="BG2124" t="str">
        <f t="shared" si="249"/>
        <v/>
      </c>
    </row>
    <row r="2125" spans="58:59" x14ac:dyDescent="0.35">
      <c r="BF2125">
        <f>ROWS($U$46:U2125)</f>
        <v>2080</v>
      </c>
      <c r="BG2125" t="str">
        <f t="shared" si="249"/>
        <v/>
      </c>
    </row>
    <row r="2126" spans="58:59" x14ac:dyDescent="0.35">
      <c r="BF2126">
        <f>ROWS($U$46:U2126)</f>
        <v>2081</v>
      </c>
      <c r="BG2126" t="str">
        <f t="shared" si="249"/>
        <v/>
      </c>
    </row>
    <row r="2127" spans="58:59" x14ac:dyDescent="0.35">
      <c r="BF2127">
        <f>ROWS($U$46:U2127)</f>
        <v>2082</v>
      </c>
      <c r="BG2127" t="str">
        <f t="shared" si="249"/>
        <v/>
      </c>
    </row>
    <row r="2128" spans="58:59" x14ac:dyDescent="0.35">
      <c r="BF2128">
        <f>ROWS($U$46:U2128)</f>
        <v>2083</v>
      </c>
      <c r="BG2128" t="str">
        <f t="shared" si="249"/>
        <v/>
      </c>
    </row>
    <row r="2129" spans="58:59" x14ac:dyDescent="0.35">
      <c r="BF2129">
        <f>ROWS($U$46:U2129)</f>
        <v>2084</v>
      </c>
      <c r="BG2129" t="str">
        <f t="shared" si="249"/>
        <v/>
      </c>
    </row>
    <row r="2130" spans="58:59" x14ac:dyDescent="0.35">
      <c r="BF2130">
        <f>ROWS($U$46:U2130)</f>
        <v>2085</v>
      </c>
      <c r="BG2130" t="str">
        <f t="shared" si="249"/>
        <v/>
      </c>
    </row>
    <row r="2131" spans="58:59" x14ac:dyDescent="0.35">
      <c r="BF2131">
        <f>ROWS($U$46:U2131)</f>
        <v>2086</v>
      </c>
      <c r="BG2131" t="str">
        <f t="shared" si="249"/>
        <v/>
      </c>
    </row>
    <row r="2132" spans="58:59" x14ac:dyDescent="0.35">
      <c r="BF2132">
        <f>ROWS($U$46:U2132)</f>
        <v>2087</v>
      </c>
      <c r="BG2132" t="str">
        <f t="shared" si="249"/>
        <v/>
      </c>
    </row>
    <row r="2133" spans="58:59" x14ac:dyDescent="0.35">
      <c r="BF2133">
        <f>ROWS($U$46:U2133)</f>
        <v>2088</v>
      </c>
      <c r="BG2133" t="str">
        <f t="shared" si="249"/>
        <v/>
      </c>
    </row>
    <row r="2134" spans="58:59" x14ac:dyDescent="0.35">
      <c r="BF2134">
        <f>ROWS($U$46:U2134)</f>
        <v>2089</v>
      </c>
      <c r="BG2134" t="str">
        <f t="shared" si="249"/>
        <v/>
      </c>
    </row>
    <row r="2135" spans="58:59" x14ac:dyDescent="0.35">
      <c r="BF2135">
        <f>ROWS($U$46:U2135)</f>
        <v>2090</v>
      </c>
      <c r="BG2135" t="str">
        <f t="shared" si="249"/>
        <v/>
      </c>
    </row>
    <row r="2136" spans="58:59" x14ac:dyDescent="0.35">
      <c r="BF2136">
        <f>ROWS($U$46:U2136)</f>
        <v>2091</v>
      </c>
      <c r="BG2136" t="str">
        <f t="shared" si="249"/>
        <v/>
      </c>
    </row>
    <row r="2137" spans="58:59" x14ac:dyDescent="0.35">
      <c r="BF2137">
        <f>ROWS($U$46:U2137)</f>
        <v>2092</v>
      </c>
      <c r="BG2137" t="str">
        <f t="shared" si="249"/>
        <v/>
      </c>
    </row>
    <row r="2138" spans="58:59" x14ac:dyDescent="0.35">
      <c r="BF2138">
        <f>ROWS($U$46:U2138)</f>
        <v>2093</v>
      </c>
      <c r="BG2138" t="str">
        <f t="shared" si="249"/>
        <v/>
      </c>
    </row>
    <row r="2139" spans="58:59" x14ac:dyDescent="0.35">
      <c r="BF2139">
        <f>ROWS($U$46:U2139)</f>
        <v>2094</v>
      </c>
      <c r="BG2139" t="str">
        <f t="shared" si="249"/>
        <v/>
      </c>
    </row>
    <row r="2140" spans="58:59" x14ac:dyDescent="0.35">
      <c r="BF2140">
        <f>ROWS($U$46:U2140)</f>
        <v>2095</v>
      </c>
      <c r="BG2140" t="str">
        <f t="shared" si="249"/>
        <v/>
      </c>
    </row>
    <row r="2141" spans="58:59" x14ac:dyDescent="0.35">
      <c r="BF2141">
        <f>ROWS($U$46:U2141)</f>
        <v>2096</v>
      </c>
      <c r="BG2141" t="str">
        <f t="shared" si="249"/>
        <v/>
      </c>
    </row>
    <row r="2142" spans="58:59" x14ac:dyDescent="0.35">
      <c r="BF2142">
        <f>ROWS($U$46:U2142)</f>
        <v>2097</v>
      </c>
      <c r="BG2142" t="str">
        <f t="shared" si="249"/>
        <v/>
      </c>
    </row>
    <row r="2143" spans="58:59" x14ac:dyDescent="0.35">
      <c r="BF2143">
        <f>ROWS($U$46:U2143)</f>
        <v>2098</v>
      </c>
      <c r="BG2143" t="str">
        <f t="shared" si="249"/>
        <v/>
      </c>
    </row>
    <row r="2144" spans="58:59" x14ac:dyDescent="0.35">
      <c r="BF2144">
        <f>ROWS($U$46:U2144)</f>
        <v>2099</v>
      </c>
      <c r="BG2144" t="str">
        <f t="shared" si="249"/>
        <v/>
      </c>
    </row>
    <row r="2145" spans="58:59" x14ac:dyDescent="0.35">
      <c r="BF2145">
        <f>ROWS($U$46:U2145)</f>
        <v>2100</v>
      </c>
      <c r="BG2145" t="str">
        <f t="shared" si="249"/>
        <v/>
      </c>
    </row>
    <row r="2146" spans="58:59" x14ac:dyDescent="0.35">
      <c r="BF2146">
        <f>ROWS($U$46:U2146)</f>
        <v>2101</v>
      </c>
      <c r="BG2146" t="str">
        <f t="shared" si="249"/>
        <v/>
      </c>
    </row>
    <row r="2147" spans="58:59" x14ac:dyDescent="0.35">
      <c r="BF2147">
        <f>ROWS($U$46:U2147)</f>
        <v>2102</v>
      </c>
      <c r="BG2147" t="str">
        <f t="shared" si="249"/>
        <v/>
      </c>
    </row>
    <row r="2148" spans="58:59" x14ac:dyDescent="0.35">
      <c r="BF2148">
        <f>ROWS($U$46:U2148)</f>
        <v>2103</v>
      </c>
      <c r="BG2148" t="str">
        <f t="shared" si="249"/>
        <v/>
      </c>
    </row>
    <row r="2149" spans="58:59" x14ac:dyDescent="0.35">
      <c r="BF2149">
        <f>ROWS($U$46:U2149)</f>
        <v>2104</v>
      </c>
      <c r="BG2149" t="str">
        <f t="shared" si="249"/>
        <v/>
      </c>
    </row>
    <row r="2150" spans="58:59" x14ac:dyDescent="0.35">
      <c r="BF2150">
        <f>ROWS($U$46:U2150)</f>
        <v>2105</v>
      </c>
      <c r="BG2150" t="str">
        <f t="shared" si="249"/>
        <v/>
      </c>
    </row>
    <row r="2151" spans="58:59" x14ac:dyDescent="0.35">
      <c r="BF2151">
        <f>ROWS($U$46:U2151)</f>
        <v>2106</v>
      </c>
      <c r="BG2151" t="str">
        <f t="shared" si="249"/>
        <v/>
      </c>
    </row>
    <row r="2152" spans="58:59" x14ac:dyDescent="0.35">
      <c r="BF2152">
        <f>ROWS($U$46:U2152)</f>
        <v>2107</v>
      </c>
      <c r="BG2152" t="str">
        <f t="shared" si="249"/>
        <v/>
      </c>
    </row>
    <row r="2153" spans="58:59" x14ac:dyDescent="0.35">
      <c r="BF2153">
        <f>ROWS($U$46:U2153)</f>
        <v>2108</v>
      </c>
      <c r="BG2153" t="str">
        <f t="shared" si="249"/>
        <v/>
      </c>
    </row>
    <row r="2154" spans="58:59" x14ac:dyDescent="0.35">
      <c r="BF2154">
        <f>ROWS($U$46:U2154)</f>
        <v>2109</v>
      </c>
      <c r="BG2154" t="str">
        <f t="shared" si="249"/>
        <v/>
      </c>
    </row>
    <row r="2155" spans="58:59" x14ac:dyDescent="0.35">
      <c r="BF2155">
        <f>ROWS($U$46:U2155)</f>
        <v>2110</v>
      </c>
      <c r="BG2155" t="str">
        <f t="shared" si="249"/>
        <v/>
      </c>
    </row>
    <row r="2156" spans="58:59" x14ac:dyDescent="0.35">
      <c r="BF2156">
        <f>ROWS($U$46:U2156)</f>
        <v>2111</v>
      </c>
      <c r="BG2156" t="str">
        <f t="shared" si="249"/>
        <v/>
      </c>
    </row>
    <row r="2157" spans="58:59" x14ac:dyDescent="0.35">
      <c r="BF2157">
        <f>ROWS($U$46:U2157)</f>
        <v>2112</v>
      </c>
      <c r="BG2157" t="str">
        <f t="shared" si="249"/>
        <v/>
      </c>
    </row>
    <row r="2158" spans="58:59" x14ac:dyDescent="0.35">
      <c r="BF2158">
        <f>ROWS($U$46:U2158)</f>
        <v>2113</v>
      </c>
      <c r="BG2158" t="str">
        <f t="shared" si="249"/>
        <v/>
      </c>
    </row>
    <row r="2159" spans="58:59" x14ac:dyDescent="0.35">
      <c r="BF2159">
        <f>ROWS($U$46:U2159)</f>
        <v>2114</v>
      </c>
      <c r="BG2159" t="str">
        <f t="shared" ref="BG2159:BG2222" si="250">IF(VALUE(SUBSTITUTE($B$5,"M",""))=U2159,BF2159,"")</f>
        <v/>
      </c>
    </row>
    <row r="2160" spans="58:59" x14ac:dyDescent="0.35">
      <c r="BF2160">
        <f>ROWS($U$46:U2160)</f>
        <v>2115</v>
      </c>
      <c r="BG2160" t="str">
        <f t="shared" si="250"/>
        <v/>
      </c>
    </row>
    <row r="2161" spans="58:59" x14ac:dyDescent="0.35">
      <c r="BF2161">
        <f>ROWS($U$46:U2161)</f>
        <v>2116</v>
      </c>
      <c r="BG2161" t="str">
        <f t="shared" si="250"/>
        <v/>
      </c>
    </row>
    <row r="2162" spans="58:59" x14ac:dyDescent="0.35">
      <c r="BF2162">
        <f>ROWS($U$46:U2162)</f>
        <v>2117</v>
      </c>
      <c r="BG2162" t="str">
        <f t="shared" si="250"/>
        <v/>
      </c>
    </row>
    <row r="2163" spans="58:59" x14ac:dyDescent="0.35">
      <c r="BF2163">
        <f>ROWS($U$46:U2163)</f>
        <v>2118</v>
      </c>
      <c r="BG2163" t="str">
        <f t="shared" si="250"/>
        <v/>
      </c>
    </row>
    <row r="2164" spans="58:59" x14ac:dyDescent="0.35">
      <c r="BF2164">
        <f>ROWS($U$46:U2164)</f>
        <v>2119</v>
      </c>
      <c r="BG2164" t="str">
        <f t="shared" si="250"/>
        <v/>
      </c>
    </row>
    <row r="2165" spans="58:59" x14ac:dyDescent="0.35">
      <c r="BF2165">
        <f>ROWS($U$46:U2165)</f>
        <v>2120</v>
      </c>
      <c r="BG2165" t="str">
        <f t="shared" si="250"/>
        <v/>
      </c>
    </row>
    <row r="2166" spans="58:59" x14ac:dyDescent="0.35">
      <c r="BF2166">
        <f>ROWS($U$46:U2166)</f>
        <v>2121</v>
      </c>
      <c r="BG2166" t="str">
        <f t="shared" si="250"/>
        <v/>
      </c>
    </row>
    <row r="2167" spans="58:59" x14ac:dyDescent="0.35">
      <c r="BF2167">
        <f>ROWS($U$46:U2167)</f>
        <v>2122</v>
      </c>
      <c r="BG2167" t="str">
        <f t="shared" si="250"/>
        <v/>
      </c>
    </row>
    <row r="2168" spans="58:59" x14ac:dyDescent="0.35">
      <c r="BF2168">
        <f>ROWS($U$46:U2168)</f>
        <v>2123</v>
      </c>
      <c r="BG2168" t="str">
        <f t="shared" si="250"/>
        <v/>
      </c>
    </row>
    <row r="2169" spans="58:59" x14ac:dyDescent="0.35">
      <c r="BF2169">
        <f>ROWS($U$46:U2169)</f>
        <v>2124</v>
      </c>
      <c r="BG2169" t="str">
        <f t="shared" si="250"/>
        <v/>
      </c>
    </row>
    <row r="2170" spans="58:59" x14ac:dyDescent="0.35">
      <c r="BF2170">
        <f>ROWS($U$46:U2170)</f>
        <v>2125</v>
      </c>
      <c r="BG2170" t="str">
        <f t="shared" si="250"/>
        <v/>
      </c>
    </row>
    <row r="2171" spans="58:59" x14ac:dyDescent="0.35">
      <c r="BF2171">
        <f>ROWS($U$46:U2171)</f>
        <v>2126</v>
      </c>
      <c r="BG2171" t="str">
        <f t="shared" si="250"/>
        <v/>
      </c>
    </row>
    <row r="2172" spans="58:59" x14ac:dyDescent="0.35">
      <c r="BF2172">
        <f>ROWS($U$46:U2172)</f>
        <v>2127</v>
      </c>
      <c r="BG2172" t="str">
        <f t="shared" si="250"/>
        <v/>
      </c>
    </row>
    <row r="2173" spans="58:59" x14ac:dyDescent="0.35">
      <c r="BF2173">
        <f>ROWS($U$46:U2173)</f>
        <v>2128</v>
      </c>
      <c r="BG2173" t="str">
        <f t="shared" si="250"/>
        <v/>
      </c>
    </row>
    <row r="2174" spans="58:59" x14ac:dyDescent="0.35">
      <c r="BF2174">
        <f>ROWS($U$46:U2174)</f>
        <v>2129</v>
      </c>
      <c r="BG2174" t="str">
        <f t="shared" si="250"/>
        <v/>
      </c>
    </row>
    <row r="2175" spans="58:59" x14ac:dyDescent="0.35">
      <c r="BF2175">
        <f>ROWS($U$46:U2175)</f>
        <v>2130</v>
      </c>
      <c r="BG2175" t="str">
        <f t="shared" si="250"/>
        <v/>
      </c>
    </row>
    <row r="2176" spans="58:59" x14ac:dyDescent="0.35">
      <c r="BF2176">
        <f>ROWS($U$46:U2176)</f>
        <v>2131</v>
      </c>
      <c r="BG2176" t="str">
        <f t="shared" si="250"/>
        <v/>
      </c>
    </row>
    <row r="2177" spans="58:59" x14ac:dyDescent="0.35">
      <c r="BF2177">
        <f>ROWS($U$46:U2177)</f>
        <v>2132</v>
      </c>
      <c r="BG2177" t="str">
        <f t="shared" si="250"/>
        <v/>
      </c>
    </row>
    <row r="2178" spans="58:59" x14ac:dyDescent="0.35">
      <c r="BF2178">
        <f>ROWS($U$46:U2178)</f>
        <v>2133</v>
      </c>
      <c r="BG2178" t="str">
        <f t="shared" si="250"/>
        <v/>
      </c>
    </row>
    <row r="2179" spans="58:59" x14ac:dyDescent="0.35">
      <c r="BF2179">
        <f>ROWS($U$46:U2179)</f>
        <v>2134</v>
      </c>
      <c r="BG2179" t="str">
        <f t="shared" si="250"/>
        <v/>
      </c>
    </row>
    <row r="2180" spans="58:59" x14ac:dyDescent="0.35">
      <c r="BF2180">
        <f>ROWS($U$46:U2180)</f>
        <v>2135</v>
      </c>
      <c r="BG2180" t="str">
        <f t="shared" si="250"/>
        <v/>
      </c>
    </row>
    <row r="2181" spans="58:59" x14ac:dyDescent="0.35">
      <c r="BF2181">
        <f>ROWS($U$46:U2181)</f>
        <v>2136</v>
      </c>
      <c r="BG2181" t="str">
        <f t="shared" si="250"/>
        <v/>
      </c>
    </row>
    <row r="2182" spans="58:59" x14ac:dyDescent="0.35">
      <c r="BF2182">
        <f>ROWS($U$46:U2182)</f>
        <v>2137</v>
      </c>
      <c r="BG2182" t="str">
        <f t="shared" si="250"/>
        <v/>
      </c>
    </row>
    <row r="2183" spans="58:59" x14ac:dyDescent="0.35">
      <c r="BF2183">
        <f>ROWS($U$46:U2183)</f>
        <v>2138</v>
      </c>
      <c r="BG2183" t="str">
        <f t="shared" si="250"/>
        <v/>
      </c>
    </row>
    <row r="2184" spans="58:59" x14ac:dyDescent="0.35">
      <c r="BF2184">
        <f>ROWS($U$46:U2184)</f>
        <v>2139</v>
      </c>
      <c r="BG2184" t="str">
        <f t="shared" si="250"/>
        <v/>
      </c>
    </row>
    <row r="2185" spans="58:59" x14ac:dyDescent="0.35">
      <c r="BF2185">
        <f>ROWS($U$46:U2185)</f>
        <v>2140</v>
      </c>
      <c r="BG2185" t="str">
        <f t="shared" si="250"/>
        <v/>
      </c>
    </row>
    <row r="2186" spans="58:59" x14ac:dyDescent="0.35">
      <c r="BF2186">
        <f>ROWS($U$46:U2186)</f>
        <v>2141</v>
      </c>
      <c r="BG2186" t="str">
        <f t="shared" si="250"/>
        <v/>
      </c>
    </row>
    <row r="2187" spans="58:59" x14ac:dyDescent="0.35">
      <c r="BF2187">
        <f>ROWS($U$46:U2187)</f>
        <v>2142</v>
      </c>
      <c r="BG2187" t="str">
        <f t="shared" si="250"/>
        <v/>
      </c>
    </row>
    <row r="2188" spans="58:59" x14ac:dyDescent="0.35">
      <c r="BF2188">
        <f>ROWS($U$46:U2188)</f>
        <v>2143</v>
      </c>
      <c r="BG2188" t="str">
        <f t="shared" si="250"/>
        <v/>
      </c>
    </row>
    <row r="2189" spans="58:59" x14ac:dyDescent="0.35">
      <c r="BF2189">
        <f>ROWS($U$46:U2189)</f>
        <v>2144</v>
      </c>
      <c r="BG2189" t="str">
        <f t="shared" si="250"/>
        <v/>
      </c>
    </row>
    <row r="2190" spans="58:59" x14ac:dyDescent="0.35">
      <c r="BF2190">
        <f>ROWS($U$46:U2190)</f>
        <v>2145</v>
      </c>
      <c r="BG2190" t="str">
        <f t="shared" si="250"/>
        <v/>
      </c>
    </row>
    <row r="2191" spans="58:59" x14ac:dyDescent="0.35">
      <c r="BF2191">
        <f>ROWS($U$46:U2191)</f>
        <v>2146</v>
      </c>
      <c r="BG2191" t="str">
        <f t="shared" si="250"/>
        <v/>
      </c>
    </row>
    <row r="2192" spans="58:59" x14ac:dyDescent="0.35">
      <c r="BF2192">
        <f>ROWS($U$46:U2192)</f>
        <v>2147</v>
      </c>
      <c r="BG2192" t="str">
        <f t="shared" si="250"/>
        <v/>
      </c>
    </row>
    <row r="2193" spans="58:59" x14ac:dyDescent="0.35">
      <c r="BF2193">
        <f>ROWS($U$46:U2193)</f>
        <v>2148</v>
      </c>
      <c r="BG2193" t="str">
        <f t="shared" si="250"/>
        <v/>
      </c>
    </row>
    <row r="2194" spans="58:59" x14ac:dyDescent="0.35">
      <c r="BF2194">
        <f>ROWS($U$46:U2194)</f>
        <v>2149</v>
      </c>
      <c r="BG2194" t="str">
        <f t="shared" si="250"/>
        <v/>
      </c>
    </row>
    <row r="2195" spans="58:59" x14ac:dyDescent="0.35">
      <c r="BF2195">
        <f>ROWS($U$46:U2195)</f>
        <v>2150</v>
      </c>
      <c r="BG2195" t="str">
        <f t="shared" si="250"/>
        <v/>
      </c>
    </row>
    <row r="2196" spans="58:59" x14ac:dyDescent="0.35">
      <c r="BF2196">
        <f>ROWS($U$46:U2196)</f>
        <v>2151</v>
      </c>
      <c r="BG2196" t="str">
        <f t="shared" si="250"/>
        <v/>
      </c>
    </row>
    <row r="2197" spans="58:59" x14ac:dyDescent="0.35">
      <c r="BF2197">
        <f>ROWS($U$46:U2197)</f>
        <v>2152</v>
      </c>
      <c r="BG2197" t="str">
        <f t="shared" si="250"/>
        <v/>
      </c>
    </row>
    <row r="2198" spans="58:59" x14ac:dyDescent="0.35">
      <c r="BF2198">
        <f>ROWS($U$46:U2198)</f>
        <v>2153</v>
      </c>
      <c r="BG2198" t="str">
        <f t="shared" si="250"/>
        <v/>
      </c>
    </row>
    <row r="2199" spans="58:59" x14ac:dyDescent="0.35">
      <c r="BF2199">
        <f>ROWS($U$46:U2199)</f>
        <v>2154</v>
      </c>
      <c r="BG2199" t="str">
        <f t="shared" si="250"/>
        <v/>
      </c>
    </row>
    <row r="2200" spans="58:59" x14ac:dyDescent="0.35">
      <c r="BF2200">
        <f>ROWS($U$46:U2200)</f>
        <v>2155</v>
      </c>
      <c r="BG2200" t="str">
        <f t="shared" si="250"/>
        <v/>
      </c>
    </row>
    <row r="2201" spans="58:59" x14ac:dyDescent="0.35">
      <c r="BF2201">
        <f>ROWS($U$46:U2201)</f>
        <v>2156</v>
      </c>
      <c r="BG2201" t="str">
        <f t="shared" si="250"/>
        <v/>
      </c>
    </row>
    <row r="2202" spans="58:59" x14ac:dyDescent="0.35">
      <c r="BF2202">
        <f>ROWS($U$46:U2202)</f>
        <v>2157</v>
      </c>
      <c r="BG2202" t="str">
        <f t="shared" si="250"/>
        <v/>
      </c>
    </row>
    <row r="2203" spans="58:59" x14ac:dyDescent="0.35">
      <c r="BF2203">
        <f>ROWS($U$46:U2203)</f>
        <v>2158</v>
      </c>
      <c r="BG2203" t="str">
        <f t="shared" si="250"/>
        <v/>
      </c>
    </row>
    <row r="2204" spans="58:59" x14ac:dyDescent="0.35">
      <c r="BF2204">
        <f>ROWS($U$46:U2204)</f>
        <v>2159</v>
      </c>
      <c r="BG2204" t="str">
        <f t="shared" si="250"/>
        <v/>
      </c>
    </row>
    <row r="2205" spans="58:59" x14ac:dyDescent="0.35">
      <c r="BF2205">
        <f>ROWS($U$46:U2205)</f>
        <v>2160</v>
      </c>
      <c r="BG2205" t="str">
        <f t="shared" si="250"/>
        <v/>
      </c>
    </row>
    <row r="2206" spans="58:59" x14ac:dyDescent="0.35">
      <c r="BF2206">
        <f>ROWS($U$46:U2206)</f>
        <v>2161</v>
      </c>
      <c r="BG2206" t="str">
        <f t="shared" si="250"/>
        <v/>
      </c>
    </row>
    <row r="2207" spans="58:59" x14ac:dyDescent="0.35">
      <c r="BF2207">
        <f>ROWS($U$46:U2207)</f>
        <v>2162</v>
      </c>
      <c r="BG2207" t="str">
        <f t="shared" si="250"/>
        <v/>
      </c>
    </row>
    <row r="2208" spans="58:59" x14ac:dyDescent="0.35">
      <c r="BF2208">
        <f>ROWS($U$46:U2208)</f>
        <v>2163</v>
      </c>
      <c r="BG2208" t="str">
        <f t="shared" si="250"/>
        <v/>
      </c>
    </row>
    <row r="2209" spans="58:59" x14ac:dyDescent="0.35">
      <c r="BF2209">
        <f>ROWS($U$46:U2209)</f>
        <v>2164</v>
      </c>
      <c r="BG2209" t="str">
        <f t="shared" si="250"/>
        <v/>
      </c>
    </row>
    <row r="2210" spans="58:59" x14ac:dyDescent="0.35">
      <c r="BF2210">
        <f>ROWS($U$46:U2210)</f>
        <v>2165</v>
      </c>
      <c r="BG2210" t="str">
        <f t="shared" si="250"/>
        <v/>
      </c>
    </row>
    <row r="2211" spans="58:59" x14ac:dyDescent="0.35">
      <c r="BF2211">
        <f>ROWS($U$46:U2211)</f>
        <v>2166</v>
      </c>
      <c r="BG2211" t="str">
        <f t="shared" si="250"/>
        <v/>
      </c>
    </row>
    <row r="2212" spans="58:59" x14ac:dyDescent="0.35">
      <c r="BF2212">
        <f>ROWS($U$46:U2212)</f>
        <v>2167</v>
      </c>
      <c r="BG2212" t="str">
        <f t="shared" si="250"/>
        <v/>
      </c>
    </row>
    <row r="2213" spans="58:59" x14ac:dyDescent="0.35">
      <c r="BF2213">
        <f>ROWS($U$46:U2213)</f>
        <v>2168</v>
      </c>
      <c r="BG2213" t="str">
        <f t="shared" si="250"/>
        <v/>
      </c>
    </row>
    <row r="2214" spans="58:59" x14ac:dyDescent="0.35">
      <c r="BF2214">
        <f>ROWS($U$46:U2214)</f>
        <v>2169</v>
      </c>
      <c r="BG2214" t="str">
        <f t="shared" si="250"/>
        <v/>
      </c>
    </row>
    <row r="2215" spans="58:59" x14ac:dyDescent="0.35">
      <c r="BF2215">
        <f>ROWS($U$46:U2215)</f>
        <v>2170</v>
      </c>
      <c r="BG2215" t="str">
        <f t="shared" si="250"/>
        <v/>
      </c>
    </row>
    <row r="2216" spans="58:59" x14ac:dyDescent="0.35">
      <c r="BF2216">
        <f>ROWS($U$46:U2216)</f>
        <v>2171</v>
      </c>
      <c r="BG2216" t="str">
        <f t="shared" si="250"/>
        <v/>
      </c>
    </row>
    <row r="2217" spans="58:59" x14ac:dyDescent="0.35">
      <c r="BF2217">
        <f>ROWS($U$46:U2217)</f>
        <v>2172</v>
      </c>
      <c r="BG2217" t="str">
        <f t="shared" si="250"/>
        <v/>
      </c>
    </row>
    <row r="2218" spans="58:59" x14ac:dyDescent="0.35">
      <c r="BF2218">
        <f>ROWS($U$46:U2218)</f>
        <v>2173</v>
      </c>
      <c r="BG2218" t="str">
        <f t="shared" si="250"/>
        <v/>
      </c>
    </row>
    <row r="2219" spans="58:59" x14ac:dyDescent="0.35">
      <c r="BF2219">
        <f>ROWS($U$46:U2219)</f>
        <v>2174</v>
      </c>
      <c r="BG2219" t="str">
        <f t="shared" si="250"/>
        <v/>
      </c>
    </row>
    <row r="2220" spans="58:59" x14ac:dyDescent="0.35">
      <c r="BF2220">
        <f>ROWS($U$46:U2220)</f>
        <v>2175</v>
      </c>
      <c r="BG2220" t="str">
        <f t="shared" si="250"/>
        <v/>
      </c>
    </row>
    <row r="2221" spans="58:59" x14ac:dyDescent="0.35">
      <c r="BF2221">
        <f>ROWS($U$46:U2221)</f>
        <v>2176</v>
      </c>
      <c r="BG2221" t="str">
        <f t="shared" si="250"/>
        <v/>
      </c>
    </row>
    <row r="2222" spans="58:59" x14ac:dyDescent="0.35">
      <c r="BF2222">
        <f>ROWS($U$46:U2222)</f>
        <v>2177</v>
      </c>
      <c r="BG2222" t="str">
        <f t="shared" si="250"/>
        <v/>
      </c>
    </row>
    <row r="2223" spans="58:59" x14ac:dyDescent="0.35">
      <c r="BF2223">
        <f>ROWS($U$46:U2223)</f>
        <v>2178</v>
      </c>
      <c r="BG2223" t="str">
        <f t="shared" ref="BG2223:BG2286" si="251">IF(VALUE(SUBSTITUTE($B$5,"M",""))=U2223,BF2223,"")</f>
        <v/>
      </c>
    </row>
    <row r="2224" spans="58:59" x14ac:dyDescent="0.35">
      <c r="BF2224">
        <f>ROWS($U$46:U2224)</f>
        <v>2179</v>
      </c>
      <c r="BG2224" t="str">
        <f t="shared" si="251"/>
        <v/>
      </c>
    </row>
    <row r="2225" spans="58:59" x14ac:dyDescent="0.35">
      <c r="BF2225">
        <f>ROWS($U$46:U2225)</f>
        <v>2180</v>
      </c>
      <c r="BG2225" t="str">
        <f t="shared" si="251"/>
        <v/>
      </c>
    </row>
    <row r="2226" spans="58:59" x14ac:dyDescent="0.35">
      <c r="BF2226">
        <f>ROWS($U$46:U2226)</f>
        <v>2181</v>
      </c>
      <c r="BG2226" t="str">
        <f t="shared" si="251"/>
        <v/>
      </c>
    </row>
    <row r="2227" spans="58:59" x14ac:dyDescent="0.35">
      <c r="BF2227">
        <f>ROWS($U$46:U2227)</f>
        <v>2182</v>
      </c>
      <c r="BG2227" t="str">
        <f t="shared" si="251"/>
        <v/>
      </c>
    </row>
    <row r="2228" spans="58:59" x14ac:dyDescent="0.35">
      <c r="BF2228">
        <f>ROWS($U$46:U2228)</f>
        <v>2183</v>
      </c>
      <c r="BG2228" t="str">
        <f t="shared" si="251"/>
        <v/>
      </c>
    </row>
    <row r="2229" spans="58:59" x14ac:dyDescent="0.35">
      <c r="BF2229">
        <f>ROWS($U$46:U2229)</f>
        <v>2184</v>
      </c>
      <c r="BG2229" t="str">
        <f t="shared" si="251"/>
        <v/>
      </c>
    </row>
    <row r="2230" spans="58:59" x14ac:dyDescent="0.35">
      <c r="BF2230">
        <f>ROWS($U$46:U2230)</f>
        <v>2185</v>
      </c>
      <c r="BG2230" t="str">
        <f t="shared" si="251"/>
        <v/>
      </c>
    </row>
    <row r="2231" spans="58:59" x14ac:dyDescent="0.35">
      <c r="BF2231">
        <f>ROWS($U$46:U2231)</f>
        <v>2186</v>
      </c>
      <c r="BG2231" t="str">
        <f t="shared" si="251"/>
        <v/>
      </c>
    </row>
    <row r="2232" spans="58:59" x14ac:dyDescent="0.35">
      <c r="BF2232">
        <f>ROWS($U$46:U2232)</f>
        <v>2187</v>
      </c>
      <c r="BG2232" t="str">
        <f t="shared" si="251"/>
        <v/>
      </c>
    </row>
    <row r="2233" spans="58:59" x14ac:dyDescent="0.35">
      <c r="BF2233">
        <f>ROWS($U$46:U2233)</f>
        <v>2188</v>
      </c>
      <c r="BG2233" t="str">
        <f t="shared" si="251"/>
        <v/>
      </c>
    </row>
    <row r="2234" spans="58:59" x14ac:dyDescent="0.35">
      <c r="BF2234">
        <f>ROWS($U$46:U2234)</f>
        <v>2189</v>
      </c>
      <c r="BG2234" t="str">
        <f t="shared" si="251"/>
        <v/>
      </c>
    </row>
    <row r="2235" spans="58:59" x14ac:dyDescent="0.35">
      <c r="BF2235">
        <f>ROWS($U$46:U2235)</f>
        <v>2190</v>
      </c>
      <c r="BG2235" t="str">
        <f t="shared" si="251"/>
        <v/>
      </c>
    </row>
    <row r="2236" spans="58:59" x14ac:dyDescent="0.35">
      <c r="BF2236">
        <f>ROWS($U$46:U2236)</f>
        <v>2191</v>
      </c>
      <c r="BG2236" t="str">
        <f t="shared" si="251"/>
        <v/>
      </c>
    </row>
    <row r="2237" spans="58:59" x14ac:dyDescent="0.35">
      <c r="BF2237">
        <f>ROWS($U$46:U2237)</f>
        <v>2192</v>
      </c>
      <c r="BG2237" t="str">
        <f t="shared" si="251"/>
        <v/>
      </c>
    </row>
    <row r="2238" spans="58:59" x14ac:dyDescent="0.35">
      <c r="BF2238">
        <f>ROWS($U$46:U2238)</f>
        <v>2193</v>
      </c>
      <c r="BG2238" t="str">
        <f t="shared" si="251"/>
        <v/>
      </c>
    </row>
    <row r="2239" spans="58:59" x14ac:dyDescent="0.35">
      <c r="BF2239">
        <f>ROWS($U$46:U2239)</f>
        <v>2194</v>
      </c>
      <c r="BG2239" t="str">
        <f t="shared" si="251"/>
        <v/>
      </c>
    </row>
    <row r="2240" spans="58:59" x14ac:dyDescent="0.35">
      <c r="BF2240">
        <f>ROWS($U$46:U2240)</f>
        <v>2195</v>
      </c>
      <c r="BG2240" t="str">
        <f t="shared" si="251"/>
        <v/>
      </c>
    </row>
    <row r="2241" spans="58:59" x14ac:dyDescent="0.35">
      <c r="BF2241">
        <f>ROWS($U$46:U2241)</f>
        <v>2196</v>
      </c>
      <c r="BG2241" t="str">
        <f t="shared" si="251"/>
        <v/>
      </c>
    </row>
    <row r="2242" spans="58:59" x14ac:dyDescent="0.35">
      <c r="BF2242">
        <f>ROWS($U$46:U2242)</f>
        <v>2197</v>
      </c>
      <c r="BG2242" t="str">
        <f t="shared" si="251"/>
        <v/>
      </c>
    </row>
    <row r="2243" spans="58:59" x14ac:dyDescent="0.35">
      <c r="BF2243">
        <f>ROWS($U$46:U2243)</f>
        <v>2198</v>
      </c>
      <c r="BG2243" t="str">
        <f t="shared" si="251"/>
        <v/>
      </c>
    </row>
    <row r="2244" spans="58:59" x14ac:dyDescent="0.35">
      <c r="BF2244">
        <f>ROWS($U$46:U2244)</f>
        <v>2199</v>
      </c>
      <c r="BG2244" t="str">
        <f t="shared" si="251"/>
        <v/>
      </c>
    </row>
    <row r="2245" spans="58:59" x14ac:dyDescent="0.35">
      <c r="BF2245">
        <f>ROWS($U$46:U2245)</f>
        <v>2200</v>
      </c>
      <c r="BG2245" t="str">
        <f t="shared" si="251"/>
        <v/>
      </c>
    </row>
    <row r="2246" spans="58:59" x14ac:dyDescent="0.35">
      <c r="BF2246">
        <f>ROWS($U$46:U2246)</f>
        <v>2201</v>
      </c>
      <c r="BG2246" t="str">
        <f t="shared" si="251"/>
        <v/>
      </c>
    </row>
    <row r="2247" spans="58:59" x14ac:dyDescent="0.35">
      <c r="BF2247">
        <f>ROWS($U$46:U2247)</f>
        <v>2202</v>
      </c>
      <c r="BG2247" t="str">
        <f t="shared" si="251"/>
        <v/>
      </c>
    </row>
    <row r="2248" spans="58:59" x14ac:dyDescent="0.35">
      <c r="BF2248">
        <f>ROWS($U$46:U2248)</f>
        <v>2203</v>
      </c>
      <c r="BG2248" t="str">
        <f t="shared" si="251"/>
        <v/>
      </c>
    </row>
    <row r="2249" spans="58:59" x14ac:dyDescent="0.35">
      <c r="BF2249">
        <f>ROWS($U$46:U2249)</f>
        <v>2204</v>
      </c>
      <c r="BG2249" t="str">
        <f t="shared" si="251"/>
        <v/>
      </c>
    </row>
    <row r="2250" spans="58:59" x14ac:dyDescent="0.35">
      <c r="BF2250">
        <f>ROWS($U$46:U2250)</f>
        <v>2205</v>
      </c>
      <c r="BG2250" t="str">
        <f t="shared" si="251"/>
        <v/>
      </c>
    </row>
    <row r="2251" spans="58:59" x14ac:dyDescent="0.35">
      <c r="BF2251">
        <f>ROWS($U$46:U2251)</f>
        <v>2206</v>
      </c>
      <c r="BG2251" t="str">
        <f t="shared" si="251"/>
        <v/>
      </c>
    </row>
    <row r="2252" spans="58:59" x14ac:dyDescent="0.35">
      <c r="BF2252">
        <f>ROWS($U$46:U2252)</f>
        <v>2207</v>
      </c>
      <c r="BG2252" t="str">
        <f t="shared" si="251"/>
        <v/>
      </c>
    </row>
    <row r="2253" spans="58:59" x14ac:dyDescent="0.35">
      <c r="BF2253">
        <f>ROWS($U$46:U2253)</f>
        <v>2208</v>
      </c>
      <c r="BG2253" t="str">
        <f t="shared" si="251"/>
        <v/>
      </c>
    </row>
    <row r="2254" spans="58:59" x14ac:dyDescent="0.35">
      <c r="BF2254">
        <f>ROWS($U$46:U2254)</f>
        <v>2209</v>
      </c>
      <c r="BG2254" t="str">
        <f t="shared" si="251"/>
        <v/>
      </c>
    </row>
    <row r="2255" spans="58:59" x14ac:dyDescent="0.35">
      <c r="BF2255">
        <f>ROWS($U$46:U2255)</f>
        <v>2210</v>
      </c>
      <c r="BG2255" t="str">
        <f t="shared" si="251"/>
        <v/>
      </c>
    </row>
    <row r="2256" spans="58:59" x14ac:dyDescent="0.35">
      <c r="BF2256">
        <f>ROWS($U$46:U2256)</f>
        <v>2211</v>
      </c>
      <c r="BG2256" t="str">
        <f t="shared" si="251"/>
        <v/>
      </c>
    </row>
    <row r="2257" spans="58:59" x14ac:dyDescent="0.35">
      <c r="BF2257">
        <f>ROWS($U$46:U2257)</f>
        <v>2212</v>
      </c>
      <c r="BG2257" t="str">
        <f t="shared" si="251"/>
        <v/>
      </c>
    </row>
    <row r="2258" spans="58:59" x14ac:dyDescent="0.35">
      <c r="BF2258">
        <f>ROWS($U$46:U2258)</f>
        <v>2213</v>
      </c>
      <c r="BG2258" t="str">
        <f t="shared" si="251"/>
        <v/>
      </c>
    </row>
    <row r="2259" spans="58:59" x14ac:dyDescent="0.35">
      <c r="BF2259">
        <f>ROWS($U$46:U2259)</f>
        <v>2214</v>
      </c>
      <c r="BG2259" t="str">
        <f t="shared" si="251"/>
        <v/>
      </c>
    </row>
    <row r="2260" spans="58:59" x14ac:dyDescent="0.35">
      <c r="BF2260">
        <f>ROWS($U$46:U2260)</f>
        <v>2215</v>
      </c>
      <c r="BG2260" t="str">
        <f t="shared" si="251"/>
        <v/>
      </c>
    </row>
    <row r="2261" spans="58:59" x14ac:dyDescent="0.35">
      <c r="BF2261">
        <f>ROWS($U$46:U2261)</f>
        <v>2216</v>
      </c>
      <c r="BG2261" t="str">
        <f t="shared" si="251"/>
        <v/>
      </c>
    </row>
    <row r="2262" spans="58:59" x14ac:dyDescent="0.35">
      <c r="BF2262">
        <f>ROWS($U$46:U2262)</f>
        <v>2217</v>
      </c>
      <c r="BG2262" t="str">
        <f t="shared" si="251"/>
        <v/>
      </c>
    </row>
    <row r="2263" spans="58:59" x14ac:dyDescent="0.35">
      <c r="BF2263">
        <f>ROWS($U$46:U2263)</f>
        <v>2218</v>
      </c>
      <c r="BG2263" t="str">
        <f t="shared" si="251"/>
        <v/>
      </c>
    </row>
    <row r="2264" spans="58:59" x14ac:dyDescent="0.35">
      <c r="BF2264">
        <f>ROWS($U$46:U2264)</f>
        <v>2219</v>
      </c>
      <c r="BG2264" t="str">
        <f t="shared" si="251"/>
        <v/>
      </c>
    </row>
    <row r="2265" spans="58:59" x14ac:dyDescent="0.35">
      <c r="BF2265">
        <f>ROWS($U$46:U2265)</f>
        <v>2220</v>
      </c>
      <c r="BG2265" t="str">
        <f t="shared" si="251"/>
        <v/>
      </c>
    </row>
    <row r="2266" spans="58:59" x14ac:dyDescent="0.35">
      <c r="BF2266">
        <f>ROWS($U$46:U2266)</f>
        <v>2221</v>
      </c>
      <c r="BG2266" t="str">
        <f t="shared" si="251"/>
        <v/>
      </c>
    </row>
    <row r="2267" spans="58:59" x14ac:dyDescent="0.35">
      <c r="BF2267">
        <f>ROWS($U$46:U2267)</f>
        <v>2222</v>
      </c>
      <c r="BG2267" t="str">
        <f t="shared" si="251"/>
        <v/>
      </c>
    </row>
    <row r="2268" spans="58:59" x14ac:dyDescent="0.35">
      <c r="BF2268">
        <f>ROWS($U$46:U2268)</f>
        <v>2223</v>
      </c>
      <c r="BG2268" t="str">
        <f t="shared" si="251"/>
        <v/>
      </c>
    </row>
    <row r="2269" spans="58:59" x14ac:dyDescent="0.35">
      <c r="BF2269">
        <f>ROWS($U$46:U2269)</f>
        <v>2224</v>
      </c>
      <c r="BG2269" t="str">
        <f t="shared" si="251"/>
        <v/>
      </c>
    </row>
    <row r="2270" spans="58:59" x14ac:dyDescent="0.35">
      <c r="BF2270">
        <f>ROWS($U$46:U2270)</f>
        <v>2225</v>
      </c>
      <c r="BG2270" t="str">
        <f t="shared" si="251"/>
        <v/>
      </c>
    </row>
    <row r="2271" spans="58:59" x14ac:dyDescent="0.35">
      <c r="BF2271">
        <f>ROWS($U$46:U2271)</f>
        <v>2226</v>
      </c>
      <c r="BG2271" t="str">
        <f t="shared" si="251"/>
        <v/>
      </c>
    </row>
    <row r="2272" spans="58:59" x14ac:dyDescent="0.35">
      <c r="BF2272">
        <f>ROWS($U$46:U2272)</f>
        <v>2227</v>
      </c>
      <c r="BG2272" t="str">
        <f t="shared" si="251"/>
        <v/>
      </c>
    </row>
    <row r="2273" spans="58:59" x14ac:dyDescent="0.35">
      <c r="BF2273">
        <f>ROWS($U$46:U2273)</f>
        <v>2228</v>
      </c>
      <c r="BG2273" t="str">
        <f t="shared" si="251"/>
        <v/>
      </c>
    </row>
    <row r="2274" spans="58:59" x14ac:dyDescent="0.35">
      <c r="BF2274">
        <f>ROWS($U$46:U2274)</f>
        <v>2229</v>
      </c>
      <c r="BG2274" t="str">
        <f t="shared" si="251"/>
        <v/>
      </c>
    </row>
    <row r="2275" spans="58:59" x14ac:dyDescent="0.35">
      <c r="BF2275">
        <f>ROWS($U$46:U2275)</f>
        <v>2230</v>
      </c>
      <c r="BG2275" t="str">
        <f t="shared" si="251"/>
        <v/>
      </c>
    </row>
    <row r="2276" spans="58:59" x14ac:dyDescent="0.35">
      <c r="BF2276">
        <f>ROWS($U$46:U2276)</f>
        <v>2231</v>
      </c>
      <c r="BG2276" t="str">
        <f t="shared" si="251"/>
        <v/>
      </c>
    </row>
    <row r="2277" spans="58:59" x14ac:dyDescent="0.35">
      <c r="BF2277">
        <f>ROWS($U$46:U2277)</f>
        <v>2232</v>
      </c>
      <c r="BG2277" t="str">
        <f t="shared" si="251"/>
        <v/>
      </c>
    </row>
    <row r="2278" spans="58:59" x14ac:dyDescent="0.35">
      <c r="BF2278">
        <f>ROWS($U$46:U2278)</f>
        <v>2233</v>
      </c>
      <c r="BG2278" t="str">
        <f t="shared" si="251"/>
        <v/>
      </c>
    </row>
    <row r="2279" spans="58:59" x14ac:dyDescent="0.35">
      <c r="BF2279">
        <f>ROWS($U$46:U2279)</f>
        <v>2234</v>
      </c>
      <c r="BG2279" t="str">
        <f t="shared" si="251"/>
        <v/>
      </c>
    </row>
    <row r="2280" spans="58:59" x14ac:dyDescent="0.35">
      <c r="BF2280">
        <f>ROWS($U$46:U2280)</f>
        <v>2235</v>
      </c>
      <c r="BG2280" t="str">
        <f t="shared" si="251"/>
        <v/>
      </c>
    </row>
    <row r="2281" spans="58:59" x14ac:dyDescent="0.35">
      <c r="BF2281">
        <f>ROWS($U$46:U2281)</f>
        <v>2236</v>
      </c>
      <c r="BG2281" t="str">
        <f t="shared" si="251"/>
        <v/>
      </c>
    </row>
    <row r="2282" spans="58:59" x14ac:dyDescent="0.35">
      <c r="BF2282">
        <f>ROWS($U$46:U2282)</f>
        <v>2237</v>
      </c>
      <c r="BG2282" t="str">
        <f t="shared" si="251"/>
        <v/>
      </c>
    </row>
    <row r="2283" spans="58:59" x14ac:dyDescent="0.35">
      <c r="BF2283">
        <f>ROWS($U$46:U2283)</f>
        <v>2238</v>
      </c>
      <c r="BG2283" t="str">
        <f t="shared" si="251"/>
        <v/>
      </c>
    </row>
    <row r="2284" spans="58:59" x14ac:dyDescent="0.35">
      <c r="BF2284">
        <f>ROWS($U$46:U2284)</f>
        <v>2239</v>
      </c>
      <c r="BG2284" t="str">
        <f t="shared" si="251"/>
        <v/>
      </c>
    </row>
    <row r="2285" spans="58:59" x14ac:dyDescent="0.35">
      <c r="BF2285">
        <f>ROWS($U$46:U2285)</f>
        <v>2240</v>
      </c>
      <c r="BG2285" t="str">
        <f t="shared" si="251"/>
        <v/>
      </c>
    </row>
    <row r="2286" spans="58:59" x14ac:dyDescent="0.35">
      <c r="BF2286">
        <f>ROWS($U$46:U2286)</f>
        <v>2241</v>
      </c>
      <c r="BG2286" t="str">
        <f t="shared" si="251"/>
        <v/>
      </c>
    </row>
    <row r="2287" spans="58:59" x14ac:dyDescent="0.35">
      <c r="BF2287">
        <f>ROWS($U$46:U2287)</f>
        <v>2242</v>
      </c>
      <c r="BG2287" t="str">
        <f t="shared" ref="BG2287:BG2328" si="252">IF(VALUE(SUBSTITUTE($B$5,"M",""))=U2287,BF2287,"")</f>
        <v/>
      </c>
    </row>
    <row r="2288" spans="58:59" x14ac:dyDescent="0.35">
      <c r="BF2288">
        <f>ROWS($U$46:U2288)</f>
        <v>2243</v>
      </c>
      <c r="BG2288" t="str">
        <f t="shared" si="252"/>
        <v/>
      </c>
    </row>
    <row r="2289" spans="58:59" x14ac:dyDescent="0.35">
      <c r="BF2289">
        <f>ROWS($U$46:U2289)</f>
        <v>2244</v>
      </c>
      <c r="BG2289" t="str">
        <f t="shared" si="252"/>
        <v/>
      </c>
    </row>
    <row r="2290" spans="58:59" x14ac:dyDescent="0.35">
      <c r="BF2290">
        <f>ROWS($U$46:U2290)</f>
        <v>2245</v>
      </c>
      <c r="BG2290" t="str">
        <f t="shared" si="252"/>
        <v/>
      </c>
    </row>
    <row r="2291" spans="58:59" x14ac:dyDescent="0.35">
      <c r="BF2291">
        <f>ROWS($U$46:U2291)</f>
        <v>2246</v>
      </c>
      <c r="BG2291" t="str">
        <f t="shared" si="252"/>
        <v/>
      </c>
    </row>
    <row r="2292" spans="58:59" x14ac:dyDescent="0.35">
      <c r="BF2292">
        <f>ROWS($U$46:U2292)</f>
        <v>2247</v>
      </c>
      <c r="BG2292" t="str">
        <f t="shared" si="252"/>
        <v/>
      </c>
    </row>
    <row r="2293" spans="58:59" x14ac:dyDescent="0.35">
      <c r="BF2293">
        <f>ROWS($U$46:U2293)</f>
        <v>2248</v>
      </c>
      <c r="BG2293" t="str">
        <f t="shared" si="252"/>
        <v/>
      </c>
    </row>
    <row r="2294" spans="58:59" x14ac:dyDescent="0.35">
      <c r="BF2294">
        <f>ROWS($U$46:U2294)</f>
        <v>2249</v>
      </c>
      <c r="BG2294" t="str">
        <f t="shared" si="252"/>
        <v/>
      </c>
    </row>
    <row r="2295" spans="58:59" x14ac:dyDescent="0.35">
      <c r="BF2295">
        <f>ROWS($U$46:U2295)</f>
        <v>2250</v>
      </c>
      <c r="BG2295" t="str">
        <f t="shared" si="252"/>
        <v/>
      </c>
    </row>
    <row r="2296" spans="58:59" x14ac:dyDescent="0.35">
      <c r="BF2296">
        <f>ROWS($U$46:U2296)</f>
        <v>2251</v>
      </c>
      <c r="BG2296" t="str">
        <f t="shared" si="252"/>
        <v/>
      </c>
    </row>
    <row r="2297" spans="58:59" x14ac:dyDescent="0.35">
      <c r="BF2297">
        <f>ROWS($U$46:U2297)</f>
        <v>2252</v>
      </c>
      <c r="BG2297" t="str">
        <f t="shared" si="252"/>
        <v/>
      </c>
    </row>
    <row r="2298" spans="58:59" x14ac:dyDescent="0.35">
      <c r="BF2298">
        <f>ROWS($U$46:U2298)</f>
        <v>2253</v>
      </c>
      <c r="BG2298" t="str">
        <f t="shared" si="252"/>
        <v/>
      </c>
    </row>
    <row r="2299" spans="58:59" x14ac:dyDescent="0.35">
      <c r="BF2299">
        <f>ROWS($U$46:U2299)</f>
        <v>2254</v>
      </c>
      <c r="BG2299" t="str">
        <f t="shared" si="252"/>
        <v/>
      </c>
    </row>
    <row r="2300" spans="58:59" x14ac:dyDescent="0.35">
      <c r="BF2300">
        <f>ROWS($U$46:U2300)</f>
        <v>2255</v>
      </c>
      <c r="BG2300" t="str">
        <f t="shared" si="252"/>
        <v/>
      </c>
    </row>
    <row r="2301" spans="58:59" x14ac:dyDescent="0.35">
      <c r="BF2301">
        <f>ROWS($U$46:U2301)</f>
        <v>2256</v>
      </c>
      <c r="BG2301" t="str">
        <f t="shared" si="252"/>
        <v/>
      </c>
    </row>
    <row r="2302" spans="58:59" x14ac:dyDescent="0.35">
      <c r="BF2302">
        <f>ROWS($U$46:U2302)</f>
        <v>2257</v>
      </c>
      <c r="BG2302" t="str">
        <f t="shared" si="252"/>
        <v/>
      </c>
    </row>
    <row r="2303" spans="58:59" x14ac:dyDescent="0.35">
      <c r="BF2303">
        <f>ROWS($U$46:U2303)</f>
        <v>2258</v>
      </c>
      <c r="BG2303" t="str">
        <f t="shared" si="252"/>
        <v/>
      </c>
    </row>
    <row r="2304" spans="58:59" x14ac:dyDescent="0.35">
      <c r="BF2304">
        <f>ROWS($U$46:U2304)</f>
        <v>2259</v>
      </c>
      <c r="BG2304" t="str">
        <f t="shared" si="252"/>
        <v/>
      </c>
    </row>
    <row r="2305" spans="58:59" x14ac:dyDescent="0.35">
      <c r="BF2305">
        <f>ROWS($U$46:U2305)</f>
        <v>2260</v>
      </c>
      <c r="BG2305" t="str">
        <f t="shared" si="252"/>
        <v/>
      </c>
    </row>
    <row r="2306" spans="58:59" x14ac:dyDescent="0.35">
      <c r="BF2306">
        <f>ROWS($U$46:U2306)</f>
        <v>2261</v>
      </c>
      <c r="BG2306" t="str">
        <f t="shared" si="252"/>
        <v/>
      </c>
    </row>
    <row r="2307" spans="58:59" x14ac:dyDescent="0.35">
      <c r="BF2307">
        <f>ROWS($U$46:U2307)</f>
        <v>2262</v>
      </c>
      <c r="BG2307" t="str">
        <f t="shared" si="252"/>
        <v/>
      </c>
    </row>
    <row r="2308" spans="58:59" x14ac:dyDescent="0.35">
      <c r="BF2308">
        <f>ROWS($U$46:U2308)</f>
        <v>2263</v>
      </c>
      <c r="BG2308" t="str">
        <f t="shared" si="252"/>
        <v/>
      </c>
    </row>
    <row r="2309" spans="58:59" x14ac:dyDescent="0.35">
      <c r="BF2309">
        <f>ROWS($U$46:U2309)</f>
        <v>2264</v>
      </c>
      <c r="BG2309" t="str">
        <f t="shared" si="252"/>
        <v/>
      </c>
    </row>
    <row r="2310" spans="58:59" x14ac:dyDescent="0.35">
      <c r="BF2310">
        <f>ROWS($U$46:U2310)</f>
        <v>2265</v>
      </c>
      <c r="BG2310" t="str">
        <f t="shared" si="252"/>
        <v/>
      </c>
    </row>
    <row r="2311" spans="58:59" x14ac:dyDescent="0.35">
      <c r="BF2311">
        <f>ROWS($U$46:U2311)</f>
        <v>2266</v>
      </c>
      <c r="BG2311" t="str">
        <f t="shared" si="252"/>
        <v/>
      </c>
    </row>
    <row r="2312" spans="58:59" x14ac:dyDescent="0.35">
      <c r="BF2312">
        <f>ROWS($U$46:U2312)</f>
        <v>2267</v>
      </c>
      <c r="BG2312" t="str">
        <f t="shared" si="252"/>
        <v/>
      </c>
    </row>
    <row r="2313" spans="58:59" x14ac:dyDescent="0.35">
      <c r="BF2313">
        <f>ROWS($U$46:U2313)</f>
        <v>2268</v>
      </c>
      <c r="BG2313" t="str">
        <f t="shared" si="252"/>
        <v/>
      </c>
    </row>
    <row r="2314" spans="58:59" x14ac:dyDescent="0.35">
      <c r="BF2314">
        <f>ROWS($U$46:U2314)</f>
        <v>2269</v>
      </c>
      <c r="BG2314" t="str">
        <f t="shared" si="252"/>
        <v/>
      </c>
    </row>
    <row r="2315" spans="58:59" x14ac:dyDescent="0.35">
      <c r="BF2315">
        <f>ROWS($U$46:U2315)</f>
        <v>2270</v>
      </c>
      <c r="BG2315" t="str">
        <f t="shared" si="252"/>
        <v/>
      </c>
    </row>
    <row r="2316" spans="58:59" x14ac:dyDescent="0.35">
      <c r="BF2316">
        <f>ROWS($U$46:U2316)</f>
        <v>2271</v>
      </c>
      <c r="BG2316" t="str">
        <f t="shared" si="252"/>
        <v/>
      </c>
    </row>
    <row r="2317" spans="58:59" x14ac:dyDescent="0.35">
      <c r="BF2317">
        <f>ROWS($U$46:U2317)</f>
        <v>2272</v>
      </c>
      <c r="BG2317" t="str">
        <f t="shared" si="252"/>
        <v/>
      </c>
    </row>
    <row r="2318" spans="58:59" x14ac:dyDescent="0.35">
      <c r="BF2318">
        <f>ROWS($U$46:U2318)</f>
        <v>2273</v>
      </c>
      <c r="BG2318" t="str">
        <f t="shared" si="252"/>
        <v/>
      </c>
    </row>
    <row r="2319" spans="58:59" x14ac:dyDescent="0.35">
      <c r="BF2319">
        <f>ROWS($U$46:U2319)</f>
        <v>2274</v>
      </c>
      <c r="BG2319" t="str">
        <f t="shared" si="252"/>
        <v/>
      </c>
    </row>
    <row r="2320" spans="58:59" x14ac:dyDescent="0.35">
      <c r="BF2320">
        <f>ROWS($U$46:U2320)</f>
        <v>2275</v>
      </c>
      <c r="BG2320" t="str">
        <f t="shared" si="252"/>
        <v/>
      </c>
    </row>
    <row r="2321" spans="58:59" x14ac:dyDescent="0.35">
      <c r="BF2321">
        <f>ROWS($U$46:U2321)</f>
        <v>2276</v>
      </c>
      <c r="BG2321" t="str">
        <f t="shared" si="252"/>
        <v/>
      </c>
    </row>
    <row r="2322" spans="58:59" x14ac:dyDescent="0.35">
      <c r="BF2322">
        <f>ROWS($U$46:U2322)</f>
        <v>2277</v>
      </c>
      <c r="BG2322" t="str">
        <f t="shared" si="252"/>
        <v/>
      </c>
    </row>
    <row r="2323" spans="58:59" x14ac:dyDescent="0.35">
      <c r="BF2323">
        <f>ROWS($U$46:U2323)</f>
        <v>2278</v>
      </c>
      <c r="BG2323" t="str">
        <f t="shared" si="252"/>
        <v/>
      </c>
    </row>
    <row r="2324" spans="58:59" x14ac:dyDescent="0.35">
      <c r="BF2324">
        <f>ROWS($U$46:U2324)</f>
        <v>2279</v>
      </c>
      <c r="BG2324" t="str">
        <f t="shared" si="252"/>
        <v/>
      </c>
    </row>
    <row r="2325" spans="58:59" x14ac:dyDescent="0.35">
      <c r="BF2325">
        <f>ROWS($U$46:U2325)</f>
        <v>2280</v>
      </c>
      <c r="BG2325" t="str">
        <f t="shared" si="252"/>
        <v/>
      </c>
    </row>
    <row r="2326" spans="58:59" x14ac:dyDescent="0.35">
      <c r="BF2326">
        <f>ROWS($U$46:U2326)</f>
        <v>2281</v>
      </c>
      <c r="BG2326" t="str">
        <f t="shared" si="252"/>
        <v/>
      </c>
    </row>
    <row r="2327" spans="58:59" x14ac:dyDescent="0.35">
      <c r="BF2327">
        <f>ROWS($U$46:U2327)</f>
        <v>2282</v>
      </c>
      <c r="BG2327" t="str">
        <f t="shared" si="252"/>
        <v/>
      </c>
    </row>
    <row r="2328" spans="58:59" x14ac:dyDescent="0.35">
      <c r="BF2328">
        <f>ROWS($U$46:U2328)</f>
        <v>2283</v>
      </c>
      <c r="BG2328" t="str">
        <f t="shared" si="252"/>
        <v/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  <mergeCell ref="H13:I13"/>
    <mergeCell ref="D10:J10"/>
    <mergeCell ref="H11:J11"/>
    <mergeCell ref="H14:I14"/>
    <mergeCell ref="H15:I15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BF44:BM44"/>
    <mergeCell ref="F43:G43"/>
    <mergeCell ref="L30:L31"/>
    <mergeCell ref="H30:K31"/>
    <mergeCell ref="M30:R30"/>
    <mergeCell ref="D33:F33"/>
    <mergeCell ref="H27:I27"/>
    <mergeCell ref="H28:I28"/>
    <mergeCell ref="H22:I22"/>
    <mergeCell ref="H23:I23"/>
    <mergeCell ref="H24:I24"/>
    <mergeCell ref="H25:I25"/>
    <mergeCell ref="H26:I26"/>
  </mergeCells>
  <phoneticPr fontId="87" type="noConversion"/>
  <conditionalFormatting sqref="B5">
    <cfRule type="expression" dxfId="761" priority="36">
      <formula>$C$5&lt;&gt;""</formula>
    </cfRule>
  </conditionalFormatting>
  <conditionalFormatting sqref="E12:E13">
    <cfRule type="expression" dxfId="760" priority="199">
      <formula>AND($D$13=$D$4,$E$13&lt;&gt;$E$4)</formula>
    </cfRule>
  </conditionalFormatting>
  <conditionalFormatting sqref="E12:E28">
    <cfRule type="expression" dxfId="759" priority="163">
      <formula>AND(COUNTIF($G$6,D12),E12&lt;&gt;0)</formula>
    </cfRule>
    <cfRule type="expression" dxfId="758" priority="164">
      <formula>AND(COUNTIF($G$5,D12),E12&lt;&gt;0)</formula>
    </cfRule>
    <cfRule type="expression" dxfId="757" priority="165">
      <formula>AND(COUNTIF($G$4,D12),E12&lt;&gt;0)</formula>
    </cfRule>
  </conditionalFormatting>
  <conditionalFormatting sqref="E12:E29 N12:O29">
    <cfRule type="cellIs" dxfId="756" priority="181" operator="equal">
      <formula>0</formula>
    </cfRule>
  </conditionalFormatting>
  <conditionalFormatting sqref="E14">
    <cfRule type="expression" dxfId="755" priority="197">
      <formula>OR(AND($D$14=$D$4,$E$14&lt;&gt;$E$4),AND($D$14=$D$5,$E$14&lt;&gt;$E$5))</formula>
    </cfRule>
  </conditionalFormatting>
  <conditionalFormatting sqref="E15">
    <cfRule type="expression" dxfId="754" priority="196">
      <formula>OR(AND($D$15=$D$4,$E$15&lt;&gt;$E$4),AND($D$15=$D$5,$E$15&lt;&gt;$E$5),AND($D$15=$D$6,$E$15&lt;&gt;$E$6))</formula>
    </cfRule>
  </conditionalFormatting>
  <conditionalFormatting sqref="E16">
    <cfRule type="expression" dxfId="753" priority="198">
      <formula>OR(AND($D$16=$D$4,$E$16&lt;&gt;$E$4),AND($D$16=$D$5,$E$16&lt;&gt;$E$5),AND($D$16=$D$6,$E$16&lt;&gt;$E$6))</formula>
    </cfRule>
  </conditionalFormatting>
  <conditionalFormatting sqref="E17">
    <cfRule type="expression" dxfId="752" priority="195">
      <formula>OR(AND($D$17=$D$4,$E$17&lt;&gt;$E$4),AND($D$17=$D$5,$E$17&lt;&gt;$E$5),AND($D$17=$D$6,$E$17&lt;&gt;$E$6))</formula>
    </cfRule>
  </conditionalFormatting>
  <conditionalFormatting sqref="E18:E28">
    <cfRule type="expression" dxfId="751" priority="194">
      <formula>OR(AND($D$18=$D$4,$E$18&lt;&gt;$E$4),AND($D$18=$D$5,$E$18&lt;&gt;$E$5),AND($D$18=$D$6,$E$18&lt;&gt;$E$6))</formula>
    </cfRule>
  </conditionalFormatting>
  <conditionalFormatting sqref="E31">
    <cfRule type="expression" dxfId="750" priority="24638">
      <formula>AND($E$31&lt;&gt;$B$122,COUNTIF($B$121,"USR"))</formula>
    </cfRule>
  </conditionalFormatting>
  <conditionalFormatting sqref="F12:F28">
    <cfRule type="expression" dxfId="749" priority="24641">
      <formula>AND($D$6&lt;&gt;"",$B$65&lt;&gt;$C$65)</formula>
    </cfRule>
    <cfRule type="expression" dxfId="748" priority="24640">
      <formula>AND($D$5&lt;&gt;"",$B$64&lt;&gt;$C$64)</formula>
    </cfRule>
    <cfRule type="expression" dxfId="747" priority="24639">
      <formula>AND($D$4&lt;&gt;"",$B$63&lt;&gt;$C$63)</formula>
    </cfRule>
  </conditionalFormatting>
  <conditionalFormatting sqref="G12">
    <cfRule type="expression" priority="179">
      <formula>AND($N$12&lt;&gt;$G$12,$N$12&lt;&gt;0)</formula>
    </cfRule>
  </conditionalFormatting>
  <conditionalFormatting sqref="G13">
    <cfRule type="expression" dxfId="746" priority="193">
      <formula>AND($N$13&lt;&gt;$G$13,$N$13&lt;&gt;0)</formula>
    </cfRule>
  </conditionalFormatting>
  <conditionalFormatting sqref="G14">
    <cfRule type="expression" dxfId="745" priority="192">
      <formula>AND($N$14&lt;&gt;$G$14,$N$14&lt;&gt;0)</formula>
    </cfRule>
  </conditionalFormatting>
  <conditionalFormatting sqref="G15">
    <cfRule type="expression" dxfId="744" priority="191">
      <formula>AND($N$15&lt;&gt;$G$15,$N$15&lt;&gt;0)</formula>
    </cfRule>
  </conditionalFormatting>
  <conditionalFormatting sqref="G16">
    <cfRule type="expression" dxfId="743" priority="180">
      <formula>AND($N$16&lt;&gt;$G$16,$N$16&lt;&gt;0)</formula>
    </cfRule>
  </conditionalFormatting>
  <conditionalFormatting sqref="G17">
    <cfRule type="expression" dxfId="742" priority="190">
      <formula>AND($N$17&lt;&gt;$G$17,$N$17&lt;&gt;0)</formula>
    </cfRule>
  </conditionalFormatting>
  <conditionalFormatting sqref="G18:G28">
    <cfRule type="expression" dxfId="741" priority="189">
      <formula>AND($N$18&lt;&gt;$G$18,$N$18&lt;&gt;0)</formula>
    </cfRule>
  </conditionalFormatting>
  <conditionalFormatting sqref="G31">
    <cfRule type="cellIs" dxfId="740" priority="295" operator="equal">
      <formula>0</formula>
    </cfRule>
  </conditionalFormatting>
  <conditionalFormatting sqref="K29">
    <cfRule type="cellIs" dxfId="739" priority="175" operator="equal">
      <formula>0</formula>
    </cfRule>
  </conditionalFormatting>
  <conditionalFormatting sqref="L4:L6 Q32">
    <cfRule type="expression" dxfId="738" priority="125">
      <formula>AND(NOT($Q$32&lt;&gt;""),OR($L$4&lt;&gt;"",$L$5&lt;&gt;""))</formula>
    </cfRule>
  </conditionalFormatting>
  <conditionalFormatting sqref="L12">
    <cfRule type="expression" dxfId="736" priority="24830">
      <formula>$L$12&gt;$E$12</formula>
    </cfRule>
    <cfRule type="expression" dxfId="735" priority="24829">
      <formula>AND($E$12="",$L$12&gt;0)</formula>
    </cfRule>
  </conditionalFormatting>
  <conditionalFormatting sqref="L13">
    <cfRule type="expression" dxfId="733" priority="24832">
      <formula>AND($E$13="",$L$13&gt;0)</formula>
    </cfRule>
    <cfRule type="expression" dxfId="732" priority="24833">
      <formula>$L$13&gt;$E$13</formula>
    </cfRule>
  </conditionalFormatting>
  <conditionalFormatting sqref="L14">
    <cfRule type="expression" dxfId="730" priority="24835">
      <formula>AND($E$14="",$L$14&gt;0)</formula>
    </cfRule>
    <cfRule type="expression" dxfId="729" priority="24836">
      <formula>$L$14&gt;$E$14</formula>
    </cfRule>
  </conditionalFormatting>
  <conditionalFormatting sqref="L15">
    <cfRule type="expression" dxfId="728" priority="24839">
      <formula>$L$15&gt;$E$15</formula>
    </cfRule>
    <cfRule type="expression" dxfId="726" priority="24838">
      <formula>AND($E$15="",$L$15&gt;0)</formula>
    </cfRule>
  </conditionalFormatting>
  <conditionalFormatting sqref="L16">
    <cfRule type="expression" dxfId="725" priority="24842">
      <formula>$L$16&gt;$E$16</formula>
    </cfRule>
    <cfRule type="expression" dxfId="723" priority="24841">
      <formula>AND($E$16="",$L$16&gt;0)</formula>
    </cfRule>
  </conditionalFormatting>
  <conditionalFormatting sqref="L17">
    <cfRule type="expression" dxfId="722" priority="24844">
      <formula>AND($E$17="",$L$17&gt;0)</formula>
    </cfRule>
    <cfRule type="expression" dxfId="721" priority="24845">
      <formula>$L$17&gt;$E$17</formula>
    </cfRule>
  </conditionalFormatting>
  <conditionalFormatting sqref="L18:L28">
    <cfRule type="expression" dxfId="719" priority="24848">
      <formula>$L$18&gt;$E$18</formula>
    </cfRule>
    <cfRule type="expression" dxfId="718" priority="24847">
      <formula>AND($E$18="",$L$18&gt;0)</formula>
    </cfRule>
  </conditionalFormatting>
  <conditionalFormatting sqref="L29">
    <cfRule type="cellIs" dxfId="716" priority="174" operator="equal">
      <formula>0</formula>
    </cfRule>
  </conditionalFormatting>
  <conditionalFormatting sqref="L46:L229">
    <cfRule type="duplicateValues" dxfId="715" priority="23926"/>
  </conditionalFormatting>
  <conditionalFormatting sqref="L46:L625">
    <cfRule type="duplicateValues" dxfId="714" priority="24313"/>
  </conditionalFormatting>
  <conditionalFormatting sqref="L325 L45:L323">
    <cfRule type="duplicateValues" dxfId="713" priority="24267"/>
  </conditionalFormatting>
  <conditionalFormatting sqref="L518:L519">
    <cfRule type="duplicateValues" dxfId="712" priority="49"/>
  </conditionalFormatting>
  <conditionalFormatting sqref="O2:O5">
    <cfRule type="cellIs" dxfId="711" priority="255" operator="equal">
      <formula>0</formula>
    </cfRule>
  </conditionalFormatting>
  <conditionalFormatting sqref="O7">
    <cfRule type="expression" dxfId="710" priority="104">
      <formula>OR(AND(NOT($B$2&lt;&gt;""),$O$7&lt;&gt;""),AND(NOT($O$7&lt;&gt;""),COUNTIF($B$7,"SAUDI ARAMCO")))</formula>
    </cfRule>
  </conditionalFormatting>
  <conditionalFormatting sqref="BR46:DA57">
    <cfRule type="cellIs" dxfId="709" priority="320" operator="between">
      <formula>1</formula>
      <formula>17</formula>
    </cfRule>
  </conditionalFormatting>
  <conditionalFormatting sqref="CY8:CY15">
    <cfRule type="duplicateValues" dxfId="708" priority="122"/>
  </conditionalFormatting>
  <conditionalFormatting sqref="DB1:DB171">
    <cfRule type="duplicateValues" dxfId="707" priority="102"/>
  </conditionalFormatting>
  <conditionalFormatting sqref="DB1:DB174 DB177:DB182 DB202:DB211">
    <cfRule type="duplicateValues" dxfId="706" priority="101"/>
  </conditionalFormatting>
  <conditionalFormatting sqref="DB2:DB281">
    <cfRule type="duplicateValues" dxfId="705" priority="24312"/>
  </conditionalFormatting>
  <conditionalFormatting sqref="DB175:DB176">
    <cfRule type="duplicateValues" dxfId="704" priority="95"/>
    <cfRule type="duplicateValues" dxfId="703" priority="94"/>
    <cfRule type="duplicateValues" dxfId="702" priority="93"/>
  </conditionalFormatting>
  <conditionalFormatting sqref="DB240:DB242">
    <cfRule type="duplicateValues" dxfId="701" priority="48"/>
    <cfRule type="duplicateValues" dxfId="700" priority="47"/>
    <cfRule type="duplicateValues" dxfId="699" priority="46"/>
    <cfRule type="duplicateValues" dxfId="698" priority="45"/>
    <cfRule type="duplicateValues" dxfId="697" priority="44"/>
    <cfRule type="duplicateValues" dxfId="696" priority="43"/>
    <cfRule type="duplicateValues" dxfId="695" priority="42"/>
  </conditionalFormatting>
  <conditionalFormatting sqref="DB281">
    <cfRule type="duplicateValues" dxfId="694" priority="31"/>
    <cfRule type="duplicateValues" dxfId="693" priority="34"/>
    <cfRule type="duplicateValues" dxfId="692" priority="29"/>
    <cfRule type="duplicateValues" dxfId="691" priority="30"/>
    <cfRule type="duplicateValues" dxfId="690" priority="32"/>
    <cfRule type="duplicateValues" dxfId="689" priority="33"/>
    <cfRule type="duplicateValues" dxfId="688" priority="35"/>
  </conditionalFormatting>
  <conditionalFormatting sqref="DB282">
    <cfRule type="duplicateValues" dxfId="687" priority="22"/>
    <cfRule type="duplicateValues" dxfId="686" priority="23"/>
    <cfRule type="duplicateValues" dxfId="685" priority="24"/>
    <cfRule type="duplicateValues" dxfId="684" priority="25"/>
    <cfRule type="duplicateValues" dxfId="683" priority="26"/>
    <cfRule type="duplicateValues" dxfId="682" priority="27"/>
    <cfRule type="duplicateValues" dxfId="681" priority="28"/>
  </conditionalFormatting>
  <conditionalFormatting sqref="DB283">
    <cfRule type="duplicateValues" dxfId="680" priority="15"/>
    <cfRule type="duplicateValues" dxfId="679" priority="17"/>
    <cfRule type="duplicateValues" dxfId="678" priority="18"/>
    <cfRule type="duplicateValues" dxfId="677" priority="19"/>
    <cfRule type="duplicateValues" dxfId="676" priority="20"/>
    <cfRule type="duplicateValues" dxfId="675" priority="16"/>
    <cfRule type="duplicateValues" dxfId="674" priority="21"/>
  </conditionalFormatting>
  <conditionalFormatting sqref="DB284">
    <cfRule type="duplicateValues" dxfId="673" priority="13"/>
    <cfRule type="duplicateValues" dxfId="672" priority="14"/>
    <cfRule type="duplicateValues" dxfId="671" priority="12"/>
    <cfRule type="duplicateValues" dxfId="670" priority="11"/>
    <cfRule type="duplicateValues" dxfId="669" priority="10"/>
    <cfRule type="duplicateValues" dxfId="668" priority="9"/>
    <cfRule type="duplicateValues" dxfId="667" priority="8"/>
  </conditionalFormatting>
  <conditionalFormatting sqref="DB285:DB290">
    <cfRule type="duplicateValues" dxfId="666" priority="4"/>
    <cfRule type="duplicateValues" dxfId="665" priority="3"/>
    <cfRule type="duplicateValues" dxfId="664" priority="2"/>
    <cfRule type="duplicateValues" dxfId="663" priority="1"/>
    <cfRule type="duplicateValues" dxfId="662" priority="7"/>
    <cfRule type="duplicateValues" dxfId="661" priority="6"/>
    <cfRule type="duplicateValues" dxfId="660" priority="5"/>
  </conditionalFormatting>
  <conditionalFormatting sqref="DB291:DB294 DB296:DB1048576 DB1:DB174 DB177:DB239 DB243:DB280">
    <cfRule type="duplicateValues" dxfId="659" priority="96"/>
    <cfRule type="duplicateValues" dxfId="658" priority="97"/>
  </conditionalFormatting>
  <conditionalFormatting sqref="DB291:DB294 DB296:DB1048576 DB1:DB281">
    <cfRule type="duplicateValues" dxfId="657" priority="51"/>
    <cfRule type="duplicateValues" dxfId="656" priority="55"/>
    <cfRule type="duplicateValues" dxfId="655" priority="92"/>
    <cfRule type="duplicateValues" dxfId="654" priority="50"/>
  </conditionalFormatting>
  <conditionalFormatting sqref="DC183:DC201 DE9:DE177">
    <cfRule type="duplicateValues" dxfId="653" priority="98"/>
  </conditionalFormatting>
  <conditionalFormatting sqref="DE1:DE196 DE220:DE233 DE198:DE215 DE264 DE243:DE246 DE250:DE262 DE293:DE1048576 DE269:DE291">
    <cfRule type="duplicateValues" dxfId="652" priority="24637"/>
  </conditionalFormatting>
  <conditionalFormatting sqref="DE2:DE196 DE198">
    <cfRule type="duplicateValues" dxfId="651" priority="60"/>
  </conditionalFormatting>
  <conditionalFormatting sqref="DE167:DE168">
    <cfRule type="duplicateValues" dxfId="650" priority="119"/>
  </conditionalFormatting>
  <conditionalFormatting sqref="DE170 DE172:DE173">
    <cfRule type="duplicateValues" dxfId="649" priority="120"/>
  </conditionalFormatting>
  <conditionalFormatting sqref="DE171">
    <cfRule type="duplicateValues" dxfId="648" priority="118"/>
  </conditionalFormatting>
  <conditionalFormatting sqref="DE197">
    <cfRule type="duplicateValues" dxfId="647" priority="56"/>
    <cfRule type="duplicateValues" dxfId="646" priority="57"/>
  </conditionalFormatting>
  <conditionalFormatting sqref="DE247:DE249">
    <cfRule type="duplicateValues" dxfId="645" priority="41"/>
  </conditionalFormatting>
  <conditionalFormatting sqref="DE265:DE268">
    <cfRule type="duplicateValues" dxfId="644" priority="38"/>
  </conditionalFormatting>
  <conditionalFormatting sqref="DE267:DE268 DE265">
    <cfRule type="duplicateValues" dxfId="643" priority="39"/>
  </conditionalFormatting>
  <conditionalFormatting sqref="DF172:DF173">
    <cfRule type="duplicateValues" dxfId="642" priority="108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4:F8" xr:uid="{27784624-7BBD-4E3F-A94C-D74B51DDA666}">
      <formula1>$DB$2:$DB$295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1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4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7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0" id="{1B42403D-3199-40C9-B459-9EF6165802E4}">
            <xm:f>OR(AND($L$30=1,'Eng. Cutter Entry'!$C$4="",$L15&lt;&gt; 'ARDT Cutter Entry'!AT$3+'ARDT Cutter Entry'!AT$5),AND($L$30=1,'Eng. Cutter Entry'!$C$4&lt;&gt;"",$L15&lt;&gt; 'ARDT Cutter Entry'!AT$59+'ARDT Cutter Entry'!AT$61))</xm:f>
            <x14:dxf>
              <font>
                <b/>
                <i/>
                <color theme="9" tint="-0.24994659260841701"/>
              </font>
            </x14:dxf>
          </x14:cfRule>
          <xm:sqref>L15</xm:sqref>
        </x14:conditionalFormatting>
        <x14:conditionalFormatting xmlns:xm="http://schemas.microsoft.com/office/excel/2006/main">
          <x14:cfRule type="expression" priority="24843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6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49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4.5" x14ac:dyDescent="0.35"/>
  <cols>
    <col min="1" max="1" width="2.7265625" customWidth="1"/>
    <col min="2" max="2" width="3.453125" bestFit="1" customWidth="1"/>
    <col min="3" max="11" width="2.7265625" customWidth="1"/>
    <col min="12" max="12" width="4" bestFit="1" customWidth="1"/>
    <col min="13" max="35" width="3.26953125" bestFit="1" customWidth="1"/>
    <col min="36" max="52" width="3.26953125" customWidth="1"/>
    <col min="56" max="56" width="2.7265625" customWidth="1"/>
    <col min="57" max="57" width="3.453125" bestFit="1" customWidth="1"/>
    <col min="58" max="66" width="2.7265625" customWidth="1"/>
    <col min="67" max="67" width="4" bestFit="1" customWidth="1"/>
    <col min="68" max="90" width="3.26953125" bestFit="1" customWidth="1"/>
    <col min="91" max="107" width="3.26953125" customWidth="1"/>
  </cols>
  <sheetData>
    <row r="1" spans="1:90" ht="15" thickBot="1" x14ac:dyDescent="0.4">
      <c r="A1" s="1271"/>
      <c r="B1" s="1272"/>
      <c r="C1" s="1272"/>
      <c r="D1" s="1272"/>
      <c r="E1" s="1272"/>
      <c r="F1" s="1272"/>
      <c r="G1" s="1272"/>
      <c r="H1" s="1272"/>
      <c r="I1" s="1272"/>
      <c r="J1" s="1272"/>
      <c r="K1" s="1272"/>
      <c r="L1" s="1272"/>
      <c r="M1" s="1272"/>
      <c r="N1" s="1272"/>
      <c r="O1" s="1272"/>
      <c r="P1" s="1272"/>
      <c r="Q1" s="1272"/>
      <c r="R1" s="1272"/>
      <c r="S1" s="1272"/>
      <c r="T1" s="1272"/>
      <c r="U1" s="1272"/>
      <c r="V1" s="1272"/>
      <c r="W1" s="1272"/>
      <c r="X1" s="1272"/>
      <c r="Y1" s="1272"/>
      <c r="Z1" s="1272"/>
      <c r="AA1" s="1272"/>
      <c r="AB1" s="1272"/>
      <c r="AC1" s="1272"/>
      <c r="AD1" s="1272"/>
      <c r="AE1" s="1272"/>
      <c r="AF1" s="1272"/>
      <c r="AG1" s="1272"/>
      <c r="AH1" s="1272"/>
      <c r="AI1" s="1272"/>
      <c r="AJ1" s="1272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5" customHeight="1" x14ac:dyDescent="0.35">
      <c r="A2" s="675"/>
      <c r="B2" s="736"/>
      <c r="C2" s="1273"/>
      <c r="D2" s="1274"/>
      <c r="E2" s="1274"/>
      <c r="F2" s="1274"/>
      <c r="G2" s="1274"/>
      <c r="H2" s="1274"/>
      <c r="I2" s="1274"/>
      <c r="J2" s="1274"/>
      <c r="K2" s="1274"/>
      <c r="L2" s="1274"/>
      <c r="M2" s="1274"/>
      <c r="N2" s="1274"/>
      <c r="O2" s="1274"/>
      <c r="P2" s="1274"/>
      <c r="Q2" s="1274"/>
      <c r="R2" s="1274"/>
      <c r="S2" s="1274"/>
      <c r="T2" s="1274"/>
      <c r="U2" s="1274"/>
      <c r="V2" s="1274"/>
      <c r="W2" s="1274"/>
      <c r="X2" s="1274"/>
      <c r="Y2" s="1274"/>
      <c r="Z2" s="1274"/>
      <c r="AA2" s="1274"/>
      <c r="AB2" s="1274"/>
      <c r="AC2" s="1274"/>
      <c r="AD2" s="1274"/>
      <c r="AE2" s="1274"/>
      <c r="AF2" s="1274"/>
      <c r="AG2" s="1274"/>
      <c r="AH2" s="1274"/>
      <c r="AI2" s="1274"/>
      <c r="AJ2" s="1274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5" customHeight="1" thickBot="1" x14ac:dyDescent="0.4">
      <c r="A3" s="680"/>
      <c r="B3" s="737"/>
      <c r="C3" s="840" t="str">
        <f>IF(Data!BR42&lt;&gt;"",Data!BR42,"")</f>
        <v>1a</v>
      </c>
      <c r="D3" s="841" t="str">
        <f>IF(Data!BS42&lt;&gt;"",Data!BS42,"")</f>
        <v>2a</v>
      </c>
      <c r="E3" s="841" t="str">
        <f>IF(Data!BT42&lt;&gt;"",Data!BT42,"")</f>
        <v>3a</v>
      </c>
      <c r="F3" s="841" t="str">
        <f>IF(Data!BU42&lt;&gt;"",Data!BU42,"")</f>
        <v>4a</v>
      </c>
      <c r="G3" s="841" t="str">
        <f>IF(Data!BV42&lt;&gt;"",Data!BV42,"")</f>
        <v>5a</v>
      </c>
      <c r="H3" s="841" t="str">
        <f>IF(Data!BW42&lt;&gt;"",Data!BW42,"")</f>
        <v>6a</v>
      </c>
      <c r="I3" s="841" t="str">
        <f>IF(Data!BX42&lt;&gt;"",Data!BX42,"")</f>
        <v>7a</v>
      </c>
      <c r="J3" s="841" t="str">
        <f>IF(Data!BY42&lt;&gt;"",Data!BY42,"")</f>
        <v>8a</v>
      </c>
      <c r="K3" s="841" t="str">
        <f>IF(Data!BZ42&lt;&gt;"",Data!BZ42,"")</f>
        <v>0a</v>
      </c>
      <c r="L3" s="841" t="str">
        <f>IF(Data!CA42&lt;&gt;"",Data!CA42,"")</f>
        <v>1b</v>
      </c>
      <c r="M3" s="841" t="str">
        <f>IF(Data!CB42&lt;&gt;"",Data!CB42,"")</f>
        <v>2b</v>
      </c>
      <c r="N3" s="841" t="str">
        <f>IF(Data!CC42&lt;&gt;"",Data!CC42,"")</f>
        <v>3b</v>
      </c>
      <c r="O3" s="841" t="str">
        <f>IF(Data!CD42&lt;&gt;"",Data!CD42,"")</f>
        <v>4b</v>
      </c>
      <c r="P3" s="841" t="str">
        <f>IF(Data!CE42&lt;&gt;"",Data!CE42,"")</f>
        <v>0a</v>
      </c>
      <c r="Q3" s="841" t="str">
        <f>IF(Data!CF42&lt;&gt;"",Data!CF42,"")</f>
        <v>0a</v>
      </c>
      <c r="R3" s="841" t="str">
        <f>IF(Data!CG42&lt;&gt;"",Data!CG42,"")</f>
        <v>0a</v>
      </c>
      <c r="S3" s="841" t="str">
        <f>IF(Data!CH42&lt;&gt;"",Data!CH42,"")</f>
        <v>0a</v>
      </c>
      <c r="T3" s="841" t="str">
        <f>IF(Data!CI42&lt;&gt;"",Data!CI42,"")</f>
        <v>0a</v>
      </c>
      <c r="U3" s="841" t="str">
        <f>IF(Data!CJ42&lt;&gt;"",Data!CJ42,"")</f>
        <v>0a</v>
      </c>
      <c r="V3" s="841" t="str">
        <f>IF(Data!CK42&lt;&gt;"",Data!CK42,"")</f>
        <v>0a</v>
      </c>
      <c r="W3" s="841" t="str">
        <f>IF(Data!CL42&lt;&gt;"",Data!CL42,"")</f>
        <v>0a</v>
      </c>
      <c r="X3" s="841" t="str">
        <f>IF(Data!CM42&lt;&gt;"",Data!CM42,"")</f>
        <v>0a</v>
      </c>
      <c r="Y3" s="841" t="str">
        <f>IF(Data!CN42&lt;&gt;"",Data!CN42,"")</f>
        <v>0a</v>
      </c>
      <c r="Z3" s="841" t="str">
        <f>IF(Data!CO42&lt;&gt;"",Data!CO42,"")</f>
        <v>0a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1a</v>
      </c>
      <c r="BG3" s="742" t="str">
        <f>IF(Data!BS42&lt;&gt;"",Data!BS42,"")</f>
        <v>2a</v>
      </c>
      <c r="BH3" s="742" t="str">
        <f>IF(Data!BT42&lt;&gt;"",Data!BT42,"")</f>
        <v>3a</v>
      </c>
      <c r="BI3" s="742" t="str">
        <f>IF(Data!BU42&lt;&gt;"",Data!BU42,"")</f>
        <v>4a</v>
      </c>
      <c r="BJ3" s="742" t="str">
        <f>IF(Data!BV42&lt;&gt;"",Data!BV42,"")</f>
        <v>5a</v>
      </c>
      <c r="BK3" s="742" t="str">
        <f>IF(Data!BW42&lt;&gt;"",Data!BW42,"")</f>
        <v>6a</v>
      </c>
      <c r="BL3" s="742" t="str">
        <f>IF(Data!BX42&lt;&gt;"",Data!BX42,"")</f>
        <v>7a</v>
      </c>
      <c r="BM3" s="742" t="str">
        <f>IF(Data!BY42&lt;&gt;"",Data!BY42,"")</f>
        <v>8a</v>
      </c>
      <c r="BN3" s="742" t="str">
        <f>IF(Data!BZ42&lt;&gt;"",Data!BZ42,"")</f>
        <v>0a</v>
      </c>
      <c r="BO3" s="742" t="str">
        <f>IF(Data!CA42&lt;&gt;"",Data!CA42,"")</f>
        <v>1b</v>
      </c>
      <c r="BP3" s="742" t="str">
        <f>IF(Data!CB42&lt;&gt;"",Data!CB42,"")</f>
        <v>2b</v>
      </c>
      <c r="BQ3" s="742" t="str">
        <f>IF(Data!CC42&lt;&gt;"",Data!CC42,"")</f>
        <v>3b</v>
      </c>
      <c r="BR3" s="742" t="str">
        <f>IF(Data!CD42&lt;&gt;"",Data!CD42,"")</f>
        <v>4b</v>
      </c>
      <c r="BS3" s="742" t="str">
        <f>IF(Data!CE42&lt;&gt;"",Data!CE42,"")</f>
        <v>0a</v>
      </c>
      <c r="BT3" s="742" t="str">
        <f>IF(Data!CF42&lt;&gt;"",Data!CF42,"")</f>
        <v>0a</v>
      </c>
      <c r="BU3" s="742" t="str">
        <f>IF(Data!CG42&lt;&gt;"",Data!CG42,"")</f>
        <v>0a</v>
      </c>
      <c r="BV3" s="742" t="str">
        <f>IF(Data!CH42&lt;&gt;"",Data!CH42,"")</f>
        <v>0a</v>
      </c>
      <c r="BW3" s="742" t="str">
        <f>IF(Data!CI42&lt;&gt;"",Data!CI42,"")</f>
        <v>0a</v>
      </c>
      <c r="BX3" s="742" t="str">
        <f>IF(Data!CJ42&lt;&gt;"",Data!CJ42,"")</f>
        <v>0a</v>
      </c>
      <c r="BY3" s="742" t="str">
        <f>IF(Data!CK42&lt;&gt;"",Data!CK42,"")</f>
        <v>0a</v>
      </c>
      <c r="BZ3" s="742" t="str">
        <f>IF(Data!CL42&lt;&gt;"",Data!CL42,"")</f>
        <v>0a</v>
      </c>
      <c r="CA3" s="742" t="str">
        <f>IF(Data!CM42&lt;&gt;"",Data!CM42,"")</f>
        <v>0a</v>
      </c>
      <c r="CB3" s="742" t="str">
        <f>IF(Data!CN42&lt;&gt;"",Data!CN42,"")</f>
        <v>0a</v>
      </c>
      <c r="CC3" s="742" t="str">
        <f>IF(Data!CO42&lt;&gt;"",Data!CO42,"")</f>
        <v>0a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5" customHeight="1" x14ac:dyDescent="0.35">
      <c r="A4" s="681"/>
      <c r="B4" s="6">
        <v>1</v>
      </c>
      <c r="C4" s="822" t="str">
        <f>IF('Evaluation (2)'!C11&lt;&gt;"",LEFT('Evaluation (2)'!C11,1),"")</f>
        <v>S</v>
      </c>
      <c r="D4" s="823" t="str">
        <f>IF('Evaluation (2)'!D11&lt;&gt;"",LEFT('Evaluation (2)'!D11,1),"")</f>
        <v>S</v>
      </c>
      <c r="E4" s="823" t="str">
        <f>IF('Evaluation (2)'!E11&lt;&gt;"",LEFT('Evaluation (2)'!E11,1),"")</f>
        <v>S</v>
      </c>
      <c r="F4" s="823" t="str">
        <f>IF('Evaluation (2)'!F11&lt;&gt;"",LEFT('Evaluation (2)'!F11,1),"")</f>
        <v>S</v>
      </c>
      <c r="G4" s="823" t="str">
        <f>IF('Evaluation (2)'!G11&lt;&gt;"",LEFT('Evaluation (2)'!G11,1),"")</f>
        <v>S</v>
      </c>
      <c r="H4" s="823" t="str">
        <f>IF('Evaluation (2)'!H11&lt;&gt;"",LEFT('Evaluation (2)'!H11,1),"")</f>
        <v>X</v>
      </c>
      <c r="I4" s="823" t="str">
        <f>IF('Evaluation (2)'!I11&lt;&gt;"",LEFT('Evaluation (2)'!I11,1),"")</f>
        <v>R</v>
      </c>
      <c r="J4" s="823" t="str">
        <f>IF('Evaluation (2)'!J11&lt;&gt;"",LEFT('Evaluation (2)'!J11,1),"")</f>
        <v>X</v>
      </c>
      <c r="K4" s="823" t="str">
        <f>IF('Evaluation (2)'!K11&lt;&gt;"",LEFT('Evaluation (2)'!K11,1),"")</f>
        <v/>
      </c>
      <c r="L4" s="823" t="str">
        <f>IF('Evaluation (2)'!L11&lt;&gt;"",LEFT('Evaluation (2)'!L11,1),"")</f>
        <v>S</v>
      </c>
      <c r="M4" s="823" t="str">
        <f>IF('Evaluation (2)'!M11&lt;&gt;"",LEFT('Evaluation (2)'!M11,1),"")</f>
        <v>S</v>
      </c>
      <c r="N4" s="823" t="str">
        <f>IF('Evaluation (2)'!N11&lt;&gt;"",LEFT('Evaluation (2)'!N11,1),"")</f>
        <v>X</v>
      </c>
      <c r="O4" s="823" t="str">
        <f>IF('Evaluation (2)'!O11&lt;&gt;"",LEFT('Evaluation (2)'!O11,1),"")</f>
        <v>X</v>
      </c>
      <c r="P4" s="823" t="str">
        <f>IF('Evaluation (2)'!P11&lt;&gt;"",LEFT('Evaluation (2)'!P11,1),"")</f>
        <v/>
      </c>
      <c r="Q4" s="823" t="str">
        <f>IF('Evaluation (2)'!Q11&lt;&gt;"",LEFT('Evaluation (2)'!Q11,1),"")</f>
        <v/>
      </c>
      <c r="R4" s="823" t="str">
        <f>IF('Evaluation (2)'!R11&lt;&gt;"",LEFT('Evaluation (2)'!R11,1),"")</f>
        <v/>
      </c>
      <c r="S4" s="823" t="str">
        <f>IF('Evaluation (2)'!S11&lt;&gt;"",LEFT('Evaluation (2)'!S11,1),"")</f>
        <v/>
      </c>
      <c r="T4" s="823" t="str">
        <f>IF('Evaluation (2)'!T11&lt;&gt;"",LEFT('Evaluation (2)'!T11,1),"")</f>
        <v/>
      </c>
      <c r="U4" s="823" t="str">
        <f>IF('Evaluation (2)'!U11&lt;&gt;"",LEFT('Evaluation (2)'!U11,1),"")</f>
        <v/>
      </c>
      <c r="V4" s="823" t="str">
        <f>IF('Evaluation (2)'!V11&lt;&gt;"",LEFT('Evaluation (2)'!V11,1),"")</f>
        <v/>
      </c>
      <c r="W4" s="823" t="str">
        <f>IF('Evaluation (2)'!W11&lt;&gt;"",LEFT('Evaluation (2)'!W11,1),"")</f>
        <v/>
      </c>
      <c r="X4" s="823" t="str">
        <f>IF('Evaluation (2)'!X11&lt;&gt;"",LEFT('Evaluation (2)'!X11,1),"")</f>
        <v/>
      </c>
      <c r="Y4" s="823" t="str">
        <f>IF('Evaluation (2)'!Y11&lt;&gt;"",LEFT('Evaluation (2)'!Y11,1),"")</f>
        <v/>
      </c>
      <c r="Z4" s="823" t="str">
        <f>IF('Evaluation (2)'!Z11&lt;&gt;"",LEFT('Evaluation (2)'!Z11,1),"")</f>
        <v/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>S</v>
      </c>
      <c r="BG4" s="739" t="str">
        <f>IF('ARDT Cutter Entry'!D4&lt;&gt;"",'ARDT Cutter Entry'!D4,"")</f>
        <v>S</v>
      </c>
      <c r="BH4" s="739" t="str">
        <f>IF('ARDT Cutter Entry'!E4&lt;&gt;"",'ARDT Cutter Entry'!E4,"")</f>
        <v>S</v>
      </c>
      <c r="BI4" s="739" t="str">
        <f>IF('ARDT Cutter Entry'!F4&lt;&gt;"",'ARDT Cutter Entry'!F4,"")</f>
        <v>S</v>
      </c>
      <c r="BJ4" s="739" t="str">
        <f>IF('ARDT Cutter Entry'!G4&lt;&gt;"",'ARDT Cutter Entry'!G4,"")</f>
        <v>S</v>
      </c>
      <c r="BK4" s="739" t="str">
        <f>IF('ARDT Cutter Entry'!H4&lt;&gt;"",'ARDT Cutter Entry'!H4,"")</f>
        <v>XP</v>
      </c>
      <c r="BL4" s="739" t="str">
        <f>IF('ARDT Cutter Entry'!I4&lt;&gt;"",'ARDT Cutter Entry'!I4,"")</f>
        <v>R</v>
      </c>
      <c r="BM4" s="739" t="str">
        <f>IF('ARDT Cutter Entry'!J4&lt;&gt;"",'ARDT Cutter Entry'!J4,"")</f>
        <v>X</v>
      </c>
      <c r="BN4" s="739" t="str">
        <f>IF('ARDT Cutter Entry'!K4&lt;&gt;"",'ARDT Cutter Entry'!K4,"")</f>
        <v/>
      </c>
      <c r="BO4" s="739" t="str">
        <f>IF('ARDT Cutter Entry'!L4&lt;&gt;"",'ARDT Cutter Entry'!L4,"")</f>
        <v>S</v>
      </c>
      <c r="BP4" s="739" t="str">
        <f>IF('ARDT Cutter Entry'!M4&lt;&gt;"",'ARDT Cutter Entry'!M4,"")</f>
        <v>S</v>
      </c>
      <c r="BQ4" s="739" t="str">
        <f>IF('ARDT Cutter Entry'!N4&lt;&gt;"",'ARDT Cutter Entry'!N4,"")</f>
        <v>XP</v>
      </c>
      <c r="BR4" s="739" t="str">
        <f>IF('ARDT Cutter Entry'!O4&lt;&gt;"",'ARDT Cutter Entry'!O4,"")</f>
        <v>X</v>
      </c>
      <c r="BS4" s="739" t="str">
        <f>IF('ARDT Cutter Entry'!P4&lt;&gt;"",'ARDT Cutter Entry'!P4,"")</f>
        <v/>
      </c>
      <c r="BT4" s="739" t="str">
        <f>IF('ARDT Cutter Entry'!Q4&lt;&gt;"",'ARDT Cutter Entry'!Q4,"")</f>
        <v/>
      </c>
      <c r="BU4" s="739" t="str">
        <f>IF('ARDT Cutter Entry'!R4&lt;&gt;"",'ARDT Cutter Entry'!R4,"")</f>
        <v/>
      </c>
      <c r="BV4" s="739" t="str">
        <f>IF('ARDT Cutter Entry'!S4&lt;&gt;"",'ARDT Cutter Entry'!S4,"")</f>
        <v/>
      </c>
      <c r="BW4" s="739" t="str">
        <f>IF('ARDT Cutter Entry'!T4&lt;&gt;"",'ARDT Cutter Entry'!T4,"")</f>
        <v/>
      </c>
      <c r="BX4" s="739" t="str">
        <f>IF('ARDT Cutter Entry'!U4&lt;&gt;"",'ARDT Cutter Entry'!U4,"")</f>
        <v/>
      </c>
      <c r="BY4" s="739" t="str">
        <f>IF('ARDT Cutter Entry'!V4&lt;&gt;"",'ARDT Cutter Entry'!V4,"")</f>
        <v/>
      </c>
      <c r="BZ4" s="739" t="str">
        <f>IF('ARDT Cutter Entry'!W4&lt;&gt;"",'ARDT Cutter Entry'!W4,"")</f>
        <v/>
      </c>
      <c r="CA4" s="739" t="str">
        <f>IF('ARDT Cutter Entry'!X4&lt;&gt;"",'ARDT Cutter Entry'!X4,"")</f>
        <v/>
      </c>
      <c r="CB4" s="739" t="str">
        <f>IF('ARDT Cutter Entry'!Y4&lt;&gt;"",'ARDT Cutter Entry'!Y4,"")</f>
        <v/>
      </c>
      <c r="CC4" s="739" t="str">
        <f>IF('ARDT Cutter Entry'!Z4&lt;&gt;"",'ARDT Cutter Entry'!Z4,"")</f>
        <v/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5" customHeight="1" x14ac:dyDescent="0.35">
      <c r="A5" s="682"/>
      <c r="B5" s="35">
        <v>2</v>
      </c>
      <c r="C5" s="683" t="str">
        <f>IF('Evaluation (2)'!C12&lt;&gt;"",LEFT('Evaluation (2)'!C12,1),"")</f>
        <v>S</v>
      </c>
      <c r="D5" s="684" t="str">
        <f>IF('Evaluation (2)'!D12&lt;&gt;"",LEFT('Evaluation (2)'!D12,1),"")</f>
        <v>S</v>
      </c>
      <c r="E5" s="684" t="str">
        <f>IF('Evaluation (2)'!E12&lt;&gt;"",LEFT('Evaluation (2)'!E12,1),"")</f>
        <v>X</v>
      </c>
      <c r="F5" s="684" t="str">
        <f>IF('Evaluation (2)'!F12&lt;&gt;"",LEFT('Evaluation (2)'!F12,1),"")</f>
        <v>R</v>
      </c>
      <c r="G5" s="684" t="str">
        <f>IF('Evaluation (2)'!G12&lt;&gt;"",LEFT('Evaluation (2)'!G12,1),"")</f>
        <v>X</v>
      </c>
      <c r="H5" s="684" t="str">
        <f>IF('Evaluation (2)'!H12&lt;&gt;"",LEFT('Evaluation (2)'!H12,1),"")</f>
        <v/>
      </c>
      <c r="I5" s="684" t="str">
        <f>IF('Evaluation (2)'!I12&lt;&gt;"",LEFT('Evaluation (2)'!I12,1),"")</f>
        <v/>
      </c>
      <c r="J5" s="684" t="str">
        <f>IF('Evaluation (2)'!J12&lt;&gt;"",LEFT('Evaluation (2)'!J12,1),"")</f>
        <v/>
      </c>
      <c r="K5" s="684" t="str">
        <f>IF('Evaluation (2)'!K12&lt;&gt;"",LEFT('Evaluation (2)'!K12,1),"")</f>
        <v/>
      </c>
      <c r="L5" s="684" t="str">
        <f>IF('Evaluation (2)'!L12&lt;&gt;"",LEFT('Evaluation (2)'!L12,1),"")</f>
        <v>S</v>
      </c>
      <c r="M5" s="684" t="str">
        <f>IF('Evaluation (2)'!M12&lt;&gt;"",LEFT('Evaluation (2)'!M12,1),"")</f>
        <v>S</v>
      </c>
      <c r="N5" s="684" t="str">
        <f>IF('Evaluation (2)'!N12&lt;&gt;"",LEFT('Evaluation (2)'!N12,1),"")</f>
        <v>S</v>
      </c>
      <c r="O5" s="684" t="str">
        <f>IF('Evaluation (2)'!O12&lt;&gt;"",LEFT('Evaluation (2)'!O12,1),"")</f>
        <v>R</v>
      </c>
      <c r="P5" s="684" t="str">
        <f>IF('Evaluation (2)'!P12&lt;&gt;"",LEFT('Evaluation (2)'!P12,1),"")</f>
        <v/>
      </c>
      <c r="Q5" s="684" t="str">
        <f>IF('Evaluation (2)'!Q12&lt;&gt;"",LEFT('Evaluation (2)'!Q12,1),"")</f>
        <v/>
      </c>
      <c r="R5" s="684" t="str">
        <f>IF('Evaluation (2)'!R12&lt;&gt;"",LEFT('Evaluation (2)'!R12,1),"")</f>
        <v/>
      </c>
      <c r="S5" s="684" t="str">
        <f>IF('Evaluation (2)'!S12&lt;&gt;"",LEFT('Evaluation (2)'!S12,1),"")</f>
        <v/>
      </c>
      <c r="T5" s="684" t="str">
        <f>IF('Evaluation (2)'!T12&lt;&gt;"",LEFT('Evaluation (2)'!T12,1),"")</f>
        <v/>
      </c>
      <c r="U5" s="684" t="str">
        <f>IF('Evaluation (2)'!U12&lt;&gt;"",LEFT('Evaluation (2)'!U12,1),"")</f>
        <v/>
      </c>
      <c r="V5" s="684" t="str">
        <f>IF('Evaluation (2)'!V12&lt;&gt;"",LEFT('Evaluation (2)'!V12,1),"")</f>
        <v/>
      </c>
      <c r="W5" s="684" t="str">
        <f>IF('Evaluation (2)'!W12&lt;&gt;"",LEFT('Evaluation (2)'!W12,1),"")</f>
        <v/>
      </c>
      <c r="X5" s="684" t="str">
        <f>IF('Evaluation (2)'!X12&lt;&gt;"",LEFT('Evaluation (2)'!X12,1),"")</f>
        <v/>
      </c>
      <c r="Y5" s="684" t="str">
        <f>IF('Evaluation (2)'!Y12&lt;&gt;"",LEFT('Evaluation (2)'!Y12,1),"")</f>
        <v/>
      </c>
      <c r="Z5" s="684" t="str">
        <f>IF('Evaluation (2)'!Z12&lt;&gt;"",LEFT('Evaluation (2)'!Z12,1),"")</f>
        <v/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>S</v>
      </c>
      <c r="BG5" s="684" t="str">
        <f>IF('ARDT Cutter Entry'!D5&lt;&gt;"",'ARDT Cutter Entry'!D5,"")</f>
        <v>S</v>
      </c>
      <c r="BH5" s="684" t="str">
        <f>IF('ARDT Cutter Entry'!E5&lt;&gt;"",'ARDT Cutter Entry'!E5,"")</f>
        <v>X</v>
      </c>
      <c r="BI5" s="684" t="str">
        <f>IF('ARDT Cutter Entry'!F5&lt;&gt;"",'ARDT Cutter Entry'!F5,"")</f>
        <v>R</v>
      </c>
      <c r="BJ5" s="684" t="str">
        <f>IF('ARDT Cutter Entry'!G5&lt;&gt;"",'ARDT Cutter Entry'!G5,"")</f>
        <v>X</v>
      </c>
      <c r="BK5" s="684" t="str">
        <f>IF('ARDT Cutter Entry'!H5&lt;&gt;"",'ARDT Cutter Entry'!H5,"")</f>
        <v/>
      </c>
      <c r="BL5" s="684" t="str">
        <f>IF('ARDT Cutter Entry'!I5&lt;&gt;"",'ARDT Cutter Entry'!I5,"")</f>
        <v/>
      </c>
      <c r="BM5" s="684" t="str">
        <f>IF('ARDT Cutter Entry'!J5&lt;&gt;"",'ARDT Cutter Entry'!J5,"")</f>
        <v/>
      </c>
      <c r="BN5" s="684" t="str">
        <f>IF('ARDT Cutter Entry'!K5&lt;&gt;"",'ARDT Cutter Entry'!K5,"")</f>
        <v/>
      </c>
      <c r="BO5" s="684" t="str">
        <f>IF('ARDT Cutter Entry'!L5&lt;&gt;"",'ARDT Cutter Entry'!L5,"")</f>
        <v>S</v>
      </c>
      <c r="BP5" s="684" t="str">
        <f>IF('ARDT Cutter Entry'!M5&lt;&gt;"",'ARDT Cutter Entry'!M5,"")</f>
        <v>S</v>
      </c>
      <c r="BQ5" s="684" t="str">
        <f>IF('ARDT Cutter Entry'!N5&lt;&gt;"",'ARDT Cutter Entry'!N5,"")</f>
        <v>S</v>
      </c>
      <c r="BR5" s="684" t="str">
        <f>IF('ARDT Cutter Entry'!O5&lt;&gt;"",'ARDT Cutter Entry'!O5,"")</f>
        <v>R</v>
      </c>
      <c r="BS5" s="684" t="str">
        <f>IF('ARDT Cutter Entry'!P5&lt;&gt;"",'ARDT Cutter Entry'!P5,"")</f>
        <v/>
      </c>
      <c r="BT5" s="684" t="str">
        <f>IF('ARDT Cutter Entry'!Q5&lt;&gt;"",'ARDT Cutter Entry'!Q5,"")</f>
        <v/>
      </c>
      <c r="BU5" s="684" t="str">
        <f>IF('ARDT Cutter Entry'!R5&lt;&gt;"",'ARDT Cutter Entry'!R5,"")</f>
        <v/>
      </c>
      <c r="BV5" s="684" t="str">
        <f>IF('ARDT Cutter Entry'!S5&lt;&gt;"",'ARDT Cutter Entry'!S5,"")</f>
        <v/>
      </c>
      <c r="BW5" s="684" t="str">
        <f>IF('ARDT Cutter Entry'!T5&lt;&gt;"",'ARDT Cutter Entry'!T5,"")</f>
        <v/>
      </c>
      <c r="BX5" s="684" t="str">
        <f>IF('ARDT Cutter Entry'!U5&lt;&gt;"",'ARDT Cutter Entry'!U5,"")</f>
        <v/>
      </c>
      <c r="BY5" s="684" t="str">
        <f>IF('ARDT Cutter Entry'!V5&lt;&gt;"",'ARDT Cutter Entry'!V5,"")</f>
        <v/>
      </c>
      <c r="BZ5" s="684" t="str">
        <f>IF('ARDT Cutter Entry'!W5&lt;&gt;"",'ARDT Cutter Entry'!W5,"")</f>
        <v/>
      </c>
      <c r="CA5" s="684" t="str">
        <f>IF('ARDT Cutter Entry'!X5&lt;&gt;"",'ARDT Cutter Entry'!X5,"")</f>
        <v/>
      </c>
      <c r="CB5" s="684" t="str">
        <f>IF('ARDT Cutter Entry'!Y5&lt;&gt;"",'ARDT Cutter Entry'!Y5,"")</f>
        <v/>
      </c>
      <c r="CC5" s="684" t="str">
        <f>IF('ARDT Cutter Entry'!Z5&lt;&gt;"",'ARDT Cutter Entry'!Z5,"")</f>
        <v/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5" customHeight="1" x14ac:dyDescent="0.35">
      <c r="A6" s="682"/>
      <c r="B6" s="35">
        <v>3</v>
      </c>
      <c r="C6" s="683" t="str">
        <f>IF('Evaluation (2)'!C13&lt;&gt;"",LEFT('Evaluation (2)'!C13,1),"")</f>
        <v>S</v>
      </c>
      <c r="D6" s="684" t="str">
        <f>IF('Evaluation (2)'!D13&lt;&gt;"",LEFT('Evaluation (2)'!D13,1),"")</f>
        <v>S</v>
      </c>
      <c r="E6" s="684" t="str">
        <f>IF('Evaluation (2)'!E13&lt;&gt;"",LEFT('Evaluation (2)'!E13,1),"")</f>
        <v>S</v>
      </c>
      <c r="F6" s="684" t="str">
        <f>IF('Evaluation (2)'!F13&lt;&gt;"",LEFT('Evaluation (2)'!F13,1),"")</f>
        <v>S</v>
      </c>
      <c r="G6" s="684" t="str">
        <f>IF('Evaluation (2)'!G13&lt;&gt;"",LEFT('Evaluation (2)'!G13,1),"")</f>
        <v>X</v>
      </c>
      <c r="H6" s="684" t="str">
        <f>IF('Evaluation (2)'!H13&lt;&gt;"",LEFT('Evaluation (2)'!H13,1),"")</f>
        <v>R</v>
      </c>
      <c r="I6" s="684" t="str">
        <f>IF('Evaluation (2)'!I13&lt;&gt;"",LEFT('Evaluation (2)'!I13,1),"")</f>
        <v>X</v>
      </c>
      <c r="J6" s="684" t="str">
        <f>IF('Evaluation (2)'!J13&lt;&gt;"",LEFT('Evaluation (2)'!J13,1),"")</f>
        <v/>
      </c>
      <c r="K6" s="684" t="str">
        <f>IF('Evaluation (2)'!K13&lt;&gt;"",LEFT('Evaluation (2)'!K13,1),"")</f>
        <v/>
      </c>
      <c r="L6" s="684" t="str">
        <f>IF('Evaluation (2)'!L13&lt;&gt;"",LEFT('Evaluation (2)'!L13,1),"")</f>
        <v>S</v>
      </c>
      <c r="M6" s="684" t="str">
        <f>IF('Evaluation (2)'!M13&lt;&gt;"",LEFT('Evaluation (2)'!M13,1),"")</f>
        <v>S</v>
      </c>
      <c r="N6" s="684" t="str">
        <f>IF('Evaluation (2)'!N13&lt;&gt;"",LEFT('Evaluation (2)'!N13,1),"")</f>
        <v>R</v>
      </c>
      <c r="O6" s="684" t="str">
        <f>IF('Evaluation (2)'!O13&lt;&gt;"",LEFT('Evaluation (2)'!O13,1),"")</f>
        <v/>
      </c>
      <c r="P6" s="684" t="str">
        <f>IF('Evaluation (2)'!P13&lt;&gt;"",LEFT('Evaluation (2)'!P13,1),"")</f>
        <v/>
      </c>
      <c r="Q6" s="684" t="str">
        <f>IF('Evaluation (2)'!Q13&lt;&gt;"",LEFT('Evaluation (2)'!Q13,1),"")</f>
        <v/>
      </c>
      <c r="R6" s="684" t="str">
        <f>IF('Evaluation (2)'!R13&lt;&gt;"",LEFT('Evaluation (2)'!R13,1),"")</f>
        <v/>
      </c>
      <c r="S6" s="684" t="str">
        <f>IF('Evaluation (2)'!S13&lt;&gt;"",LEFT('Evaluation (2)'!S13,1),"")</f>
        <v/>
      </c>
      <c r="T6" s="684" t="str">
        <f>IF('Evaluation (2)'!T13&lt;&gt;"",LEFT('Evaluation (2)'!T13,1),"")</f>
        <v/>
      </c>
      <c r="U6" s="684" t="str">
        <f>IF('Evaluation (2)'!U13&lt;&gt;"",LEFT('Evaluation (2)'!U13,1),"")</f>
        <v/>
      </c>
      <c r="V6" s="684" t="str">
        <f>IF('Evaluation (2)'!V13&lt;&gt;"",LEFT('Evaluation (2)'!V13,1),"")</f>
        <v/>
      </c>
      <c r="W6" s="684" t="str">
        <f>IF('Evaluation (2)'!W13&lt;&gt;"",LEFT('Evaluation (2)'!W13,1),"")</f>
        <v/>
      </c>
      <c r="X6" s="684" t="str">
        <f>IF('Evaluation (2)'!X13&lt;&gt;"",LEFT('Evaluation (2)'!X13,1),"")</f>
        <v/>
      </c>
      <c r="Y6" s="684" t="str">
        <f>IF('Evaluation (2)'!Y13&lt;&gt;"",LEFT('Evaluation (2)'!Y13,1),"")</f>
        <v/>
      </c>
      <c r="Z6" s="684" t="str">
        <f>IF('Evaluation (2)'!Z13&lt;&gt;"",LEFT('Evaluation (2)'!Z13,1),"")</f>
        <v/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>S</v>
      </c>
      <c r="BG6" s="684" t="str">
        <f>IF('ARDT Cutter Entry'!D6&lt;&gt;"",'ARDT Cutter Entry'!D6,"")</f>
        <v>S</v>
      </c>
      <c r="BH6" s="684" t="str">
        <f>IF('ARDT Cutter Entry'!E6&lt;&gt;"",'ARDT Cutter Entry'!E6,"")</f>
        <v>S</v>
      </c>
      <c r="BI6" s="684" t="str">
        <f>IF('ARDT Cutter Entry'!F6&lt;&gt;"",'ARDT Cutter Entry'!F6,"")</f>
        <v>S</v>
      </c>
      <c r="BJ6" s="684" t="str">
        <f>IF('ARDT Cutter Entry'!G6&lt;&gt;"",'ARDT Cutter Entry'!G6,"")</f>
        <v>X</v>
      </c>
      <c r="BK6" s="684" t="str">
        <f>IF('ARDT Cutter Entry'!H6&lt;&gt;"",'ARDT Cutter Entry'!H6,"")</f>
        <v>R</v>
      </c>
      <c r="BL6" s="684" t="str">
        <f>IF('ARDT Cutter Entry'!I6&lt;&gt;"",'ARDT Cutter Entry'!I6,"")</f>
        <v>XP</v>
      </c>
      <c r="BM6" s="684" t="str">
        <f>IF('ARDT Cutter Entry'!J6&lt;&gt;"",'ARDT Cutter Entry'!J6,"")</f>
        <v/>
      </c>
      <c r="BN6" s="684" t="str">
        <f>IF('ARDT Cutter Entry'!K6&lt;&gt;"",'ARDT Cutter Entry'!K6,"")</f>
        <v/>
      </c>
      <c r="BO6" s="684" t="str">
        <f>IF('ARDT Cutter Entry'!L6&lt;&gt;"",'ARDT Cutter Entry'!L6,"")</f>
        <v>S</v>
      </c>
      <c r="BP6" s="684" t="str">
        <f>IF('ARDT Cutter Entry'!M6&lt;&gt;"",'ARDT Cutter Entry'!M6,"")</f>
        <v>S</v>
      </c>
      <c r="BQ6" s="684" t="str">
        <f>IF('ARDT Cutter Entry'!N6&lt;&gt;"",'ARDT Cutter Entry'!N6,"")</f>
        <v>R</v>
      </c>
      <c r="BR6" s="684" t="str">
        <f>IF('ARDT Cutter Entry'!O6&lt;&gt;"",'ARDT Cutter Entry'!O6,"")</f>
        <v/>
      </c>
      <c r="BS6" s="684" t="str">
        <f>IF('ARDT Cutter Entry'!P6&lt;&gt;"",'ARDT Cutter Entry'!P6,"")</f>
        <v/>
      </c>
      <c r="BT6" s="684" t="str">
        <f>IF('ARDT Cutter Entry'!Q6&lt;&gt;"",'ARDT Cutter Entry'!Q6,"")</f>
        <v/>
      </c>
      <c r="BU6" s="684" t="str">
        <f>IF('ARDT Cutter Entry'!R6&lt;&gt;"",'ARDT Cutter Entry'!R6,"")</f>
        <v/>
      </c>
      <c r="BV6" s="684" t="str">
        <f>IF('ARDT Cutter Entry'!S6&lt;&gt;"",'ARDT Cutter Entry'!S6,"")</f>
        <v/>
      </c>
      <c r="BW6" s="684" t="str">
        <f>IF('ARDT Cutter Entry'!T6&lt;&gt;"",'ARDT Cutter Entry'!T6,"")</f>
        <v/>
      </c>
      <c r="BX6" s="684" t="str">
        <f>IF('ARDT Cutter Entry'!U6&lt;&gt;"",'ARDT Cutter Entry'!U6,"")</f>
        <v/>
      </c>
      <c r="BY6" s="684" t="str">
        <f>IF('ARDT Cutter Entry'!V6&lt;&gt;"",'ARDT Cutter Entry'!V6,"")</f>
        <v/>
      </c>
      <c r="BZ6" s="684" t="str">
        <f>IF('ARDT Cutter Entry'!W6&lt;&gt;"",'ARDT Cutter Entry'!W6,"")</f>
        <v/>
      </c>
      <c r="CA6" s="684" t="str">
        <f>IF('ARDT Cutter Entry'!X6&lt;&gt;"",'ARDT Cutter Entry'!X6,"")</f>
        <v/>
      </c>
      <c r="CB6" s="684" t="str">
        <f>IF('ARDT Cutter Entry'!Y6&lt;&gt;"",'ARDT Cutter Entry'!Y6,"")</f>
        <v/>
      </c>
      <c r="CC6" s="684" t="str">
        <f>IF('ARDT Cutter Entry'!Z6&lt;&gt;"",'ARDT Cutter Entry'!Z6,"")</f>
        <v/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5" customHeight="1" x14ac:dyDescent="0.35">
      <c r="A7" s="682"/>
      <c r="B7" s="35">
        <v>4</v>
      </c>
      <c r="C7" s="683" t="str">
        <f>IF('Evaluation (2)'!C14&lt;&gt;"",LEFT('Evaluation (2)'!C14,1),"")</f>
        <v>S</v>
      </c>
      <c r="D7" s="684" t="str">
        <f>IF('Evaluation (2)'!D14&lt;&gt;"",LEFT('Evaluation (2)'!D14,1),"")</f>
        <v>S</v>
      </c>
      <c r="E7" s="684" t="str">
        <f>IF('Evaluation (2)'!E14&lt;&gt;"",LEFT('Evaluation (2)'!E14,1),"")</f>
        <v>X</v>
      </c>
      <c r="F7" s="684" t="str">
        <f>IF('Evaluation (2)'!F14&lt;&gt;"",LEFT('Evaluation (2)'!F14,1),"")</f>
        <v>R</v>
      </c>
      <c r="G7" s="684" t="str">
        <f>IF('Evaluation (2)'!G14&lt;&gt;"",LEFT('Evaluation (2)'!G14,1),"")</f>
        <v>X</v>
      </c>
      <c r="H7" s="684" t="str">
        <f>IF('Evaluation (2)'!H14&lt;&gt;"",LEFT('Evaluation (2)'!H14,1),"")</f>
        <v>X</v>
      </c>
      <c r="I7" s="684" t="str">
        <f>IF('Evaluation (2)'!I14&lt;&gt;"",LEFT('Evaluation (2)'!I14,1),"")</f>
        <v/>
      </c>
      <c r="J7" s="684" t="str">
        <f>IF('Evaluation (2)'!J14&lt;&gt;"",LEFT('Evaluation (2)'!J14,1),"")</f>
        <v/>
      </c>
      <c r="K7" s="684" t="str">
        <f>IF('Evaluation (2)'!K14&lt;&gt;"",LEFT('Evaluation (2)'!K14,1),"")</f>
        <v/>
      </c>
      <c r="L7" s="684" t="str">
        <f>IF('Evaluation (2)'!L14&lt;&gt;"",LEFT('Evaluation (2)'!L14,1),"")</f>
        <v>S</v>
      </c>
      <c r="M7" s="684" t="str">
        <f>IF('Evaluation (2)'!M14&lt;&gt;"",LEFT('Evaluation (2)'!M14,1),"")</f>
        <v>S</v>
      </c>
      <c r="N7" s="684" t="str">
        <f>IF('Evaluation (2)'!N14&lt;&gt;"",LEFT('Evaluation (2)'!N14,1),"")</f>
        <v>S</v>
      </c>
      <c r="O7" s="684" t="str">
        <f>IF('Evaluation (2)'!O14&lt;&gt;"",LEFT('Evaluation (2)'!O14,1),"")</f>
        <v>R</v>
      </c>
      <c r="P7" s="684" t="str">
        <f>IF('Evaluation (2)'!P14&lt;&gt;"",LEFT('Evaluation (2)'!P14,1),"")</f>
        <v/>
      </c>
      <c r="Q7" s="684" t="str">
        <f>IF('Evaluation (2)'!Q14&lt;&gt;"",LEFT('Evaluation (2)'!Q14,1),"")</f>
        <v/>
      </c>
      <c r="R7" s="684" t="str">
        <f>IF('Evaluation (2)'!R14&lt;&gt;"",LEFT('Evaluation (2)'!R14,1),"")</f>
        <v/>
      </c>
      <c r="S7" s="684" t="str">
        <f>IF('Evaluation (2)'!S14&lt;&gt;"",LEFT('Evaluation (2)'!S14,1),"")</f>
        <v/>
      </c>
      <c r="T7" s="684" t="str">
        <f>IF('Evaluation (2)'!T14&lt;&gt;"",LEFT('Evaluation (2)'!T14,1),"")</f>
        <v/>
      </c>
      <c r="U7" s="684" t="str">
        <f>IF('Evaluation (2)'!U14&lt;&gt;"",LEFT('Evaluation (2)'!U14,1),"")</f>
        <v/>
      </c>
      <c r="V7" s="684" t="str">
        <f>IF('Evaluation (2)'!V14&lt;&gt;"",LEFT('Evaluation (2)'!V14,1),"")</f>
        <v/>
      </c>
      <c r="W7" s="684" t="str">
        <f>IF('Evaluation (2)'!W14&lt;&gt;"",LEFT('Evaluation (2)'!W14,1),"")</f>
        <v/>
      </c>
      <c r="X7" s="684" t="str">
        <f>IF('Evaluation (2)'!X14&lt;&gt;"",LEFT('Evaluation (2)'!X14,1),"")</f>
        <v/>
      </c>
      <c r="Y7" s="684" t="str">
        <f>IF('Evaluation (2)'!Y14&lt;&gt;"",LEFT('Evaluation (2)'!Y14,1),"")</f>
        <v/>
      </c>
      <c r="Z7" s="684" t="str">
        <f>IF('Evaluation (2)'!Z14&lt;&gt;"",LEFT('Evaluation (2)'!Z14,1),"")</f>
        <v/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>S</v>
      </c>
      <c r="BG7" s="684" t="str">
        <f>IF('ARDT Cutter Entry'!D7&lt;&gt;"",'ARDT Cutter Entry'!D7,"")</f>
        <v>S</v>
      </c>
      <c r="BH7" s="684" t="str">
        <f>IF('ARDT Cutter Entry'!E7&lt;&gt;"",'ARDT Cutter Entry'!E7,"")</f>
        <v>X</v>
      </c>
      <c r="BI7" s="684" t="str">
        <f>IF('ARDT Cutter Entry'!F7&lt;&gt;"",'ARDT Cutter Entry'!F7,"")</f>
        <v>R</v>
      </c>
      <c r="BJ7" s="684" t="str">
        <f>IF('ARDT Cutter Entry'!G7&lt;&gt;"",'ARDT Cutter Entry'!G7,"")</f>
        <v>X</v>
      </c>
      <c r="BK7" s="684" t="str">
        <f>IF('ARDT Cutter Entry'!H7&lt;&gt;"",'ARDT Cutter Entry'!H7,"")</f>
        <v>XP</v>
      </c>
      <c r="BL7" s="684" t="str">
        <f>IF('ARDT Cutter Entry'!I7&lt;&gt;"",'ARDT Cutter Entry'!I7,"")</f>
        <v/>
      </c>
      <c r="BM7" s="684" t="str">
        <f>IF('ARDT Cutter Entry'!J7&lt;&gt;"",'ARDT Cutter Entry'!J7,"")</f>
        <v/>
      </c>
      <c r="BN7" s="684" t="str">
        <f>IF('ARDT Cutter Entry'!K7&lt;&gt;"",'ARDT Cutter Entry'!K7,"")</f>
        <v/>
      </c>
      <c r="BO7" s="684" t="str">
        <f>IF('ARDT Cutter Entry'!L7&lt;&gt;"",'ARDT Cutter Entry'!L7,"")</f>
        <v>S</v>
      </c>
      <c r="BP7" s="684" t="str">
        <f>IF('ARDT Cutter Entry'!M7&lt;&gt;"",'ARDT Cutter Entry'!M7,"")</f>
        <v>S</v>
      </c>
      <c r="BQ7" s="684" t="str">
        <f>IF('ARDT Cutter Entry'!N7&lt;&gt;"",'ARDT Cutter Entry'!N7,"")</f>
        <v>S</v>
      </c>
      <c r="BR7" s="684" t="str">
        <f>IF('ARDT Cutter Entry'!O7&lt;&gt;"",'ARDT Cutter Entry'!O7,"")</f>
        <v>R</v>
      </c>
      <c r="BS7" s="684" t="str">
        <f>IF('ARDT Cutter Entry'!P7&lt;&gt;"",'ARDT Cutter Entry'!P7,"")</f>
        <v/>
      </c>
      <c r="BT7" s="684" t="str">
        <f>IF('ARDT Cutter Entry'!Q7&lt;&gt;"",'ARDT Cutter Entry'!Q7,"")</f>
        <v/>
      </c>
      <c r="BU7" s="684" t="str">
        <f>IF('ARDT Cutter Entry'!R7&lt;&gt;"",'ARDT Cutter Entry'!R7,"")</f>
        <v/>
      </c>
      <c r="BV7" s="684" t="str">
        <f>IF('ARDT Cutter Entry'!S7&lt;&gt;"",'ARDT Cutter Entry'!S7,"")</f>
        <v/>
      </c>
      <c r="BW7" s="684" t="str">
        <f>IF('ARDT Cutter Entry'!T7&lt;&gt;"",'ARDT Cutter Entry'!T7,"")</f>
        <v/>
      </c>
      <c r="BX7" s="684" t="str">
        <f>IF('ARDT Cutter Entry'!U7&lt;&gt;"",'ARDT Cutter Entry'!U7,"")</f>
        <v/>
      </c>
      <c r="BY7" s="684" t="str">
        <f>IF('ARDT Cutter Entry'!V7&lt;&gt;"",'ARDT Cutter Entry'!V7,"")</f>
        <v/>
      </c>
      <c r="BZ7" s="684" t="str">
        <f>IF('ARDT Cutter Entry'!W7&lt;&gt;"",'ARDT Cutter Entry'!W7,"")</f>
        <v/>
      </c>
      <c r="CA7" s="684" t="str">
        <f>IF('ARDT Cutter Entry'!X7&lt;&gt;"",'ARDT Cutter Entry'!X7,"")</f>
        <v/>
      </c>
      <c r="CB7" s="684" t="str">
        <f>IF('ARDT Cutter Entry'!Y7&lt;&gt;"",'ARDT Cutter Entry'!Y7,"")</f>
        <v/>
      </c>
      <c r="CC7" s="684" t="str">
        <f>IF('ARDT Cutter Entry'!Z7&lt;&gt;"",'ARDT Cutter Entry'!Z7,"")</f>
        <v/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5" customHeight="1" x14ac:dyDescent="0.35">
      <c r="A8" s="682"/>
      <c r="B8" s="35">
        <v>5</v>
      </c>
      <c r="C8" s="683" t="str">
        <f>IF('Evaluation (2)'!C15&lt;&gt;"",LEFT('Evaluation (2)'!C15,1),"")</f>
        <v>S</v>
      </c>
      <c r="D8" s="684" t="str">
        <f>IF('Evaluation (2)'!D15&lt;&gt;"",LEFT('Evaluation (2)'!D15,1),"")</f>
        <v>S</v>
      </c>
      <c r="E8" s="684" t="str">
        <f>IF('Evaluation (2)'!E15&lt;&gt;"",LEFT('Evaluation (2)'!E15,1),"")</f>
        <v>S</v>
      </c>
      <c r="F8" s="684" t="str">
        <f>IF('Evaluation (2)'!F15&lt;&gt;"",LEFT('Evaluation (2)'!F15,1),"")</f>
        <v>S</v>
      </c>
      <c r="G8" s="684" t="str">
        <f>IF('Evaluation (2)'!G15&lt;&gt;"",LEFT('Evaluation (2)'!G15,1),"")</f>
        <v>S</v>
      </c>
      <c r="H8" s="684" t="str">
        <f>IF('Evaluation (2)'!H15&lt;&gt;"",LEFT('Evaluation (2)'!H15,1),"")</f>
        <v>X</v>
      </c>
      <c r="I8" s="684" t="str">
        <f>IF('Evaluation (2)'!I15&lt;&gt;"",LEFT('Evaluation (2)'!I15,1),"")</f>
        <v>R</v>
      </c>
      <c r="J8" s="684" t="str">
        <f>IF('Evaluation (2)'!J15&lt;&gt;"",LEFT('Evaluation (2)'!J15,1),"")</f>
        <v>X</v>
      </c>
      <c r="K8" s="684" t="str">
        <f>IF('Evaluation (2)'!K15&lt;&gt;"",LEFT('Evaluation (2)'!K15,1),"")</f>
        <v/>
      </c>
      <c r="L8" s="684" t="str">
        <f>IF('Evaluation (2)'!L15&lt;&gt;"",LEFT('Evaluation (2)'!L15,1),"")</f>
        <v>S</v>
      </c>
      <c r="M8" s="684" t="str">
        <f>IF('Evaluation (2)'!M15&lt;&gt;"",LEFT('Evaluation (2)'!M15,1),"")</f>
        <v>S</v>
      </c>
      <c r="N8" s="684" t="str">
        <f>IF('Evaluation (2)'!N15&lt;&gt;"",LEFT('Evaluation (2)'!N15,1),"")</f>
        <v>X</v>
      </c>
      <c r="O8" s="684" t="str">
        <f>IF('Evaluation (2)'!O15&lt;&gt;"",LEFT('Evaluation (2)'!O15,1),"")</f>
        <v>R</v>
      </c>
      <c r="P8" s="684" t="str">
        <f>IF('Evaluation (2)'!P15&lt;&gt;"",LEFT('Evaluation (2)'!P15,1),"")</f>
        <v/>
      </c>
      <c r="Q8" s="684" t="str">
        <f>IF('Evaluation (2)'!Q15&lt;&gt;"",LEFT('Evaluation (2)'!Q15,1),"")</f>
        <v/>
      </c>
      <c r="R8" s="684" t="str">
        <f>IF('Evaluation (2)'!R15&lt;&gt;"",LEFT('Evaluation (2)'!R15,1),"")</f>
        <v/>
      </c>
      <c r="S8" s="684" t="str">
        <f>IF('Evaluation (2)'!S15&lt;&gt;"",LEFT('Evaluation (2)'!S15,1),"")</f>
        <v/>
      </c>
      <c r="T8" s="684" t="str">
        <f>IF('Evaluation (2)'!T15&lt;&gt;"",LEFT('Evaluation (2)'!T15,1),"")</f>
        <v/>
      </c>
      <c r="U8" s="684" t="str">
        <f>IF('Evaluation (2)'!U15&lt;&gt;"",LEFT('Evaluation (2)'!U15,1),"")</f>
        <v/>
      </c>
      <c r="V8" s="684" t="str">
        <f>IF('Evaluation (2)'!V15&lt;&gt;"",LEFT('Evaluation (2)'!V15,1),"")</f>
        <v/>
      </c>
      <c r="W8" s="684" t="str">
        <f>IF('Evaluation (2)'!W15&lt;&gt;"",LEFT('Evaluation (2)'!W15,1),"")</f>
        <v/>
      </c>
      <c r="X8" s="684" t="str">
        <f>IF('Evaluation (2)'!X15&lt;&gt;"",LEFT('Evaluation (2)'!X15,1),"")</f>
        <v/>
      </c>
      <c r="Y8" s="684" t="str">
        <f>IF('Evaluation (2)'!Y15&lt;&gt;"",LEFT('Evaluation (2)'!Y15,1),"")</f>
        <v/>
      </c>
      <c r="Z8" s="684" t="str">
        <f>IF('Evaluation (2)'!Z15&lt;&gt;"",LEFT('Evaluation (2)'!Z15,1),"")</f>
        <v/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>S</v>
      </c>
      <c r="BG8" s="684" t="str">
        <f>IF('ARDT Cutter Entry'!D8&lt;&gt;"",'ARDT Cutter Entry'!D8,"")</f>
        <v>S</v>
      </c>
      <c r="BH8" s="684" t="str">
        <f>IF('ARDT Cutter Entry'!E8&lt;&gt;"",'ARDT Cutter Entry'!E8,"")</f>
        <v>S</v>
      </c>
      <c r="BI8" s="684" t="str">
        <f>IF('ARDT Cutter Entry'!F8&lt;&gt;"",'ARDT Cutter Entry'!F8,"")</f>
        <v>S</v>
      </c>
      <c r="BJ8" s="684" t="str">
        <f>IF('ARDT Cutter Entry'!G8&lt;&gt;"",'ARDT Cutter Entry'!G8,"")</f>
        <v>S</v>
      </c>
      <c r="BK8" s="684" t="str">
        <f>IF('ARDT Cutter Entry'!H8&lt;&gt;"",'ARDT Cutter Entry'!H8,"")</f>
        <v>X</v>
      </c>
      <c r="BL8" s="684" t="str">
        <f>IF('ARDT Cutter Entry'!I8&lt;&gt;"",'ARDT Cutter Entry'!I8,"")</f>
        <v>R</v>
      </c>
      <c r="BM8" s="684" t="str">
        <f>IF('ARDT Cutter Entry'!J8&lt;&gt;"",'ARDT Cutter Entry'!J8,"")</f>
        <v>X</v>
      </c>
      <c r="BN8" s="684" t="str">
        <f>IF('ARDT Cutter Entry'!K8&lt;&gt;"",'ARDT Cutter Entry'!K8,"")</f>
        <v/>
      </c>
      <c r="BO8" s="684" t="str">
        <f>IF('ARDT Cutter Entry'!L8&lt;&gt;"",'ARDT Cutter Entry'!L8,"")</f>
        <v>S</v>
      </c>
      <c r="BP8" s="684" t="str">
        <f>IF('ARDT Cutter Entry'!M8&lt;&gt;"",'ARDT Cutter Entry'!M8,"")</f>
        <v>S</v>
      </c>
      <c r="BQ8" s="684" t="str">
        <f>IF('ARDT Cutter Entry'!N8&lt;&gt;"",'ARDT Cutter Entry'!N8,"")</f>
        <v>X</v>
      </c>
      <c r="BR8" s="684" t="str">
        <f>IF('ARDT Cutter Entry'!O8&lt;&gt;"",'ARDT Cutter Entry'!O8,"")</f>
        <v>R</v>
      </c>
      <c r="BS8" s="684" t="str">
        <f>IF('ARDT Cutter Entry'!P8&lt;&gt;"",'ARDT Cutter Entry'!P8,"")</f>
        <v/>
      </c>
      <c r="BT8" s="684" t="str">
        <f>IF('ARDT Cutter Entry'!Q8&lt;&gt;"",'ARDT Cutter Entry'!Q8,"")</f>
        <v/>
      </c>
      <c r="BU8" s="684" t="str">
        <f>IF('ARDT Cutter Entry'!R8&lt;&gt;"",'ARDT Cutter Entry'!R8,"")</f>
        <v/>
      </c>
      <c r="BV8" s="684" t="str">
        <f>IF('ARDT Cutter Entry'!S8&lt;&gt;"",'ARDT Cutter Entry'!S8,"")</f>
        <v/>
      </c>
      <c r="BW8" s="684" t="str">
        <f>IF('ARDT Cutter Entry'!T8&lt;&gt;"",'ARDT Cutter Entry'!T8,"")</f>
        <v/>
      </c>
      <c r="BX8" s="684" t="str">
        <f>IF('ARDT Cutter Entry'!U8&lt;&gt;"",'ARDT Cutter Entry'!U8,"")</f>
        <v/>
      </c>
      <c r="BY8" s="684" t="str">
        <f>IF('ARDT Cutter Entry'!V8&lt;&gt;"",'ARDT Cutter Entry'!V8,"")</f>
        <v/>
      </c>
      <c r="BZ8" s="684" t="str">
        <f>IF('ARDT Cutter Entry'!W8&lt;&gt;"",'ARDT Cutter Entry'!W8,"")</f>
        <v/>
      </c>
      <c r="CA8" s="684" t="str">
        <f>IF('ARDT Cutter Entry'!X8&lt;&gt;"",'ARDT Cutter Entry'!X8,"")</f>
        <v/>
      </c>
      <c r="CB8" s="684" t="str">
        <f>IF('ARDT Cutter Entry'!Y8&lt;&gt;"",'ARDT Cutter Entry'!Y8,"")</f>
        <v/>
      </c>
      <c r="CC8" s="684" t="str">
        <f>IF('ARDT Cutter Entry'!Z8&lt;&gt;"",'ARDT Cutter Entry'!Z8,"")</f>
        <v/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5" customHeight="1" x14ac:dyDescent="0.35">
      <c r="A9" s="682"/>
      <c r="B9" s="35">
        <v>6</v>
      </c>
      <c r="C9" s="683" t="str">
        <f>IF('Evaluation (2)'!C16&lt;&gt;"",LEFT('Evaluation (2)'!C16,1),"")</f>
        <v>S</v>
      </c>
      <c r="D9" s="684" t="str">
        <f>IF('Evaluation (2)'!D16&lt;&gt;"",LEFT('Evaluation (2)'!D16,1),"")</f>
        <v>X</v>
      </c>
      <c r="E9" s="684" t="str">
        <f>IF('Evaluation (2)'!E16&lt;&gt;"",LEFT('Evaluation (2)'!E16,1),"")</f>
        <v>S</v>
      </c>
      <c r="F9" s="684" t="str">
        <f>IF('Evaluation (2)'!F16&lt;&gt;"",LEFT('Evaluation (2)'!F16,1),"")</f>
        <v>X</v>
      </c>
      <c r="G9" s="684" t="str">
        <f>IF('Evaluation (2)'!G16&lt;&gt;"",LEFT('Evaluation (2)'!G16,1),"")</f>
        <v>X</v>
      </c>
      <c r="H9" s="684" t="str">
        <f>IF('Evaluation (2)'!H16&lt;&gt;"",LEFT('Evaluation (2)'!H16,1),"")</f>
        <v/>
      </c>
      <c r="I9" s="684" t="str">
        <f>IF('Evaluation (2)'!I16&lt;&gt;"",LEFT('Evaluation (2)'!I16,1),"")</f>
        <v/>
      </c>
      <c r="J9" s="684" t="str">
        <f>IF('Evaluation (2)'!J16&lt;&gt;"",LEFT('Evaluation (2)'!J16,1),"")</f>
        <v/>
      </c>
      <c r="K9" s="684" t="str">
        <f>IF('Evaluation (2)'!K16&lt;&gt;"",LEFT('Evaluation (2)'!K16,1),"")</f>
        <v/>
      </c>
      <c r="L9" s="684" t="str">
        <f>IF('Evaluation (2)'!L16&lt;&gt;"",LEFT('Evaluation (2)'!L16,1),"")</f>
        <v>S</v>
      </c>
      <c r="M9" s="684" t="str">
        <f>IF('Evaluation (2)'!M16&lt;&gt;"",LEFT('Evaluation (2)'!M16,1),"")</f>
        <v>S</v>
      </c>
      <c r="N9" s="684" t="str">
        <f>IF('Evaluation (2)'!N16&lt;&gt;"",LEFT('Evaluation (2)'!N16,1),"")</f>
        <v>S</v>
      </c>
      <c r="O9" s="684" t="str">
        <f>IF('Evaluation (2)'!O16&lt;&gt;"",LEFT('Evaluation (2)'!O16,1),"")</f>
        <v>R</v>
      </c>
      <c r="P9" s="684" t="str">
        <f>IF('Evaluation (2)'!P16&lt;&gt;"",LEFT('Evaluation (2)'!P16,1),"")</f>
        <v/>
      </c>
      <c r="Q9" s="684" t="str">
        <f>IF('Evaluation (2)'!Q16&lt;&gt;"",LEFT('Evaluation (2)'!Q16,1),"")</f>
        <v/>
      </c>
      <c r="R9" s="684" t="str">
        <f>IF('Evaluation (2)'!R16&lt;&gt;"",LEFT('Evaluation (2)'!R16,1),"")</f>
        <v/>
      </c>
      <c r="S9" s="684" t="str">
        <f>IF('Evaluation (2)'!S16&lt;&gt;"",LEFT('Evaluation (2)'!S16,1),"")</f>
        <v/>
      </c>
      <c r="T9" s="684" t="str">
        <f>IF('Evaluation (2)'!T16&lt;&gt;"",LEFT('Evaluation (2)'!T16,1),"")</f>
        <v/>
      </c>
      <c r="U9" s="684" t="str">
        <f>IF('Evaluation (2)'!U16&lt;&gt;"",LEFT('Evaluation (2)'!U16,1),"")</f>
        <v/>
      </c>
      <c r="V9" s="684" t="str">
        <f>IF('Evaluation (2)'!V16&lt;&gt;"",LEFT('Evaluation (2)'!V16,1),"")</f>
        <v/>
      </c>
      <c r="W9" s="684" t="str">
        <f>IF('Evaluation (2)'!W16&lt;&gt;"",LEFT('Evaluation (2)'!W16,1),"")</f>
        <v/>
      </c>
      <c r="X9" s="684" t="str">
        <f>IF('Evaluation (2)'!X16&lt;&gt;"",LEFT('Evaluation (2)'!X16,1),"")</f>
        <v/>
      </c>
      <c r="Y9" s="684" t="str">
        <f>IF('Evaluation (2)'!Y16&lt;&gt;"",LEFT('Evaluation (2)'!Y16,1),"")</f>
        <v/>
      </c>
      <c r="Z9" s="684" t="str">
        <f>IF('Evaluation (2)'!Z16&lt;&gt;"",LEFT('Evaluation (2)'!Z16,1),"")</f>
        <v/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>S</v>
      </c>
      <c r="BG9" s="684" t="str">
        <f>IF('ARDT Cutter Entry'!D9&lt;&gt;"",'ARDT Cutter Entry'!D9,"")</f>
        <v>X</v>
      </c>
      <c r="BH9" s="684" t="str">
        <f>IF('ARDT Cutter Entry'!E9&lt;&gt;"",'ARDT Cutter Entry'!E9,"")</f>
        <v>S</v>
      </c>
      <c r="BI9" s="684" t="str">
        <f>IF('ARDT Cutter Entry'!F9&lt;&gt;"",'ARDT Cutter Entry'!F9,"")</f>
        <v>X</v>
      </c>
      <c r="BJ9" s="684" t="str">
        <f>IF('ARDT Cutter Entry'!G9&lt;&gt;"",'ARDT Cutter Entry'!G9,"")</f>
        <v>X</v>
      </c>
      <c r="BK9" s="684" t="str">
        <f>IF('ARDT Cutter Entry'!H9&lt;&gt;"",'ARDT Cutter Entry'!H9,"")</f>
        <v/>
      </c>
      <c r="BL9" s="684" t="str">
        <f>IF('ARDT Cutter Entry'!I9&lt;&gt;"",'ARDT Cutter Entry'!I9,"")</f>
        <v/>
      </c>
      <c r="BM9" s="684" t="str">
        <f>IF('ARDT Cutter Entry'!J9&lt;&gt;"",'ARDT Cutter Entry'!J9,"")</f>
        <v/>
      </c>
      <c r="BN9" s="684" t="str">
        <f>IF('ARDT Cutter Entry'!K9&lt;&gt;"",'ARDT Cutter Entry'!K9,"")</f>
        <v/>
      </c>
      <c r="BO9" s="684" t="str">
        <f>IF('ARDT Cutter Entry'!L9&lt;&gt;"",'ARDT Cutter Entry'!L9,"")</f>
        <v>S</v>
      </c>
      <c r="BP9" s="684" t="str">
        <f>IF('ARDT Cutter Entry'!M9&lt;&gt;"",'ARDT Cutter Entry'!M9,"")</f>
        <v>S</v>
      </c>
      <c r="BQ9" s="684" t="str">
        <f>IF('ARDT Cutter Entry'!N9&lt;&gt;"",'ARDT Cutter Entry'!N9,"")</f>
        <v>S</v>
      </c>
      <c r="BR9" s="684" t="str">
        <f>IF('ARDT Cutter Entry'!O9&lt;&gt;"",'ARDT Cutter Entry'!O9,"")</f>
        <v>R</v>
      </c>
      <c r="BS9" s="684" t="str">
        <f>IF('ARDT Cutter Entry'!P9&lt;&gt;"",'ARDT Cutter Entry'!P9,"")</f>
        <v/>
      </c>
      <c r="BT9" s="684" t="str">
        <f>IF('ARDT Cutter Entry'!Q9&lt;&gt;"",'ARDT Cutter Entry'!Q9,"")</f>
        <v/>
      </c>
      <c r="BU9" s="684" t="str">
        <f>IF('ARDT Cutter Entry'!R9&lt;&gt;"",'ARDT Cutter Entry'!R9,"")</f>
        <v/>
      </c>
      <c r="BV9" s="684" t="str">
        <f>IF('ARDT Cutter Entry'!S9&lt;&gt;"",'ARDT Cutter Entry'!S9,"")</f>
        <v/>
      </c>
      <c r="BW9" s="684" t="str">
        <f>IF('ARDT Cutter Entry'!T9&lt;&gt;"",'ARDT Cutter Entry'!T9,"")</f>
        <v/>
      </c>
      <c r="BX9" s="684" t="str">
        <f>IF('ARDT Cutter Entry'!U9&lt;&gt;"",'ARDT Cutter Entry'!U9,"")</f>
        <v/>
      </c>
      <c r="BY9" s="684" t="str">
        <f>IF('ARDT Cutter Entry'!V9&lt;&gt;"",'ARDT Cutter Entry'!V9,"")</f>
        <v/>
      </c>
      <c r="BZ9" s="684" t="str">
        <f>IF('ARDT Cutter Entry'!W9&lt;&gt;"",'ARDT Cutter Entry'!W9,"")</f>
        <v/>
      </c>
      <c r="CA9" s="684" t="str">
        <f>IF('ARDT Cutter Entry'!X9&lt;&gt;"",'ARDT Cutter Entry'!X9,"")</f>
        <v/>
      </c>
      <c r="CB9" s="684" t="str">
        <f>IF('ARDT Cutter Entry'!Y9&lt;&gt;"",'ARDT Cutter Entry'!Y9,"")</f>
        <v/>
      </c>
      <c r="CC9" s="684" t="str">
        <f>IF('ARDT Cutter Entry'!Z9&lt;&gt;"",'ARDT Cutter Entry'!Z9,"")</f>
        <v/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5" customHeight="1" x14ac:dyDescent="0.35">
      <c r="A10" s="682"/>
      <c r="B10" s="35">
        <v>7</v>
      </c>
      <c r="C10" s="683" t="str">
        <f>IF('Evaluation (2)'!C17&lt;&gt;"",LEFT('Evaluation (2)'!C17,1),"")</f>
        <v/>
      </c>
      <c r="D10" s="684" t="str">
        <f>IF('Evaluation (2)'!D17&lt;&gt;"",LEFT('Evaluation (2)'!D17,1),"")</f>
        <v/>
      </c>
      <c r="E10" s="684" t="str">
        <f>IF('Evaluation (2)'!E17&lt;&gt;"",LEFT('Evaluation (2)'!E17,1),"")</f>
        <v/>
      </c>
      <c r="F10" s="684" t="str">
        <f>IF('Evaluation (2)'!F17&lt;&gt;"",LEFT('Evaluation (2)'!F17,1),"")</f>
        <v/>
      </c>
      <c r="G10" s="684" t="str">
        <f>IF('Evaluation (2)'!G17&lt;&gt;"",LEFT('Evaluation (2)'!G17,1),"")</f>
        <v/>
      </c>
      <c r="H10" s="684" t="str">
        <f>IF('Evaluation (2)'!H17&lt;&gt;"",LEFT('Evaluation (2)'!H17,1),"")</f>
        <v/>
      </c>
      <c r="I10" s="684" t="str">
        <f>IF('Evaluation (2)'!I17&lt;&gt;"",LEFT('Evaluation (2)'!I17,1),"")</f>
        <v/>
      </c>
      <c r="J10" s="684" t="str">
        <f>IF('Evaluation (2)'!J17&lt;&gt;"",LEFT('Evaluation (2)'!J17,1),"")</f>
        <v/>
      </c>
      <c r="K10" s="684" t="str">
        <f>IF('Evaluation (2)'!K17&lt;&gt;"",LEFT('Evaluation (2)'!K17,1),"")</f>
        <v/>
      </c>
      <c r="L10" s="684" t="str">
        <f>IF('Evaluation (2)'!L17&lt;&gt;"",LEFT('Evaluation (2)'!L17,1),"")</f>
        <v/>
      </c>
      <c r="M10" s="684" t="str">
        <f>IF('Evaluation (2)'!M17&lt;&gt;"",LEFT('Evaluation (2)'!M17,1),"")</f>
        <v/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/>
      </c>
      <c r="U10" s="684" t="str">
        <f>IF('Evaluation (2)'!U17&lt;&gt;"",LEFT('Evaluation (2)'!U17,1),"")</f>
        <v/>
      </c>
      <c r="V10" s="684" t="str">
        <f>IF('Evaluation (2)'!V17&lt;&gt;"",LEFT('Evaluation (2)'!V17,1),"")</f>
        <v/>
      </c>
      <c r="W10" s="684" t="str">
        <f>IF('Evaluation (2)'!W17&lt;&gt;"",LEFT('Evaluation (2)'!W17,1),"")</f>
        <v/>
      </c>
      <c r="X10" s="684" t="str">
        <f>IF('Evaluation (2)'!X17&lt;&gt;"",LEFT('Evaluation (2)'!X17,1),"")</f>
        <v/>
      </c>
      <c r="Y10" s="684" t="str">
        <f>IF('Evaluation (2)'!Y17&lt;&gt;"",LEFT('Evaluation (2)'!Y17,1),"")</f>
        <v/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/>
      </c>
      <c r="BG10" s="684" t="str">
        <f>IF('ARDT Cutter Entry'!D10&lt;&gt;"",'ARDT Cutter Entry'!D10,"")</f>
        <v/>
      </c>
      <c r="BH10" s="684" t="str">
        <f>IF('ARDT Cutter Entry'!E10&lt;&gt;"",'ARDT Cutter Entry'!E10,"")</f>
        <v/>
      </c>
      <c r="BI10" s="684" t="str">
        <f>IF('ARDT Cutter Entry'!F10&lt;&gt;"",'ARDT Cutter Entry'!F10,"")</f>
        <v/>
      </c>
      <c r="BJ10" s="684" t="str">
        <f>IF('ARDT Cutter Entry'!G10&lt;&gt;"",'ARDT Cutter Entry'!G10,"")</f>
        <v/>
      </c>
      <c r="BK10" s="684" t="str">
        <f>IF('ARDT Cutter Entry'!H10&lt;&gt;"",'ARDT Cutter Entry'!H10,"")</f>
        <v/>
      </c>
      <c r="BL10" s="684" t="str">
        <f>IF('ARDT Cutter Entry'!I10&lt;&gt;"",'ARDT Cutter Entry'!I10,"")</f>
        <v/>
      </c>
      <c r="BM10" s="684" t="str">
        <f>IF('ARDT Cutter Entry'!J10&lt;&gt;"",'ARDT Cutter Entry'!J10,"")</f>
        <v/>
      </c>
      <c r="BN10" s="684" t="str">
        <f>IF('ARDT Cutter Entry'!K10&lt;&gt;"",'ARDT Cutter Entry'!K10,"")</f>
        <v/>
      </c>
      <c r="BO10" s="684" t="str">
        <f>IF('ARDT Cutter Entry'!L10&lt;&gt;"",'ARDT Cutter Entry'!L10,"")</f>
        <v/>
      </c>
      <c r="BP10" s="684" t="str">
        <f>IF('ARDT Cutter Entry'!M10&lt;&gt;"",'ARDT Cutter Entry'!M10,"")</f>
        <v/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/>
      </c>
      <c r="BX10" s="684" t="str">
        <f>IF('ARDT Cutter Entry'!U10&lt;&gt;"",'ARDT Cutter Entry'!U10,"")</f>
        <v/>
      </c>
      <c r="BY10" s="684" t="str">
        <f>IF('ARDT Cutter Entry'!V10&lt;&gt;"",'ARDT Cutter Entry'!V10,"")</f>
        <v/>
      </c>
      <c r="BZ10" s="684" t="str">
        <f>IF('ARDT Cutter Entry'!W10&lt;&gt;"",'ARDT Cutter Entry'!W10,"")</f>
        <v/>
      </c>
      <c r="CA10" s="684" t="str">
        <f>IF('ARDT Cutter Entry'!X10&lt;&gt;"",'ARDT Cutter Entry'!X10,"")</f>
        <v/>
      </c>
      <c r="CB10" s="684" t="str">
        <f>IF('ARDT Cutter Entry'!Y10&lt;&gt;"",'ARDT Cutter Entry'!Y10,"")</f>
        <v/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5" customHeight="1" x14ac:dyDescent="0.35">
      <c r="A11" s="682"/>
      <c r="B11" s="35">
        <v>8</v>
      </c>
      <c r="C11" s="683" t="str">
        <f>IF('Evaluation (2)'!C18&lt;&gt;"",LEFT('Evaluation (2)'!C18,1),"")</f>
        <v/>
      </c>
      <c r="D11" s="684" t="str">
        <f>IF('Evaluation (2)'!D18&lt;&gt;"",LEFT('Evaluation (2)'!D18,1),"")</f>
        <v/>
      </c>
      <c r="E11" s="684" t="str">
        <f>IF('Evaluation (2)'!E18&lt;&gt;"",LEFT('Evaluation (2)'!E18,1),"")</f>
        <v/>
      </c>
      <c r="F11" s="684" t="str">
        <f>IF('Evaluation (2)'!F18&lt;&gt;"",LEFT('Evaluation (2)'!F18,1),"")</f>
        <v/>
      </c>
      <c r="G11" s="684" t="str">
        <f>IF('Evaluation (2)'!G18&lt;&gt;"",LEFT('Evaluation (2)'!G18,1),"")</f>
        <v/>
      </c>
      <c r="H11" s="684" t="str">
        <f>IF('Evaluation (2)'!H18&lt;&gt;"",LEFT('Evaluation (2)'!H18,1),"")</f>
        <v/>
      </c>
      <c r="I11" s="684" t="str">
        <f>IF('Evaluation (2)'!I18&lt;&gt;"",LEFT('Evaluation (2)'!I18,1),"")</f>
        <v/>
      </c>
      <c r="J11" s="684" t="str">
        <f>IF('Evaluation (2)'!J18&lt;&gt;"",LEFT('Evaluation (2)'!J18,1),"")</f>
        <v/>
      </c>
      <c r="K11" s="684" t="str">
        <f>IF('Evaluation (2)'!K18&lt;&gt;"",LEFT('Evaluation (2)'!K18,1),"")</f>
        <v/>
      </c>
      <c r="L11" s="684" t="str">
        <f>IF('Evaluation (2)'!L18&lt;&gt;"",LEFT('Evaluation (2)'!L18,1),"")</f>
        <v/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/>
      </c>
      <c r="U11" s="684" t="str">
        <f>IF('Evaluation (2)'!U18&lt;&gt;"",LEFT('Evaluation (2)'!U18,1),"")</f>
        <v/>
      </c>
      <c r="V11" s="684" t="str">
        <f>IF('Evaluation (2)'!V18&lt;&gt;"",LEFT('Evaluation (2)'!V18,1),"")</f>
        <v/>
      </c>
      <c r="W11" s="684" t="str">
        <f>IF('Evaluation (2)'!W18&lt;&gt;"",LEFT('Evaluation (2)'!W18,1),"")</f>
        <v/>
      </c>
      <c r="X11" s="684" t="str">
        <f>IF('Evaluation (2)'!X18&lt;&gt;"",LEFT('Evaluation (2)'!X18,1),"")</f>
        <v/>
      </c>
      <c r="Y11" s="684" t="str">
        <f>IF('Evaluation (2)'!Y18&lt;&gt;"",LEFT('Evaluation (2)'!Y18,1),"")</f>
        <v/>
      </c>
      <c r="Z11" s="684" t="str">
        <f>IF('Evaluation (2)'!Z18&lt;&gt;"",LEFT('Evaluation (2)'!Z18,1),"")</f>
        <v/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/>
      </c>
      <c r="BG11" s="684" t="str">
        <f>IF('ARDT Cutter Entry'!D11&lt;&gt;"",'ARDT Cutter Entry'!D11,"")</f>
        <v/>
      </c>
      <c r="BH11" s="684" t="str">
        <f>IF('ARDT Cutter Entry'!E11&lt;&gt;"",'ARDT Cutter Entry'!E11,"")</f>
        <v/>
      </c>
      <c r="BI11" s="684" t="str">
        <f>IF('ARDT Cutter Entry'!F11&lt;&gt;"",'ARDT Cutter Entry'!F11,"")</f>
        <v/>
      </c>
      <c r="BJ11" s="684" t="str">
        <f>IF('ARDT Cutter Entry'!G11&lt;&gt;"",'ARDT Cutter Entry'!G11,"")</f>
        <v/>
      </c>
      <c r="BK11" s="684" t="str">
        <f>IF('ARDT Cutter Entry'!H11&lt;&gt;"",'ARDT Cutter Entry'!H11,"")</f>
        <v/>
      </c>
      <c r="BL11" s="684" t="str">
        <f>IF('ARDT Cutter Entry'!I11&lt;&gt;"",'ARDT Cutter Entry'!I11,"")</f>
        <v/>
      </c>
      <c r="BM11" s="684" t="str">
        <f>IF('ARDT Cutter Entry'!J11&lt;&gt;"",'ARDT Cutter Entry'!J11,"")</f>
        <v/>
      </c>
      <c r="BN11" s="684" t="str">
        <f>IF('ARDT Cutter Entry'!K11&lt;&gt;"",'ARDT Cutter Entry'!K11,"")</f>
        <v/>
      </c>
      <c r="BO11" s="684" t="str">
        <f>IF('ARDT Cutter Entry'!L11&lt;&gt;"",'ARDT Cutter Entry'!L11,"")</f>
        <v/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/>
      </c>
      <c r="BX11" s="684" t="str">
        <f>IF('ARDT Cutter Entry'!U11&lt;&gt;"",'ARDT Cutter Entry'!U11,"")</f>
        <v/>
      </c>
      <c r="BY11" s="684" t="str">
        <f>IF('ARDT Cutter Entry'!V11&lt;&gt;"",'ARDT Cutter Entry'!V11,"")</f>
        <v/>
      </c>
      <c r="BZ11" s="684" t="str">
        <f>IF('ARDT Cutter Entry'!W11&lt;&gt;"",'ARDT Cutter Entry'!W11,"")</f>
        <v/>
      </c>
      <c r="CA11" s="684" t="str">
        <f>IF('ARDT Cutter Entry'!X11&lt;&gt;"",'ARDT Cutter Entry'!X11,"")</f>
        <v/>
      </c>
      <c r="CB11" s="684" t="str">
        <f>IF('ARDT Cutter Entry'!Y11&lt;&gt;"",'ARDT Cutter Entry'!Y11,"")</f>
        <v/>
      </c>
      <c r="CC11" s="684" t="str">
        <f>IF('ARDT Cutter Entry'!Z11&lt;&gt;"",'ARDT Cutter Entry'!Z11,"")</f>
        <v/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5" customHeight="1" x14ac:dyDescent="0.3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5" customHeight="1" x14ac:dyDescent="0.3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5" customHeight="1" x14ac:dyDescent="0.3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5" customHeight="1" thickBot="1" x14ac:dyDescent="0.4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" thickBot="1" x14ac:dyDescent="0.4"/>
    <row r="20" spans="1:90" ht="24" thickBot="1" x14ac:dyDescent="0.4">
      <c r="A20" s="1281"/>
      <c r="B20" s="1282"/>
      <c r="C20" s="1282"/>
      <c r="D20" s="1282"/>
      <c r="E20" s="1282"/>
      <c r="F20" s="1282"/>
      <c r="G20" s="1282"/>
      <c r="H20" s="1282"/>
      <c r="I20" s="1282"/>
      <c r="J20" s="1282"/>
      <c r="K20" s="1282"/>
      <c r="L20" s="1282"/>
      <c r="M20" s="1282"/>
      <c r="N20" s="1282"/>
      <c r="O20" s="1282"/>
      <c r="P20" s="1282"/>
      <c r="Q20" s="1282"/>
      <c r="R20" s="1282"/>
      <c r="S20" s="1282"/>
      <c r="T20" s="1282"/>
      <c r="U20" s="1282"/>
      <c r="V20" s="1282"/>
      <c r="W20" s="1282"/>
      <c r="X20" s="1282"/>
      <c r="Y20" s="1282"/>
      <c r="Z20" s="1282"/>
      <c r="AA20" s="1282"/>
      <c r="AB20" s="1282"/>
      <c r="AC20" s="1282"/>
      <c r="AD20" s="1282"/>
      <c r="AE20" s="1282"/>
      <c r="AF20" s="1282"/>
      <c r="AG20" s="1282"/>
      <c r="AH20" s="1282"/>
      <c r="AI20" s="1282"/>
      <c r="AJ20" s="1282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35">
      <c r="A21" s="691"/>
      <c r="B21" s="718"/>
      <c r="C21" s="1279"/>
      <c r="D21" s="1280"/>
      <c r="E21" s="1280"/>
      <c r="F21" s="1280"/>
      <c r="G21" s="1280"/>
      <c r="H21" s="1280"/>
      <c r="I21" s="1280"/>
      <c r="J21" s="1280"/>
      <c r="K21" s="1280"/>
      <c r="L21" s="1280"/>
      <c r="M21" s="1280"/>
      <c r="N21" s="1280"/>
      <c r="O21" s="1280"/>
      <c r="P21" s="1280"/>
      <c r="Q21" s="1280"/>
      <c r="R21" s="1280"/>
      <c r="S21" s="1280"/>
      <c r="T21" s="1280"/>
      <c r="U21" s="1280"/>
      <c r="V21" s="1280"/>
      <c r="W21" s="1280"/>
      <c r="X21" s="1280"/>
      <c r="Y21" s="1280"/>
      <c r="Z21" s="1280"/>
      <c r="AA21" s="1280"/>
      <c r="AB21" s="1280"/>
      <c r="AC21" s="1280"/>
      <c r="AD21" s="1280"/>
      <c r="AE21" s="1280"/>
      <c r="AF21" s="1280"/>
      <c r="AG21" s="1280"/>
      <c r="AH21" s="1280"/>
      <c r="AI21" s="1280"/>
      <c r="AJ21" s="1280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" thickBot="1" x14ac:dyDescent="0.4">
      <c r="A22" s="697"/>
      <c r="B22" s="723"/>
      <c r="C22" s="361">
        <f>IF(Data!$BQ$44&lt;&gt;0,1,0)</f>
        <v>1</v>
      </c>
      <c r="D22" s="35">
        <f>IF(Data!$BQ$44&lt;&gt;0,IF(AND(C22&lt;&gt;0,Data!$BQ$44&gt;C22),C22+1,0),0)</f>
        <v>2</v>
      </c>
      <c r="E22" s="35">
        <f>IF(Data!$BQ$44&lt;&gt;0,IF(AND(D22&lt;&gt;0,Data!$BQ$44&gt;D22),D22+1,0),0)</f>
        <v>3</v>
      </c>
      <c r="F22" s="35">
        <f>IF(Data!$BQ$44&lt;&gt;0,IF(AND(E22&lt;&gt;0,Data!$BQ$44&gt;E22),E22+1,0),0)</f>
        <v>4</v>
      </c>
      <c r="G22" s="35">
        <f>IF(Data!$BQ$44&lt;&gt;0,IF(AND(F22&lt;&gt;0,Data!$BQ$44&gt;F22),F22+1,0),0)</f>
        <v>5</v>
      </c>
      <c r="H22" s="35">
        <f>IF(Data!$BQ$44&lt;&gt;0,IF(AND(G22&lt;&gt;0,Data!$BQ$44&gt;G22),G22+1,0),0)</f>
        <v>6</v>
      </c>
      <c r="I22" s="35">
        <f>IF(Data!$BQ$44&lt;&gt;0,IF(AND(H22&lt;&gt;0,Data!$BQ$44&gt;H22),H22+1,0),0)</f>
        <v>7</v>
      </c>
      <c r="J22" s="35">
        <f>IF(Data!$BQ$44&lt;&gt;0,IF(AND(I22&lt;&gt;0,Data!$BQ$44&gt;I22),I22+1,0),0)</f>
        <v>8</v>
      </c>
      <c r="K22" s="35">
        <f>IF(Data!$BQ$44&lt;&gt;0,IF(AND(J22&lt;&gt;0,Data!$BQ$44&gt;J22),J22+1,0),0)</f>
        <v>9</v>
      </c>
      <c r="L22" s="35">
        <f>IF(Data!$BQ$44&lt;&gt;0,IF(AND(K22&lt;&gt;0,Data!$BQ$44&gt;K22),K22+1,0),0)</f>
        <v>10</v>
      </c>
      <c r="M22" s="35">
        <f>IF(Data!$BQ$44&lt;&gt;0,IF(AND(L22&lt;&gt;0,Data!$BQ$44&gt;L22),L22+1,0),0)</f>
        <v>11</v>
      </c>
      <c r="N22" s="35">
        <f>IF(Data!$BQ$44&lt;&gt;0,IF(AND(M22&lt;&gt;0,Data!$BQ$44&gt;M22),M22+1,0),0)</f>
        <v>12</v>
      </c>
      <c r="O22" s="35">
        <f>IF(Data!$BQ$44&lt;&gt;0,IF(AND(N22&lt;&gt;0,Data!$BQ$44&gt;N22),N22+1,0),0)</f>
        <v>0</v>
      </c>
      <c r="P22" s="35">
        <f>IF(Data!$BQ$44&lt;&gt;0,IF(AND(O22&lt;&gt;0,Data!$BQ$44&gt;O22),O22+1,0),0)</f>
        <v>0</v>
      </c>
      <c r="Q22" s="35">
        <f>IF(Data!$BQ$44&lt;&gt;0,IF(AND(P22&lt;&gt;0,Data!$BQ$44&gt;P22),P22+1,0),0)</f>
        <v>0</v>
      </c>
      <c r="R22" s="35">
        <f>IF(Data!$BQ$44&lt;&gt;0,IF(AND(Q22&lt;&gt;0,Data!$BQ$44&gt;Q22),Q22+1,0),0)</f>
        <v>0</v>
      </c>
      <c r="S22" s="35">
        <f>IF(Data!$BQ$44&lt;&gt;0,IF(AND(R22&lt;&gt;0,Data!$BQ$44&gt;R22),R22+1,0),0)</f>
        <v>0</v>
      </c>
      <c r="T22" s="35">
        <f>IF(Data!$BQ$44&lt;&gt;0,IF(AND(S22&lt;&gt;0,Data!$BQ$44&gt;S22),S22+1,0),0)</f>
        <v>0</v>
      </c>
      <c r="U22" s="35">
        <f>IF(Data!$BQ$44&lt;&gt;0,IF(AND(T22&lt;&gt;0,Data!$BQ$44&gt;T22),T22+1,0),0)</f>
        <v>0</v>
      </c>
      <c r="V22" s="35">
        <f>IF(Data!$BQ$44&lt;&gt;0,IF(AND(U22&lt;&gt;0,Data!$BQ$44&gt;U22),U22+1,0),0)</f>
        <v>0</v>
      </c>
      <c r="W22" s="35">
        <f>IF(Data!$BQ$44&lt;&gt;0,IF(AND(V22&lt;&gt;0,Data!$BQ$44&gt;V22),V22+1,0),0)</f>
        <v>0</v>
      </c>
      <c r="X22" s="35">
        <f>IF(Data!$BQ$44&lt;&gt;0,IF(AND(W22&lt;&gt;0,Data!$BQ$44&gt;W22),W22+1,0),0)</f>
        <v>0</v>
      </c>
      <c r="Y22" s="35">
        <f>IF(Data!$BQ$44&lt;&gt;0,IF(AND(X22&lt;&gt;0,Data!$BQ$44&gt;X22),X22+1,0),0)</f>
        <v>0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1</v>
      </c>
      <c r="BG22" s="355">
        <f>IF(Data!$BQ$44&lt;&gt;0,IF(AND(BF22&lt;&gt;0,Data!$BQ$44&gt;BF22),BF22+1,0),0)</f>
        <v>2</v>
      </c>
      <c r="BH22" s="355">
        <f>IF(Data!$BQ$44&lt;&gt;0,IF(AND(BG22&lt;&gt;0,Data!$BQ$44&gt;BG22),BG22+1,0),0)</f>
        <v>3</v>
      </c>
      <c r="BI22" s="355">
        <f>IF(Data!$BQ$44&lt;&gt;0,IF(AND(BH22&lt;&gt;0,Data!$BQ$44&gt;BH22),BH22+1,0),0)</f>
        <v>4</v>
      </c>
      <c r="BJ22" s="355">
        <f>IF(Data!$BQ$44&lt;&gt;0,IF(AND(BI22&lt;&gt;0,Data!$BQ$44&gt;BI22),BI22+1,0),0)</f>
        <v>5</v>
      </c>
      <c r="BK22" s="355">
        <f>IF(Data!$BQ$44&lt;&gt;0,IF(AND(BJ22&lt;&gt;0,Data!$BQ$44&gt;BJ22),BJ22+1,0),0)</f>
        <v>6</v>
      </c>
      <c r="BL22" s="355">
        <f>IF(Data!$BQ$44&lt;&gt;0,IF(AND(BK22&lt;&gt;0,Data!$BQ$44&gt;BK22),BK22+1,0),0)</f>
        <v>7</v>
      </c>
      <c r="BM22" s="355">
        <f>IF(Data!$BQ$44&lt;&gt;0,IF(AND(BL22&lt;&gt;0,Data!$BQ$44&gt;BL22),BL22+1,0),0)</f>
        <v>8</v>
      </c>
      <c r="BN22" s="355">
        <f>IF(Data!$BQ$44&lt;&gt;0,IF(AND(BM22&lt;&gt;0,Data!$BQ$44&gt;BM22),BM22+1,0),0)</f>
        <v>9</v>
      </c>
      <c r="BO22" s="355">
        <f>IF(Data!$BQ$44&lt;&gt;0,IF(AND(BN22&lt;&gt;0,Data!$BQ$44&gt;BN22),BN22+1,0),0)</f>
        <v>10</v>
      </c>
      <c r="BP22" s="355">
        <f>IF(Data!$BQ$44&lt;&gt;0,IF(AND(BO22&lt;&gt;0,Data!$BQ$44&gt;BO22),BO22+1,0),0)</f>
        <v>11</v>
      </c>
      <c r="BQ22" s="355">
        <f>IF(Data!$BQ$44&lt;&gt;0,IF(AND(BP22&lt;&gt;0,Data!$BQ$44&gt;BP22),BP22+1,0),0)</f>
        <v>12</v>
      </c>
      <c r="BR22" s="355">
        <f>IF(Data!$BQ$44&lt;&gt;0,IF(AND(BQ22&lt;&gt;0,Data!$BQ$44&gt;BQ22),BQ22+1,0),0)</f>
        <v>0</v>
      </c>
      <c r="BS22" s="355">
        <f>IF(Data!$BQ$44&lt;&gt;0,IF(AND(BR22&lt;&gt;0,Data!$BQ$44&gt;BR22),BR22+1,0),0)</f>
        <v>0</v>
      </c>
      <c r="BT22" s="355">
        <f>IF(Data!$BQ$44&lt;&gt;0,IF(AND(BS22&lt;&gt;0,Data!$BQ$44&gt;BS22),BS22+1,0),0)</f>
        <v>0</v>
      </c>
      <c r="BU22" s="355">
        <f>IF(Data!$BQ$44&lt;&gt;0,IF(AND(BT22&lt;&gt;0,Data!$BQ$44&gt;BT22),BT22+1,0),0)</f>
        <v>0</v>
      </c>
      <c r="BV22" s="355">
        <f>IF(Data!$BQ$44&lt;&gt;0,IF(AND(BU22&lt;&gt;0,Data!$BQ$44&gt;BU22),BU22+1,0),0)</f>
        <v>0</v>
      </c>
      <c r="BW22" s="355">
        <f>IF(Data!$BQ$44&lt;&gt;0,IF(AND(BV22&lt;&gt;0,Data!$BQ$44&gt;BV22),BV22+1,0),0)</f>
        <v>0</v>
      </c>
      <c r="BX22" s="355">
        <f>IF(Data!$BQ$44&lt;&gt;0,IF(AND(BW22&lt;&gt;0,Data!$BQ$44&gt;BW22),BW22+1,0),0)</f>
        <v>0</v>
      </c>
      <c r="BY22" s="355">
        <f>IF(Data!$BQ$44&lt;&gt;0,IF(AND(BX22&lt;&gt;0,Data!$BQ$44&gt;BX22),BX22+1,0),0)</f>
        <v>0</v>
      </c>
      <c r="BZ22" s="355">
        <f>IF(Data!$BQ$44&lt;&gt;0,IF(AND(BY22&lt;&gt;0,Data!$BQ$44&gt;BY22),BY22+1,0),0)</f>
        <v>0</v>
      </c>
      <c r="CA22" s="355">
        <f>IF(Data!$BQ$44&lt;&gt;0,IF(AND(BZ22&lt;&gt;0,Data!$BQ$44&gt;BZ22),BZ22+1,0),0)</f>
        <v>0</v>
      </c>
      <c r="CB22" s="355">
        <f>IF(Data!$BQ$44&lt;&gt;0,IF(AND(CA22&lt;&gt;0,Data!$BQ$44&gt;CA22),CA22+1,0),0)</f>
        <v>0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5" x14ac:dyDescent="0.35">
      <c r="A23" s="707"/>
      <c r="B23" s="746">
        <v>1</v>
      </c>
      <c r="C23" s="725" t="str">
        <f t="shared" ref="C23:AJ23" si="0">IF(C102&lt;&gt;"",C102,"")</f>
        <v>S</v>
      </c>
      <c r="D23" s="705" t="str">
        <f t="shared" si="0"/>
        <v>S</v>
      </c>
      <c r="E23" s="705" t="str">
        <f t="shared" si="0"/>
        <v>S</v>
      </c>
      <c r="F23" s="705" t="str">
        <f t="shared" si="0"/>
        <v>S</v>
      </c>
      <c r="G23" s="705" t="str">
        <f t="shared" si="0"/>
        <v>S</v>
      </c>
      <c r="H23" s="705" t="str">
        <f t="shared" si="0"/>
        <v>X</v>
      </c>
      <c r="I23" s="705" t="str">
        <f t="shared" si="0"/>
        <v>R</v>
      </c>
      <c r="J23" s="705" t="str">
        <f t="shared" si="0"/>
        <v>X</v>
      </c>
      <c r="K23" s="705" t="str">
        <f t="shared" si="0"/>
        <v>S</v>
      </c>
      <c r="L23" s="705" t="str">
        <f t="shared" si="0"/>
        <v>S</v>
      </c>
      <c r="M23" s="705" t="str">
        <f t="shared" si="0"/>
        <v>X</v>
      </c>
      <c r="N23" s="705" t="str">
        <f t="shared" si="0"/>
        <v>X</v>
      </c>
      <c r="O23" s="705" t="str">
        <f t="shared" si="0"/>
        <v xml:space="preserve"> </v>
      </c>
      <c r="P23" s="705" t="str">
        <f t="shared" si="0"/>
        <v xml:space="preserve"> </v>
      </c>
      <c r="Q23" s="705" t="str">
        <f t="shared" si="0"/>
        <v xml:space="preserve"> </v>
      </c>
      <c r="R23" s="705" t="str">
        <f t="shared" si="0"/>
        <v xml:space="preserve"> </v>
      </c>
      <c r="S23" s="705" t="str">
        <f t="shared" si="0"/>
        <v xml:space="preserve"> </v>
      </c>
      <c r="T23" s="705" t="str">
        <f t="shared" si="0"/>
        <v xml:space="preserve"> </v>
      </c>
      <c r="U23" s="705" t="str">
        <f t="shared" si="0"/>
        <v xml:space="preserve"> </v>
      </c>
      <c r="V23" s="705" t="str">
        <f t="shared" si="0"/>
        <v xml:space="preserve"> </v>
      </c>
      <c r="W23" s="705" t="str">
        <f t="shared" si="0"/>
        <v xml:space="preserve"> </v>
      </c>
      <c r="X23" s="705" t="str">
        <f t="shared" si="0"/>
        <v xml:space="preserve"> </v>
      </c>
      <c r="Y23" s="705" t="str">
        <f t="shared" si="0"/>
        <v xml:space="preserve"> 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>S</v>
      </c>
      <c r="BG23" s="748" t="str">
        <f t="shared" si="1"/>
        <v>S</v>
      </c>
      <c r="BH23" s="748" t="str">
        <f t="shared" si="1"/>
        <v>S</v>
      </c>
      <c r="BI23" s="748" t="str">
        <f t="shared" si="1"/>
        <v>S</v>
      </c>
      <c r="BJ23" s="748" t="str">
        <f t="shared" si="1"/>
        <v>S</v>
      </c>
      <c r="BK23" s="748" t="str">
        <f t="shared" si="1"/>
        <v>X</v>
      </c>
      <c r="BL23" s="748" t="str">
        <f t="shared" si="1"/>
        <v>R</v>
      </c>
      <c r="BM23" s="748" t="str">
        <f t="shared" si="1"/>
        <v>X</v>
      </c>
      <c r="BN23" s="748" t="str">
        <f t="shared" si="1"/>
        <v>S</v>
      </c>
      <c r="BO23" s="748" t="str">
        <f t="shared" si="1"/>
        <v>S</v>
      </c>
      <c r="BP23" s="748" t="str">
        <f t="shared" si="1"/>
        <v>X</v>
      </c>
      <c r="BQ23" s="748" t="str">
        <f t="shared" si="1"/>
        <v>X</v>
      </c>
      <c r="BR23" s="748" t="str">
        <f t="shared" si="1"/>
        <v xml:space="preserve"> </v>
      </c>
      <c r="BS23" s="748" t="str">
        <f t="shared" si="1"/>
        <v xml:space="preserve"> </v>
      </c>
      <c r="BT23" s="748" t="str">
        <f t="shared" si="1"/>
        <v xml:space="preserve"> </v>
      </c>
      <c r="BU23" s="748" t="str">
        <f t="shared" si="1"/>
        <v xml:space="preserve"> </v>
      </c>
      <c r="BV23" s="748" t="str">
        <f t="shared" si="1"/>
        <v xml:space="preserve"> </v>
      </c>
      <c r="BW23" s="748" t="str">
        <f t="shared" si="1"/>
        <v xml:space="preserve"> </v>
      </c>
      <c r="BX23" s="748" t="str">
        <f t="shared" si="1"/>
        <v xml:space="preserve"> </v>
      </c>
      <c r="BY23" s="748" t="str">
        <f t="shared" si="1"/>
        <v xml:space="preserve"> </v>
      </c>
      <c r="BZ23" s="748" t="str">
        <f t="shared" si="1"/>
        <v xml:space="preserve"> </v>
      </c>
      <c r="CA23" s="748" t="str">
        <f t="shared" si="1"/>
        <v xml:space="preserve"> </v>
      </c>
      <c r="CB23" s="748" t="str">
        <f t="shared" si="1"/>
        <v xml:space="preserve"> 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5" x14ac:dyDescent="0.35">
      <c r="A24" s="707"/>
      <c r="B24" s="726">
        <v>2</v>
      </c>
      <c r="C24" s="727" t="str">
        <f t="shared" ref="C24:AJ24" si="2">IF(C103&lt;&gt;"",C103,"")</f>
        <v>S</v>
      </c>
      <c r="D24" s="166" t="str">
        <f t="shared" si="2"/>
        <v>S</v>
      </c>
      <c r="E24" s="166" t="str">
        <f t="shared" si="2"/>
        <v>X</v>
      </c>
      <c r="F24" s="166" t="str">
        <f t="shared" si="2"/>
        <v>R</v>
      </c>
      <c r="G24" s="166" t="str">
        <f t="shared" si="2"/>
        <v>X</v>
      </c>
      <c r="H24" s="166" t="str">
        <f t="shared" si="2"/>
        <v>S</v>
      </c>
      <c r="I24" s="166" t="str">
        <f t="shared" si="2"/>
        <v>S</v>
      </c>
      <c r="J24" s="166" t="str">
        <f t="shared" si="2"/>
        <v>S</v>
      </c>
      <c r="K24" s="166" t="str">
        <f t="shared" si="2"/>
        <v>R</v>
      </c>
      <c r="L24" s="166" t="str">
        <f t="shared" si="2"/>
        <v xml:space="preserve"> </v>
      </c>
      <c r="M24" s="166" t="str">
        <f t="shared" si="2"/>
        <v xml:space="preserve"> </v>
      </c>
      <c r="N24" s="166" t="str">
        <f t="shared" si="2"/>
        <v xml:space="preserve"> </v>
      </c>
      <c r="O24" s="166" t="str">
        <f t="shared" si="2"/>
        <v xml:space="preserve"> </v>
      </c>
      <c r="P24" s="166" t="str">
        <f t="shared" si="2"/>
        <v xml:space="preserve"> </v>
      </c>
      <c r="Q24" s="166" t="str">
        <f t="shared" si="2"/>
        <v xml:space="preserve"> </v>
      </c>
      <c r="R24" s="166" t="str">
        <f t="shared" si="2"/>
        <v xml:space="preserve"> </v>
      </c>
      <c r="S24" s="166" t="str">
        <f t="shared" si="2"/>
        <v xml:space="preserve"> </v>
      </c>
      <c r="T24" s="166" t="str">
        <f t="shared" si="2"/>
        <v xml:space="preserve"> 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>S</v>
      </c>
      <c r="BG24" s="166" t="str">
        <f t="shared" si="3"/>
        <v>S</v>
      </c>
      <c r="BH24" s="166" t="str">
        <f t="shared" si="3"/>
        <v>X</v>
      </c>
      <c r="BI24" s="166" t="str">
        <f t="shared" si="3"/>
        <v>R</v>
      </c>
      <c r="BJ24" s="166" t="str">
        <f t="shared" si="3"/>
        <v>X</v>
      </c>
      <c r="BK24" s="166" t="str">
        <f t="shared" si="3"/>
        <v>S</v>
      </c>
      <c r="BL24" s="166" t="str">
        <f t="shared" si="3"/>
        <v>S</v>
      </c>
      <c r="BM24" s="166" t="str">
        <f t="shared" si="3"/>
        <v>S</v>
      </c>
      <c r="BN24" s="166" t="str">
        <f t="shared" si="3"/>
        <v>R</v>
      </c>
      <c r="BO24" s="166" t="str">
        <f t="shared" si="3"/>
        <v xml:space="preserve"> </v>
      </c>
      <c r="BP24" s="166" t="str">
        <f t="shared" si="3"/>
        <v xml:space="preserve"> </v>
      </c>
      <c r="BQ24" s="166" t="str">
        <f t="shared" si="3"/>
        <v xml:space="preserve"> </v>
      </c>
      <c r="BR24" s="166" t="str">
        <f t="shared" si="3"/>
        <v xml:space="preserve"> </v>
      </c>
      <c r="BS24" s="166" t="str">
        <f t="shared" si="3"/>
        <v xml:space="preserve"> </v>
      </c>
      <c r="BT24" s="166" t="str">
        <f t="shared" si="3"/>
        <v xml:space="preserve"> </v>
      </c>
      <c r="BU24" s="166" t="str">
        <f t="shared" si="3"/>
        <v xml:space="preserve"> </v>
      </c>
      <c r="BV24" s="166" t="str">
        <f t="shared" si="3"/>
        <v xml:space="preserve"> </v>
      </c>
      <c r="BW24" s="166" t="str">
        <f t="shared" si="3"/>
        <v xml:space="preserve"> 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5" x14ac:dyDescent="0.35">
      <c r="A25" s="707"/>
      <c r="B25" s="726">
        <v>3</v>
      </c>
      <c r="C25" s="727" t="str">
        <f t="shared" ref="C25:AJ25" si="4">IF(C104&lt;&gt;"",C104,"")</f>
        <v>S</v>
      </c>
      <c r="D25" s="166" t="str">
        <f t="shared" si="4"/>
        <v>S</v>
      </c>
      <c r="E25" s="166" t="str">
        <f t="shared" si="4"/>
        <v>S</v>
      </c>
      <c r="F25" s="166" t="str">
        <f t="shared" si="4"/>
        <v>S</v>
      </c>
      <c r="G25" s="166" t="str">
        <f t="shared" si="4"/>
        <v>X</v>
      </c>
      <c r="H25" s="166" t="str">
        <f t="shared" si="4"/>
        <v>R</v>
      </c>
      <c r="I25" s="166" t="str">
        <f t="shared" si="4"/>
        <v>X</v>
      </c>
      <c r="J25" s="166" t="str">
        <f t="shared" si="4"/>
        <v>S</v>
      </c>
      <c r="K25" s="166" t="str">
        <f t="shared" si="4"/>
        <v>S</v>
      </c>
      <c r="L25" s="166" t="str">
        <f t="shared" si="4"/>
        <v>R</v>
      </c>
      <c r="M25" s="166" t="str">
        <f t="shared" si="4"/>
        <v xml:space="preserve"> </v>
      </c>
      <c r="N25" s="166" t="str">
        <f t="shared" si="4"/>
        <v xml:space="preserve"> </v>
      </c>
      <c r="O25" s="166" t="str">
        <f t="shared" si="4"/>
        <v xml:space="preserve"> </v>
      </c>
      <c r="P25" s="166" t="str">
        <f t="shared" si="4"/>
        <v xml:space="preserve"> </v>
      </c>
      <c r="Q25" s="166" t="str">
        <f t="shared" si="4"/>
        <v xml:space="preserve"> </v>
      </c>
      <c r="R25" s="166" t="str">
        <f t="shared" si="4"/>
        <v xml:space="preserve"> </v>
      </c>
      <c r="S25" s="166" t="str">
        <f t="shared" si="4"/>
        <v xml:space="preserve"> 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>S</v>
      </c>
      <c r="BG25" s="166" t="str">
        <f t="shared" si="5"/>
        <v>S</v>
      </c>
      <c r="BH25" s="166" t="str">
        <f t="shared" si="5"/>
        <v>S</v>
      </c>
      <c r="BI25" s="166" t="str">
        <f t="shared" si="5"/>
        <v>S</v>
      </c>
      <c r="BJ25" s="166" t="str">
        <f t="shared" si="5"/>
        <v>X</v>
      </c>
      <c r="BK25" s="166" t="str">
        <f t="shared" si="5"/>
        <v>R</v>
      </c>
      <c r="BL25" s="166" t="str">
        <f t="shared" si="5"/>
        <v>X</v>
      </c>
      <c r="BM25" s="166" t="str">
        <f t="shared" si="5"/>
        <v>S</v>
      </c>
      <c r="BN25" s="166" t="str">
        <f t="shared" si="5"/>
        <v>S</v>
      </c>
      <c r="BO25" s="166" t="str">
        <f t="shared" si="5"/>
        <v>R</v>
      </c>
      <c r="BP25" s="166" t="str">
        <f t="shared" si="5"/>
        <v xml:space="preserve"> </v>
      </c>
      <c r="BQ25" s="166" t="str">
        <f t="shared" si="5"/>
        <v xml:space="preserve"> </v>
      </c>
      <c r="BR25" s="166" t="str">
        <f t="shared" si="5"/>
        <v xml:space="preserve"> </v>
      </c>
      <c r="BS25" s="166" t="str">
        <f t="shared" si="5"/>
        <v xml:space="preserve"> </v>
      </c>
      <c r="BT25" s="166" t="str">
        <f t="shared" si="5"/>
        <v xml:space="preserve"> </v>
      </c>
      <c r="BU25" s="166" t="str">
        <f t="shared" si="5"/>
        <v xml:space="preserve"> </v>
      </c>
      <c r="BV25" s="166" t="str">
        <f t="shared" si="5"/>
        <v xml:space="preserve"> 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5" x14ac:dyDescent="0.35">
      <c r="A26" s="707"/>
      <c r="B26" s="726">
        <v>4</v>
      </c>
      <c r="C26" s="727" t="str">
        <f t="shared" ref="C26:AJ26" si="6">IF(C105&lt;&gt;"",C105,"")</f>
        <v>S</v>
      </c>
      <c r="D26" s="166" t="str">
        <f t="shared" si="6"/>
        <v>S</v>
      </c>
      <c r="E26" s="166" t="str">
        <f t="shared" si="6"/>
        <v>X</v>
      </c>
      <c r="F26" s="166" t="str">
        <f t="shared" si="6"/>
        <v>R</v>
      </c>
      <c r="G26" s="166" t="str">
        <f t="shared" si="6"/>
        <v>X</v>
      </c>
      <c r="H26" s="166" t="str">
        <f t="shared" si="6"/>
        <v>X</v>
      </c>
      <c r="I26" s="166" t="str">
        <f t="shared" si="6"/>
        <v>S</v>
      </c>
      <c r="J26" s="166" t="str">
        <f t="shared" si="6"/>
        <v>S</v>
      </c>
      <c r="K26" s="166" t="str">
        <f t="shared" si="6"/>
        <v>S</v>
      </c>
      <c r="L26" s="166" t="str">
        <f t="shared" si="6"/>
        <v>R</v>
      </c>
      <c r="M26" s="166" t="str">
        <f t="shared" si="6"/>
        <v xml:space="preserve"> </v>
      </c>
      <c r="N26" s="166" t="str">
        <f t="shared" si="6"/>
        <v xml:space="preserve"> </v>
      </c>
      <c r="O26" s="166" t="str">
        <f t="shared" si="6"/>
        <v xml:space="preserve"> </v>
      </c>
      <c r="P26" s="166" t="str">
        <f t="shared" si="6"/>
        <v xml:space="preserve"> </v>
      </c>
      <c r="Q26" s="166" t="str">
        <f t="shared" si="6"/>
        <v xml:space="preserve"> </v>
      </c>
      <c r="R26" s="166" t="str">
        <f t="shared" si="6"/>
        <v xml:space="preserve"> </v>
      </c>
      <c r="S26" s="166" t="str">
        <f t="shared" si="6"/>
        <v xml:space="preserve"> </v>
      </c>
      <c r="T26" s="166" t="str">
        <f t="shared" si="6"/>
        <v xml:space="preserve"> </v>
      </c>
      <c r="U26" s="166" t="str">
        <f t="shared" si="6"/>
        <v xml:space="preserve"> </v>
      </c>
      <c r="V26" s="166" t="str">
        <f t="shared" si="6"/>
        <v xml:space="preserve"> </v>
      </c>
      <c r="W26" s="166" t="str">
        <f t="shared" si="6"/>
        <v xml:space="preserve"> </v>
      </c>
      <c r="X26" s="166" t="str">
        <f t="shared" si="6"/>
        <v xml:space="preserve"> 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>S</v>
      </c>
      <c r="BG26" s="166" t="str">
        <f t="shared" si="7"/>
        <v>S</v>
      </c>
      <c r="BH26" s="166" t="str">
        <f t="shared" si="7"/>
        <v>X</v>
      </c>
      <c r="BI26" s="166" t="str">
        <f t="shared" si="7"/>
        <v>R</v>
      </c>
      <c r="BJ26" s="166" t="str">
        <f t="shared" si="7"/>
        <v>X</v>
      </c>
      <c r="BK26" s="166" t="str">
        <f t="shared" si="7"/>
        <v>X</v>
      </c>
      <c r="BL26" s="166" t="str">
        <f t="shared" si="7"/>
        <v>S</v>
      </c>
      <c r="BM26" s="166" t="str">
        <f t="shared" si="7"/>
        <v>S</v>
      </c>
      <c r="BN26" s="166" t="str">
        <f t="shared" si="7"/>
        <v>S</v>
      </c>
      <c r="BO26" s="166" t="str">
        <f t="shared" si="7"/>
        <v>R</v>
      </c>
      <c r="BP26" s="166" t="str">
        <f t="shared" si="7"/>
        <v xml:space="preserve"> </v>
      </c>
      <c r="BQ26" s="166" t="str">
        <f t="shared" si="7"/>
        <v xml:space="preserve"> </v>
      </c>
      <c r="BR26" s="166" t="str">
        <f t="shared" si="7"/>
        <v xml:space="preserve"> </v>
      </c>
      <c r="BS26" s="166" t="str">
        <f t="shared" si="7"/>
        <v xml:space="preserve"> </v>
      </c>
      <c r="BT26" s="166" t="str">
        <f t="shared" si="7"/>
        <v xml:space="preserve"> </v>
      </c>
      <c r="BU26" s="166" t="str">
        <f t="shared" si="7"/>
        <v xml:space="preserve"> </v>
      </c>
      <c r="BV26" s="166" t="str">
        <f t="shared" si="7"/>
        <v xml:space="preserve"> </v>
      </c>
      <c r="BW26" s="166" t="str">
        <f t="shared" si="7"/>
        <v xml:space="preserve"> </v>
      </c>
      <c r="BX26" s="166" t="str">
        <f t="shared" si="7"/>
        <v xml:space="preserve"> </v>
      </c>
      <c r="BY26" s="166" t="str">
        <f t="shared" si="7"/>
        <v xml:space="preserve"> </v>
      </c>
      <c r="BZ26" s="166" t="str">
        <f t="shared" si="7"/>
        <v xml:space="preserve"> </v>
      </c>
      <c r="CA26" s="166" t="str">
        <f t="shared" si="7"/>
        <v xml:space="preserve"> 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5" x14ac:dyDescent="0.35">
      <c r="A27" s="707"/>
      <c r="B27" s="726">
        <v>5</v>
      </c>
      <c r="C27" s="727" t="str">
        <f t="shared" ref="C27:AJ27" si="8">IF(C106&lt;&gt;"",C106,"")</f>
        <v>S</v>
      </c>
      <c r="D27" s="166" t="str">
        <f t="shared" si="8"/>
        <v>S</v>
      </c>
      <c r="E27" s="166" t="str">
        <f t="shared" si="8"/>
        <v>S</v>
      </c>
      <c r="F27" s="166" t="str">
        <f t="shared" si="8"/>
        <v>S</v>
      </c>
      <c r="G27" s="166" t="str">
        <f t="shared" si="8"/>
        <v>S</v>
      </c>
      <c r="H27" s="166" t="str">
        <f t="shared" si="8"/>
        <v>X</v>
      </c>
      <c r="I27" s="166" t="str">
        <f t="shared" si="8"/>
        <v>R</v>
      </c>
      <c r="J27" s="166" t="str">
        <f t="shared" si="8"/>
        <v>X</v>
      </c>
      <c r="K27" s="166" t="str">
        <f t="shared" si="8"/>
        <v>S</v>
      </c>
      <c r="L27" s="166" t="str">
        <f t="shared" si="8"/>
        <v>S</v>
      </c>
      <c r="M27" s="166" t="str">
        <f t="shared" si="8"/>
        <v>X</v>
      </c>
      <c r="N27" s="166" t="str">
        <f t="shared" si="8"/>
        <v>R</v>
      </c>
      <c r="O27" s="166" t="str">
        <f t="shared" si="8"/>
        <v xml:space="preserve"> </v>
      </c>
      <c r="P27" s="166" t="str">
        <f t="shared" si="8"/>
        <v xml:space="preserve"> </v>
      </c>
      <c r="Q27" s="166" t="str">
        <f t="shared" si="8"/>
        <v xml:space="preserve"> </v>
      </c>
      <c r="R27" s="166" t="str">
        <f t="shared" si="8"/>
        <v xml:space="preserve"> </v>
      </c>
      <c r="S27" s="166" t="str">
        <f t="shared" si="8"/>
        <v xml:space="preserve"> </v>
      </c>
      <c r="T27" s="166" t="str">
        <f t="shared" si="8"/>
        <v xml:space="preserve"> 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>S</v>
      </c>
      <c r="BG27" s="166" t="str">
        <f t="shared" si="9"/>
        <v>S</v>
      </c>
      <c r="BH27" s="166" t="str">
        <f t="shared" si="9"/>
        <v>S</v>
      </c>
      <c r="BI27" s="166" t="str">
        <f t="shared" si="9"/>
        <v>S</v>
      </c>
      <c r="BJ27" s="166" t="str">
        <f t="shared" si="9"/>
        <v>S</v>
      </c>
      <c r="BK27" s="166" t="str">
        <f t="shared" si="9"/>
        <v>X</v>
      </c>
      <c r="BL27" s="166" t="str">
        <f t="shared" si="9"/>
        <v>R</v>
      </c>
      <c r="BM27" s="166" t="str">
        <f t="shared" si="9"/>
        <v>X</v>
      </c>
      <c r="BN27" s="166" t="str">
        <f t="shared" si="9"/>
        <v>S</v>
      </c>
      <c r="BO27" s="166" t="str">
        <f t="shared" si="9"/>
        <v>S</v>
      </c>
      <c r="BP27" s="166" t="str">
        <f t="shared" si="9"/>
        <v>X</v>
      </c>
      <c r="BQ27" s="166" t="str">
        <f t="shared" si="9"/>
        <v>R</v>
      </c>
      <c r="BR27" s="166" t="str">
        <f t="shared" si="9"/>
        <v xml:space="preserve"> </v>
      </c>
      <c r="BS27" s="166" t="str">
        <f t="shared" si="9"/>
        <v xml:space="preserve"> </v>
      </c>
      <c r="BT27" s="166" t="str">
        <f t="shared" si="9"/>
        <v xml:space="preserve"> </v>
      </c>
      <c r="BU27" s="166" t="str">
        <f t="shared" si="9"/>
        <v xml:space="preserve"> </v>
      </c>
      <c r="BV27" s="166" t="str">
        <f t="shared" si="9"/>
        <v xml:space="preserve"> </v>
      </c>
      <c r="BW27" s="166" t="str">
        <f t="shared" si="9"/>
        <v xml:space="preserve"> 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5" x14ac:dyDescent="0.35">
      <c r="A28" s="707"/>
      <c r="B28" s="726">
        <v>6</v>
      </c>
      <c r="C28" s="727" t="str">
        <f t="shared" ref="C28:AJ28" si="10">IF(C107&lt;&gt;"",C107,"")</f>
        <v>S</v>
      </c>
      <c r="D28" s="166" t="str">
        <f t="shared" si="10"/>
        <v>X</v>
      </c>
      <c r="E28" s="166" t="str">
        <f t="shared" si="10"/>
        <v>S</v>
      </c>
      <c r="F28" s="166" t="str">
        <f t="shared" si="10"/>
        <v>X</v>
      </c>
      <c r="G28" s="166" t="str">
        <f t="shared" si="10"/>
        <v>X</v>
      </c>
      <c r="H28" s="166" t="str">
        <f t="shared" si="10"/>
        <v>S</v>
      </c>
      <c r="I28" s="166" t="str">
        <f t="shared" si="10"/>
        <v>S</v>
      </c>
      <c r="J28" s="166" t="str">
        <f t="shared" si="10"/>
        <v>S</v>
      </c>
      <c r="K28" s="166" t="str">
        <f t="shared" si="10"/>
        <v>R</v>
      </c>
      <c r="L28" s="166" t="str">
        <f t="shared" si="10"/>
        <v xml:space="preserve"> </v>
      </c>
      <c r="M28" s="166" t="str">
        <f t="shared" si="10"/>
        <v xml:space="preserve"> </v>
      </c>
      <c r="N28" s="166" t="str">
        <f t="shared" si="10"/>
        <v xml:space="preserve"> </v>
      </c>
      <c r="O28" s="166" t="str">
        <f t="shared" si="10"/>
        <v xml:space="preserve"> </v>
      </c>
      <c r="P28" s="166" t="str">
        <f t="shared" si="10"/>
        <v xml:space="preserve"> </v>
      </c>
      <c r="Q28" s="166" t="str">
        <f t="shared" si="10"/>
        <v xml:space="preserve"> </v>
      </c>
      <c r="R28" s="166" t="str">
        <f t="shared" si="10"/>
        <v xml:space="preserve"> </v>
      </c>
      <c r="S28" s="166" t="str">
        <f t="shared" si="10"/>
        <v xml:space="preserve"> </v>
      </c>
      <c r="T28" s="166" t="str">
        <f t="shared" si="10"/>
        <v xml:space="preserve"> </v>
      </c>
      <c r="U28" s="166" t="str">
        <f t="shared" si="10"/>
        <v xml:space="preserve"> </v>
      </c>
      <c r="V28" s="166" t="str">
        <f t="shared" si="10"/>
        <v xml:space="preserve"> </v>
      </c>
      <c r="W28" s="166" t="str">
        <f t="shared" si="10"/>
        <v xml:space="preserve"> </v>
      </c>
      <c r="X28" s="166" t="str">
        <f t="shared" si="10"/>
        <v xml:space="preserve"> </v>
      </c>
      <c r="Y28" s="166" t="str">
        <f t="shared" si="10"/>
        <v xml:space="preserve"> 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>S</v>
      </c>
      <c r="BG28" s="166" t="str">
        <f t="shared" si="11"/>
        <v>X</v>
      </c>
      <c r="BH28" s="166" t="str">
        <f t="shared" si="11"/>
        <v>S</v>
      </c>
      <c r="BI28" s="166" t="str">
        <f t="shared" si="11"/>
        <v>X</v>
      </c>
      <c r="BJ28" s="166" t="str">
        <f t="shared" si="11"/>
        <v>X</v>
      </c>
      <c r="BK28" s="166" t="str">
        <f t="shared" si="11"/>
        <v>S</v>
      </c>
      <c r="BL28" s="166" t="str">
        <f t="shared" si="11"/>
        <v>S</v>
      </c>
      <c r="BM28" s="166" t="str">
        <f t="shared" si="11"/>
        <v>S</v>
      </c>
      <c r="BN28" s="166" t="str">
        <f t="shared" si="11"/>
        <v>R</v>
      </c>
      <c r="BO28" s="166" t="str">
        <f t="shared" si="11"/>
        <v xml:space="preserve"> </v>
      </c>
      <c r="BP28" s="166" t="str">
        <f t="shared" si="11"/>
        <v xml:space="preserve"> </v>
      </c>
      <c r="BQ28" s="166" t="str">
        <f t="shared" si="11"/>
        <v xml:space="preserve"> </v>
      </c>
      <c r="BR28" s="166" t="str">
        <f t="shared" si="11"/>
        <v xml:space="preserve"> </v>
      </c>
      <c r="BS28" s="166" t="str">
        <f t="shared" si="11"/>
        <v xml:space="preserve"> </v>
      </c>
      <c r="BT28" s="166" t="str">
        <f t="shared" si="11"/>
        <v xml:space="preserve"> </v>
      </c>
      <c r="BU28" s="166" t="str">
        <f t="shared" si="11"/>
        <v xml:space="preserve"> </v>
      </c>
      <c r="BV28" s="166" t="str">
        <f t="shared" si="11"/>
        <v xml:space="preserve"> </v>
      </c>
      <c r="BW28" s="166" t="str">
        <f t="shared" si="11"/>
        <v xml:space="preserve"> </v>
      </c>
      <c r="BX28" s="166" t="str">
        <f t="shared" si="11"/>
        <v xml:space="preserve"> </v>
      </c>
      <c r="BY28" s="166" t="str">
        <f t="shared" si="11"/>
        <v xml:space="preserve"> </v>
      </c>
      <c r="BZ28" s="166" t="str">
        <f t="shared" si="11"/>
        <v xml:space="preserve"> </v>
      </c>
      <c r="CA28" s="166" t="str">
        <f t="shared" si="11"/>
        <v xml:space="preserve"> </v>
      </c>
      <c r="CB28" s="166" t="str">
        <f t="shared" si="11"/>
        <v xml:space="preserve"> 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5" x14ac:dyDescent="0.35">
      <c r="A29" s="707"/>
      <c r="B29" s="726">
        <v>7</v>
      </c>
      <c r="C29" s="727" t="str">
        <f t="shared" ref="C29:AJ29" si="12">IF(C108&lt;&gt;"",C108,"")</f>
        <v xml:space="preserve"> </v>
      </c>
      <c r="D29" s="166" t="str">
        <f t="shared" si="12"/>
        <v xml:space="preserve"> </v>
      </c>
      <c r="E29" s="166" t="str">
        <f t="shared" si="12"/>
        <v xml:space="preserve"> </v>
      </c>
      <c r="F29" s="166" t="str">
        <f t="shared" si="12"/>
        <v xml:space="preserve"> </v>
      </c>
      <c r="G29" s="166" t="str">
        <f t="shared" si="12"/>
        <v xml:space="preserve"> </v>
      </c>
      <c r="H29" s="166" t="str">
        <f t="shared" si="12"/>
        <v xml:space="preserve"> </v>
      </c>
      <c r="I29" s="166" t="str">
        <f t="shared" si="12"/>
        <v xml:space="preserve"> </v>
      </c>
      <c r="J29" s="166" t="str">
        <f t="shared" si="12"/>
        <v xml:space="preserve"> </v>
      </c>
      <c r="K29" s="166" t="str">
        <f t="shared" si="12"/>
        <v xml:space="preserve"> </v>
      </c>
      <c r="L29" s="166" t="str">
        <f t="shared" si="12"/>
        <v xml:space="preserve"> </v>
      </c>
      <c r="M29" s="166" t="str">
        <f t="shared" si="12"/>
        <v xml:space="preserve"> </v>
      </c>
      <c r="N29" s="166" t="str">
        <f t="shared" si="12"/>
        <v xml:space="preserve"> </v>
      </c>
      <c r="O29" s="166" t="str">
        <f t="shared" si="12"/>
        <v xml:space="preserve"> </v>
      </c>
      <c r="P29" s="166" t="str">
        <f t="shared" si="12"/>
        <v xml:space="preserve"> </v>
      </c>
      <c r="Q29" s="166" t="str">
        <f t="shared" si="12"/>
        <v xml:space="preserve"> </v>
      </c>
      <c r="R29" s="166" t="str">
        <f t="shared" si="12"/>
        <v xml:space="preserve"> </v>
      </c>
      <c r="S29" s="166" t="str">
        <f t="shared" si="12"/>
        <v xml:space="preserve"> 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 xml:space="preserve"> </v>
      </c>
      <c r="BG29" s="166" t="str">
        <f t="shared" si="13"/>
        <v xml:space="preserve"> </v>
      </c>
      <c r="BH29" s="166" t="str">
        <f t="shared" si="13"/>
        <v xml:space="preserve"> </v>
      </c>
      <c r="BI29" s="166" t="str">
        <f t="shared" si="13"/>
        <v xml:space="preserve"> </v>
      </c>
      <c r="BJ29" s="166" t="str">
        <f t="shared" si="13"/>
        <v xml:space="preserve"> </v>
      </c>
      <c r="BK29" s="166" t="str">
        <f t="shared" si="13"/>
        <v xml:space="preserve"> </v>
      </c>
      <c r="BL29" s="166" t="str">
        <f t="shared" si="13"/>
        <v xml:space="preserve"> </v>
      </c>
      <c r="BM29" s="166" t="str">
        <f t="shared" si="13"/>
        <v xml:space="preserve"> </v>
      </c>
      <c r="BN29" s="166" t="str">
        <f t="shared" si="13"/>
        <v xml:space="preserve"> </v>
      </c>
      <c r="BO29" s="166" t="str">
        <f t="shared" si="13"/>
        <v xml:space="preserve"> </v>
      </c>
      <c r="BP29" s="166" t="str">
        <f t="shared" si="13"/>
        <v xml:space="preserve"> </v>
      </c>
      <c r="BQ29" s="166" t="str">
        <f t="shared" si="13"/>
        <v xml:space="preserve"> </v>
      </c>
      <c r="BR29" s="166" t="str">
        <f t="shared" si="13"/>
        <v xml:space="preserve"> </v>
      </c>
      <c r="BS29" s="166" t="str">
        <f t="shared" si="13"/>
        <v xml:space="preserve"> </v>
      </c>
      <c r="BT29" s="166" t="str">
        <f t="shared" si="13"/>
        <v xml:space="preserve"> </v>
      </c>
      <c r="BU29" s="166" t="str">
        <f t="shared" si="13"/>
        <v xml:space="preserve"> </v>
      </c>
      <c r="BV29" s="166" t="str">
        <f t="shared" si="13"/>
        <v xml:space="preserve"> 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5" x14ac:dyDescent="0.35">
      <c r="A30" s="707"/>
      <c r="B30" s="726">
        <v>8</v>
      </c>
      <c r="C30" s="727" t="str">
        <f t="shared" ref="C30:AJ30" si="14">IF(C109&lt;&gt;"",C109,"")</f>
        <v xml:space="preserve"> </v>
      </c>
      <c r="D30" s="166" t="str">
        <f t="shared" si="14"/>
        <v xml:space="preserve"> </v>
      </c>
      <c r="E30" s="166" t="str">
        <f t="shared" si="14"/>
        <v xml:space="preserve"> </v>
      </c>
      <c r="F30" s="166" t="str">
        <f t="shared" si="14"/>
        <v xml:space="preserve"> </v>
      </c>
      <c r="G30" s="166" t="str">
        <f t="shared" si="14"/>
        <v xml:space="preserve"> </v>
      </c>
      <c r="H30" s="166" t="str">
        <f t="shared" si="14"/>
        <v xml:space="preserve"> </v>
      </c>
      <c r="I30" s="166" t="str">
        <f t="shared" si="14"/>
        <v xml:space="preserve"> </v>
      </c>
      <c r="J30" s="166" t="str">
        <f t="shared" si="14"/>
        <v xml:space="preserve"> </v>
      </c>
      <c r="K30" s="166" t="str">
        <f t="shared" si="14"/>
        <v xml:space="preserve"> </v>
      </c>
      <c r="L30" s="166" t="str">
        <f t="shared" si="14"/>
        <v xml:space="preserve"> </v>
      </c>
      <c r="M30" s="166" t="str">
        <f t="shared" si="14"/>
        <v xml:space="preserve"> </v>
      </c>
      <c r="N30" s="166" t="str">
        <f t="shared" si="14"/>
        <v xml:space="preserve"> </v>
      </c>
      <c r="O30" s="166" t="str">
        <f t="shared" si="14"/>
        <v xml:space="preserve"> </v>
      </c>
      <c r="P30" s="166" t="str">
        <f t="shared" si="14"/>
        <v xml:space="preserve"> </v>
      </c>
      <c r="Q30" s="166" t="str">
        <f t="shared" si="14"/>
        <v xml:space="preserve"> </v>
      </c>
      <c r="R30" s="166" t="str">
        <f t="shared" si="14"/>
        <v xml:space="preserve"> </v>
      </c>
      <c r="S30" s="166" t="str">
        <f t="shared" si="14"/>
        <v xml:space="preserve"> 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 xml:space="preserve"> </v>
      </c>
      <c r="BG30" s="166" t="str">
        <f t="shared" si="15"/>
        <v xml:space="preserve"> </v>
      </c>
      <c r="BH30" s="166" t="str">
        <f t="shared" si="15"/>
        <v xml:space="preserve"> </v>
      </c>
      <c r="BI30" s="166" t="str">
        <f t="shared" si="15"/>
        <v xml:space="preserve"> </v>
      </c>
      <c r="BJ30" s="166" t="str">
        <f t="shared" si="15"/>
        <v xml:space="preserve"> </v>
      </c>
      <c r="BK30" s="166" t="str">
        <f t="shared" si="15"/>
        <v xml:space="preserve"> </v>
      </c>
      <c r="BL30" s="166" t="str">
        <f t="shared" si="15"/>
        <v xml:space="preserve"> </v>
      </c>
      <c r="BM30" s="166" t="str">
        <f t="shared" si="15"/>
        <v xml:space="preserve"> </v>
      </c>
      <c r="BN30" s="166" t="str">
        <f t="shared" si="15"/>
        <v xml:space="preserve"> </v>
      </c>
      <c r="BO30" s="166" t="str">
        <f t="shared" si="15"/>
        <v xml:space="preserve"> </v>
      </c>
      <c r="BP30" s="166" t="str">
        <f t="shared" si="15"/>
        <v xml:space="preserve"> </v>
      </c>
      <c r="BQ30" s="166" t="str">
        <f t="shared" si="15"/>
        <v xml:space="preserve"> </v>
      </c>
      <c r="BR30" s="166" t="str">
        <f t="shared" si="15"/>
        <v xml:space="preserve"> </v>
      </c>
      <c r="BS30" s="166" t="str">
        <f t="shared" si="15"/>
        <v xml:space="preserve"> </v>
      </c>
      <c r="BT30" s="166" t="str">
        <f t="shared" si="15"/>
        <v xml:space="preserve"> </v>
      </c>
      <c r="BU30" s="166" t="str">
        <f t="shared" si="15"/>
        <v xml:space="preserve"> </v>
      </c>
      <c r="BV30" s="166" t="str">
        <f t="shared" si="15"/>
        <v xml:space="preserve"> 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5" x14ac:dyDescent="0.3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5" x14ac:dyDescent="0.3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5" x14ac:dyDescent="0.3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" thickBot="1" x14ac:dyDescent="0.4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3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3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3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4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" thickBot="1" x14ac:dyDescent="0.4">
      <c r="A40" s="691"/>
      <c r="B40" s="735"/>
      <c r="C40" s="1279"/>
      <c r="D40" s="1280"/>
      <c r="E40" s="1280"/>
      <c r="F40" s="1280"/>
      <c r="G40" s="1280"/>
      <c r="H40" s="1280"/>
      <c r="I40" s="1280"/>
      <c r="J40" s="1280"/>
      <c r="K40" s="1280"/>
      <c r="L40" s="1280"/>
      <c r="M40" s="1280"/>
      <c r="N40" s="1280"/>
      <c r="O40" s="1280"/>
      <c r="P40" s="1280"/>
      <c r="Q40" s="1280"/>
      <c r="R40" s="1280"/>
      <c r="S40" s="1280"/>
      <c r="T40" s="1280"/>
      <c r="U40" s="1280"/>
      <c r="V40" s="1280"/>
      <c r="W40" s="1280"/>
      <c r="X40" s="1280"/>
      <c r="Y40" s="1280"/>
      <c r="Z40" s="1280"/>
      <c r="AA40" s="1280"/>
      <c r="AB40" s="1280"/>
      <c r="AC40" s="1280"/>
      <c r="AD40" s="1280"/>
      <c r="AE40" s="1280"/>
      <c r="AF40" s="1280"/>
      <c r="AG40" s="1280"/>
      <c r="AH40" s="1280"/>
      <c r="AI40" s="1280"/>
      <c r="AJ40" s="1280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" thickBot="1" x14ac:dyDescent="0.4">
      <c r="A41" s="697"/>
      <c r="B41" s="733"/>
      <c r="C41" s="699">
        <f>IF(Data!$BQ$44&lt;&gt;0,1,0)</f>
        <v>1</v>
      </c>
      <c r="D41" s="700">
        <f>IF(Data!$BQ$44&lt;&gt;0,IF(AND(C41&lt;&gt;0,Data!$BQ$44&gt;C41),C41+1,0),0)</f>
        <v>2</v>
      </c>
      <c r="E41" s="700">
        <f>IF(Data!$BQ$44&lt;&gt;0,IF(AND(D41&lt;&gt;0,Data!$BQ$44&gt;D41),D41+1,0),0)</f>
        <v>3</v>
      </c>
      <c r="F41" s="700">
        <f>IF(Data!$BQ$44&lt;&gt;0,IF(AND(E41&lt;&gt;0,Data!$BQ$44&gt;E41),E41+1,0),0)</f>
        <v>4</v>
      </c>
      <c r="G41" s="700">
        <f>IF(Data!$BQ$44&lt;&gt;0,IF(AND(F41&lt;&gt;0,Data!$BQ$44&gt;F41),F41+1,0),0)</f>
        <v>5</v>
      </c>
      <c r="H41" s="700">
        <f>IF(Data!$BQ$44&lt;&gt;0,IF(AND(G41&lt;&gt;0,Data!$BQ$44&gt;G41),G41+1,0),0)</f>
        <v>6</v>
      </c>
      <c r="I41" s="700">
        <f>IF(Data!$BQ$44&lt;&gt;0,IF(AND(H41&lt;&gt;0,Data!$BQ$44&gt;H41),H41+1,0),0)</f>
        <v>7</v>
      </c>
      <c r="J41" s="700">
        <f>IF(Data!$BQ$44&lt;&gt;0,IF(AND(I41&lt;&gt;0,Data!$BQ$44&gt;I41),I41+1,0),0)</f>
        <v>8</v>
      </c>
      <c r="K41" s="700">
        <f>IF(Data!$BQ$44&lt;&gt;0,IF(AND(J41&lt;&gt;0,Data!$BQ$44&gt;J41),J41+1,0),0)</f>
        <v>9</v>
      </c>
      <c r="L41" s="700">
        <f>IF(Data!$BQ$44&lt;&gt;0,IF(AND(K41&lt;&gt;0,Data!$BQ$44&gt;K41),K41+1,0),0)</f>
        <v>10</v>
      </c>
      <c r="M41" s="700">
        <f>IF(Data!$BQ$44&lt;&gt;0,IF(AND(L41&lt;&gt;0,Data!$BQ$44&gt;L41),L41+1,0),0)</f>
        <v>11</v>
      </c>
      <c r="N41" s="700">
        <f>IF(Data!$BQ$44&lt;&gt;0,IF(AND(M41&lt;&gt;0,Data!$BQ$44&gt;M41),M41+1,0),0)</f>
        <v>12</v>
      </c>
      <c r="O41" s="700">
        <f>IF(Data!$BQ$44&lt;&gt;0,IF(AND(N41&lt;&gt;0,Data!$BQ$44&gt;N41),N41+1,0),0)</f>
        <v>0</v>
      </c>
      <c r="P41" s="700">
        <f>IF(Data!$BQ$44&lt;&gt;0,IF(AND(O41&lt;&gt;0,Data!$BQ$44&gt;O41),O41+1,0),0)</f>
        <v>0</v>
      </c>
      <c r="Q41" s="700">
        <f>IF(Data!$BQ$44&lt;&gt;0,IF(AND(P41&lt;&gt;0,Data!$BQ$44&gt;P41),P41+1,0),0)</f>
        <v>0</v>
      </c>
      <c r="R41" s="700">
        <f>IF(Data!$BQ$44&lt;&gt;0,IF(AND(Q41&lt;&gt;0,Data!$BQ$44&gt;Q41),Q41+1,0),0)</f>
        <v>0</v>
      </c>
      <c r="S41" s="700">
        <f>IF(Data!$BQ$44&lt;&gt;0,IF(AND(R41&lt;&gt;0,Data!$BQ$44&gt;R41),R41+1,0),0)</f>
        <v>0</v>
      </c>
      <c r="T41" s="700">
        <f>IF(Data!$BQ$44&lt;&gt;0,IF(AND(S41&lt;&gt;0,Data!$BQ$44&gt;S41),S41+1,0),0)</f>
        <v>0</v>
      </c>
      <c r="U41" s="700">
        <f>IF(Data!$BQ$44&lt;&gt;0,IF(AND(T41&lt;&gt;0,Data!$BQ$44&gt;T41),T41+1,0),0)</f>
        <v>0</v>
      </c>
      <c r="V41" s="700">
        <f>IF(Data!$BQ$44&lt;&gt;0,IF(AND(U41&lt;&gt;0,Data!$BQ$44&gt;U41),U41+1,0),0)</f>
        <v>0</v>
      </c>
      <c r="W41" s="700">
        <f>IF(Data!$BQ$44&lt;&gt;0,IF(AND(V41&lt;&gt;0,Data!$BQ$44&gt;V41),V41+1,0),0)</f>
        <v>0</v>
      </c>
      <c r="X41" s="700">
        <f>IF(Data!$BQ$44&lt;&gt;0,IF(AND(W41&lt;&gt;0,Data!$BQ$44&gt;W41),W41+1,0),0)</f>
        <v>0</v>
      </c>
      <c r="Y41" s="700">
        <f>IF(Data!$BQ$44&lt;&gt;0,IF(AND(X41&lt;&gt;0,Data!$BQ$44&gt;X41),X41+1,0),0)</f>
        <v>0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1</v>
      </c>
      <c r="BG41" s="35">
        <f>IF(Data!$BQ$44&lt;&gt;0,IF(AND(BF41&lt;&gt;0,Data!$BQ$44&gt;BF41),BF41+1,0),0)</f>
        <v>2</v>
      </c>
      <c r="BH41" s="35">
        <f>IF(Data!$BQ$44&lt;&gt;0,IF(AND(BG41&lt;&gt;0,Data!$BQ$44&gt;BG41),BG41+1,0),0)</f>
        <v>3</v>
      </c>
      <c r="BI41" s="35">
        <f>IF(Data!$BQ$44&lt;&gt;0,IF(AND(BH41&lt;&gt;0,Data!$BQ$44&gt;BH41),BH41+1,0),0)</f>
        <v>4</v>
      </c>
      <c r="BJ41" s="35">
        <f>IF(Data!$BQ$44&lt;&gt;0,IF(AND(BI41&lt;&gt;0,Data!$BQ$44&gt;BI41),BI41+1,0),0)</f>
        <v>5</v>
      </c>
      <c r="BK41" s="35">
        <f>IF(Data!$BQ$44&lt;&gt;0,IF(AND(BJ41&lt;&gt;0,Data!$BQ$44&gt;BJ41),BJ41+1,0),0)</f>
        <v>6</v>
      </c>
      <c r="BL41" s="35">
        <f>IF(Data!$BQ$44&lt;&gt;0,IF(AND(BK41&lt;&gt;0,Data!$BQ$44&gt;BK41),BK41+1,0),0)</f>
        <v>7</v>
      </c>
      <c r="BM41" s="35">
        <f>IF(Data!$BQ$44&lt;&gt;0,IF(AND(BL41&lt;&gt;0,Data!$BQ$44&gt;BL41),BL41+1,0),0)</f>
        <v>8</v>
      </c>
      <c r="BN41" s="35">
        <f>IF(Data!$BQ$44&lt;&gt;0,IF(AND(BM41&lt;&gt;0,Data!$BQ$44&gt;BM41),BM41+1,0),0)</f>
        <v>9</v>
      </c>
      <c r="BO41" s="35">
        <f>IF(Data!$BQ$44&lt;&gt;0,IF(AND(BN41&lt;&gt;0,Data!$BQ$44&gt;BN41),BN41+1,0),0)</f>
        <v>10</v>
      </c>
      <c r="BP41" s="35">
        <f>IF(Data!$BQ$44&lt;&gt;0,IF(AND(BO41&lt;&gt;0,Data!$BQ$44&gt;BO41),BO41+1,0),0)</f>
        <v>11</v>
      </c>
      <c r="BQ41" s="35">
        <f>IF(Data!$BQ$44&lt;&gt;0,IF(AND(BP41&lt;&gt;0,Data!$BQ$44&gt;BP41),BP41+1,0),0)</f>
        <v>12</v>
      </c>
      <c r="BR41" s="35">
        <f>IF(Data!$BQ$44&lt;&gt;0,IF(AND(BQ41&lt;&gt;0,Data!$BQ$44&gt;BQ41),BQ41+1,0),0)</f>
        <v>0</v>
      </c>
      <c r="BS41" s="35">
        <f>IF(Data!$BQ$44&lt;&gt;0,IF(AND(BR41&lt;&gt;0,Data!$BQ$44&gt;BR41),BR41+1,0),0)</f>
        <v>0</v>
      </c>
      <c r="BT41" s="35">
        <f>IF(Data!$BQ$44&lt;&gt;0,IF(AND(BS41&lt;&gt;0,Data!$BQ$44&gt;BS41),BS41+1,0),0)</f>
        <v>0</v>
      </c>
      <c r="BU41" s="35">
        <f>IF(Data!$BQ$44&lt;&gt;0,IF(AND(BT41&lt;&gt;0,Data!$BQ$44&gt;BT41),BT41+1,0),0)</f>
        <v>0</v>
      </c>
      <c r="BV41" s="35">
        <f>IF(Data!$BQ$44&lt;&gt;0,IF(AND(BU41&lt;&gt;0,Data!$BQ$44&gt;BU41),BU41+1,0),0)</f>
        <v>0</v>
      </c>
      <c r="BW41" s="35">
        <f>IF(Data!$BQ$44&lt;&gt;0,IF(AND(BV41&lt;&gt;0,Data!$BQ$44&gt;BV41),BV41+1,0),0)</f>
        <v>0</v>
      </c>
      <c r="BX41" s="35">
        <f>IF(Data!$BQ$44&lt;&gt;0,IF(AND(BW41&lt;&gt;0,Data!$BQ$44&gt;BW41),BW41+1,0),0)</f>
        <v>0</v>
      </c>
      <c r="BY41" s="35">
        <f>IF(Data!$BQ$44&lt;&gt;0,IF(AND(BX41&lt;&gt;0,Data!$BQ$44&gt;BX41),BX41+1,0),0)</f>
        <v>0</v>
      </c>
      <c r="BZ41" s="35">
        <f>IF(Data!$BQ$44&lt;&gt;0,IF(AND(BY41&lt;&gt;0,Data!$BQ$44&gt;BY41),BY41+1,0),0)</f>
        <v>0</v>
      </c>
      <c r="CA41" s="35">
        <f>IF(Data!$BQ$44&lt;&gt;0,IF(AND(BZ41&lt;&gt;0,Data!$BQ$44&gt;BZ41),BZ41+1,0),0)</f>
        <v>0</v>
      </c>
      <c r="CB41" s="35">
        <f>IF(Data!$BQ$44&lt;&gt;0,IF(AND(CA41&lt;&gt;0,Data!$BQ$44&gt;CA41),CA41+1,0),0)</f>
        <v>0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5" x14ac:dyDescent="0.35">
      <c r="A42" s="702"/>
      <c r="B42" s="724">
        <v>1</v>
      </c>
      <c r="C42" s="747" t="str">
        <f>IF(C102&lt;&gt;"",SUBSTITUTE(SUBSTITUTE(SUBSTITUTE(C102,"F","O"),"S","O"),"L","X"),"")</f>
        <v>O</v>
      </c>
      <c r="D42" s="748" t="str">
        <f t="shared" ref="D42:AJ42" si="27">IF(D102&lt;&gt;"",SUBSTITUTE(SUBSTITUTE(SUBSTITUTE(D102,"F","O"),"S","O"),"L","X"),"")</f>
        <v>O</v>
      </c>
      <c r="E42" s="748" t="str">
        <f t="shared" si="27"/>
        <v>O</v>
      </c>
      <c r="F42" s="748" t="str">
        <f t="shared" si="27"/>
        <v>O</v>
      </c>
      <c r="G42" s="748" t="str">
        <f t="shared" si="27"/>
        <v>O</v>
      </c>
      <c r="H42" s="748" t="str">
        <f t="shared" si="27"/>
        <v>X</v>
      </c>
      <c r="I42" s="748" t="str">
        <f t="shared" si="27"/>
        <v>R</v>
      </c>
      <c r="J42" s="748" t="str">
        <f t="shared" si="27"/>
        <v>X</v>
      </c>
      <c r="K42" s="748" t="str">
        <f t="shared" si="27"/>
        <v>O</v>
      </c>
      <c r="L42" s="748" t="str">
        <f t="shared" si="27"/>
        <v>O</v>
      </c>
      <c r="M42" s="748" t="str">
        <f t="shared" si="27"/>
        <v>X</v>
      </c>
      <c r="N42" s="748" t="str">
        <f t="shared" si="27"/>
        <v>X</v>
      </c>
      <c r="O42" s="748" t="str">
        <f t="shared" si="27"/>
        <v xml:space="preserve"> </v>
      </c>
      <c r="P42" s="748" t="str">
        <f t="shared" si="27"/>
        <v xml:space="preserve"> </v>
      </c>
      <c r="Q42" s="748" t="str">
        <f t="shared" si="27"/>
        <v xml:space="preserve"> </v>
      </c>
      <c r="R42" s="748" t="str">
        <f t="shared" si="27"/>
        <v xml:space="preserve"> </v>
      </c>
      <c r="S42" s="748" t="str">
        <f t="shared" si="27"/>
        <v xml:space="preserve"> </v>
      </c>
      <c r="T42" s="748" t="str">
        <f t="shared" si="27"/>
        <v xml:space="preserve"> </v>
      </c>
      <c r="U42" s="748" t="str">
        <f t="shared" si="27"/>
        <v xml:space="preserve"> </v>
      </c>
      <c r="V42" s="748" t="str">
        <f t="shared" si="27"/>
        <v xml:space="preserve"> </v>
      </c>
      <c r="W42" s="748" t="str">
        <f t="shared" si="27"/>
        <v xml:space="preserve"> </v>
      </c>
      <c r="X42" s="748" t="str">
        <f t="shared" si="27"/>
        <v xml:space="preserve"> </v>
      </c>
      <c r="Y42" s="748" t="str">
        <f t="shared" si="27"/>
        <v xml:space="preserve"> 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>O</v>
      </c>
      <c r="BG42" s="705" t="str">
        <f t="shared" ref="BG42:CL42" si="28">IF(BG102&lt;&gt;"",SUBSTITUTE(SUBSTITUTE(SUBSTITUTE(BG102,"F","O"),"S","O"),"L","X"),"")</f>
        <v>O</v>
      </c>
      <c r="BH42" s="705" t="str">
        <f t="shared" si="28"/>
        <v>O</v>
      </c>
      <c r="BI42" s="705" t="str">
        <f t="shared" si="28"/>
        <v>O</v>
      </c>
      <c r="BJ42" s="705" t="str">
        <f t="shared" si="28"/>
        <v>O</v>
      </c>
      <c r="BK42" s="705" t="str">
        <f t="shared" si="28"/>
        <v>X</v>
      </c>
      <c r="BL42" s="705" t="str">
        <f t="shared" si="28"/>
        <v>R</v>
      </c>
      <c r="BM42" s="705" t="str">
        <f t="shared" si="28"/>
        <v>X</v>
      </c>
      <c r="BN42" s="705" t="str">
        <f t="shared" si="28"/>
        <v>O</v>
      </c>
      <c r="BO42" s="705" t="str">
        <f t="shared" si="28"/>
        <v>O</v>
      </c>
      <c r="BP42" s="705" t="str">
        <f t="shared" si="28"/>
        <v>X</v>
      </c>
      <c r="BQ42" s="705" t="str">
        <f t="shared" si="28"/>
        <v>X</v>
      </c>
      <c r="BR42" s="705" t="str">
        <f t="shared" si="28"/>
        <v xml:space="preserve"> </v>
      </c>
      <c r="BS42" s="705" t="str">
        <f t="shared" si="28"/>
        <v xml:space="preserve"> </v>
      </c>
      <c r="BT42" s="705" t="str">
        <f t="shared" si="28"/>
        <v xml:space="preserve"> </v>
      </c>
      <c r="BU42" s="705" t="str">
        <f t="shared" si="28"/>
        <v xml:space="preserve"> </v>
      </c>
      <c r="BV42" s="705" t="str">
        <f t="shared" si="28"/>
        <v xml:space="preserve"> </v>
      </c>
      <c r="BW42" s="705" t="str">
        <f t="shared" si="28"/>
        <v xml:space="preserve"> </v>
      </c>
      <c r="BX42" s="705" t="str">
        <f t="shared" si="28"/>
        <v xml:space="preserve"> </v>
      </c>
      <c r="BY42" s="705" t="str">
        <f t="shared" si="28"/>
        <v xml:space="preserve"> </v>
      </c>
      <c r="BZ42" s="705" t="str">
        <f t="shared" si="28"/>
        <v xml:space="preserve"> </v>
      </c>
      <c r="CA42" s="705" t="str">
        <f t="shared" si="28"/>
        <v xml:space="preserve"> </v>
      </c>
      <c r="CB42" s="705" t="str">
        <f t="shared" si="28"/>
        <v xml:space="preserve"> 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5" x14ac:dyDescent="0.35">
      <c r="A43" s="707"/>
      <c r="B43" s="726">
        <v>2</v>
      </c>
      <c r="C43" s="727" t="str">
        <f t="shared" ref="C43:AJ43" si="29">IF(C103&lt;&gt;"",SUBSTITUTE(SUBSTITUTE(SUBSTITUTE(C103,"F","O"),"S","O"),"L","X"),"")</f>
        <v>O</v>
      </c>
      <c r="D43" s="166" t="str">
        <f t="shared" si="29"/>
        <v>O</v>
      </c>
      <c r="E43" s="166" t="str">
        <f t="shared" si="29"/>
        <v>X</v>
      </c>
      <c r="F43" s="166" t="str">
        <f t="shared" si="29"/>
        <v>R</v>
      </c>
      <c r="G43" s="166" t="str">
        <f t="shared" si="29"/>
        <v>X</v>
      </c>
      <c r="H43" s="166" t="str">
        <f t="shared" si="29"/>
        <v>O</v>
      </c>
      <c r="I43" s="166" t="str">
        <f t="shared" si="29"/>
        <v>O</v>
      </c>
      <c r="J43" s="166" t="str">
        <f t="shared" si="29"/>
        <v>O</v>
      </c>
      <c r="K43" s="166" t="str">
        <f t="shared" si="29"/>
        <v>R</v>
      </c>
      <c r="L43" s="166" t="str">
        <f t="shared" si="29"/>
        <v xml:space="preserve"> </v>
      </c>
      <c r="M43" s="166" t="str">
        <f t="shared" si="29"/>
        <v xml:space="preserve"> </v>
      </c>
      <c r="N43" s="166" t="str">
        <f t="shared" si="29"/>
        <v xml:space="preserve"> </v>
      </c>
      <c r="O43" s="166" t="str">
        <f t="shared" si="29"/>
        <v xml:space="preserve"> </v>
      </c>
      <c r="P43" s="166" t="str">
        <f t="shared" si="29"/>
        <v xml:space="preserve"> </v>
      </c>
      <c r="Q43" s="166" t="str">
        <f t="shared" si="29"/>
        <v xml:space="preserve"> </v>
      </c>
      <c r="R43" s="166" t="str">
        <f t="shared" si="29"/>
        <v xml:space="preserve"> </v>
      </c>
      <c r="S43" s="166" t="str">
        <f t="shared" si="29"/>
        <v xml:space="preserve"> </v>
      </c>
      <c r="T43" s="166" t="str">
        <f t="shared" si="29"/>
        <v xml:space="preserve"> 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>O</v>
      </c>
      <c r="BG43" s="166" t="str">
        <f t="shared" si="30"/>
        <v>O</v>
      </c>
      <c r="BH43" s="166" t="str">
        <f t="shared" si="30"/>
        <v>X</v>
      </c>
      <c r="BI43" s="166" t="str">
        <f t="shared" si="30"/>
        <v>R</v>
      </c>
      <c r="BJ43" s="166" t="str">
        <f t="shared" si="30"/>
        <v>X</v>
      </c>
      <c r="BK43" s="166" t="str">
        <f t="shared" si="30"/>
        <v>O</v>
      </c>
      <c r="BL43" s="166" t="str">
        <f t="shared" si="30"/>
        <v>O</v>
      </c>
      <c r="BM43" s="166" t="str">
        <f t="shared" si="30"/>
        <v>O</v>
      </c>
      <c r="BN43" s="166" t="str">
        <f t="shared" si="30"/>
        <v>R</v>
      </c>
      <c r="BO43" s="166" t="str">
        <f t="shared" si="30"/>
        <v xml:space="preserve"> </v>
      </c>
      <c r="BP43" s="166" t="str">
        <f t="shared" si="30"/>
        <v xml:space="preserve"> </v>
      </c>
      <c r="BQ43" s="166" t="str">
        <f t="shared" si="30"/>
        <v xml:space="preserve"> </v>
      </c>
      <c r="BR43" s="166" t="str">
        <f t="shared" si="30"/>
        <v xml:space="preserve"> </v>
      </c>
      <c r="BS43" s="166" t="str">
        <f t="shared" si="30"/>
        <v xml:space="preserve"> </v>
      </c>
      <c r="BT43" s="166" t="str">
        <f t="shared" si="30"/>
        <v xml:space="preserve"> </v>
      </c>
      <c r="BU43" s="166" t="str">
        <f t="shared" si="30"/>
        <v xml:space="preserve"> </v>
      </c>
      <c r="BV43" s="166" t="str">
        <f t="shared" si="30"/>
        <v xml:space="preserve"> </v>
      </c>
      <c r="BW43" s="166" t="str">
        <f t="shared" si="30"/>
        <v xml:space="preserve"> 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5" x14ac:dyDescent="0.35">
      <c r="A44" s="707"/>
      <c r="B44" s="726">
        <v>3</v>
      </c>
      <c r="C44" s="727" t="str">
        <f t="shared" ref="C44:AJ44" si="31">IF(C104&lt;&gt;"",SUBSTITUTE(SUBSTITUTE(SUBSTITUTE(C104,"F","O"),"S","O"),"L","X"),"")</f>
        <v>O</v>
      </c>
      <c r="D44" s="166" t="str">
        <f t="shared" si="31"/>
        <v>O</v>
      </c>
      <c r="E44" s="166" t="str">
        <f t="shared" si="31"/>
        <v>O</v>
      </c>
      <c r="F44" s="166" t="str">
        <f t="shared" si="31"/>
        <v>O</v>
      </c>
      <c r="G44" s="166" t="str">
        <f t="shared" si="31"/>
        <v>X</v>
      </c>
      <c r="H44" s="166" t="str">
        <f t="shared" si="31"/>
        <v>R</v>
      </c>
      <c r="I44" s="166" t="str">
        <f t="shared" si="31"/>
        <v>X</v>
      </c>
      <c r="J44" s="166" t="str">
        <f t="shared" si="31"/>
        <v>O</v>
      </c>
      <c r="K44" s="166" t="str">
        <f t="shared" si="31"/>
        <v>O</v>
      </c>
      <c r="L44" s="166" t="str">
        <f t="shared" si="31"/>
        <v>R</v>
      </c>
      <c r="M44" s="166" t="str">
        <f t="shared" si="31"/>
        <v xml:space="preserve"> </v>
      </c>
      <c r="N44" s="166" t="str">
        <f t="shared" si="31"/>
        <v xml:space="preserve"> </v>
      </c>
      <c r="O44" s="166" t="str">
        <f t="shared" si="31"/>
        <v xml:space="preserve"> </v>
      </c>
      <c r="P44" s="166" t="str">
        <f t="shared" si="31"/>
        <v xml:space="preserve"> </v>
      </c>
      <c r="Q44" s="166" t="str">
        <f t="shared" si="31"/>
        <v xml:space="preserve"> </v>
      </c>
      <c r="R44" s="166" t="str">
        <f t="shared" si="31"/>
        <v xml:space="preserve"> </v>
      </c>
      <c r="S44" s="166" t="str">
        <f t="shared" si="31"/>
        <v xml:space="preserve"> 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>O</v>
      </c>
      <c r="BG44" s="166" t="str">
        <f t="shared" si="32"/>
        <v>O</v>
      </c>
      <c r="BH44" s="166" t="str">
        <f t="shared" si="32"/>
        <v>O</v>
      </c>
      <c r="BI44" s="166" t="str">
        <f t="shared" si="32"/>
        <v>O</v>
      </c>
      <c r="BJ44" s="166" t="str">
        <f t="shared" si="32"/>
        <v>X</v>
      </c>
      <c r="BK44" s="166" t="str">
        <f t="shared" si="32"/>
        <v>R</v>
      </c>
      <c r="BL44" s="166" t="str">
        <f t="shared" si="32"/>
        <v>X</v>
      </c>
      <c r="BM44" s="166" t="str">
        <f t="shared" si="32"/>
        <v>O</v>
      </c>
      <c r="BN44" s="166" t="str">
        <f t="shared" si="32"/>
        <v>O</v>
      </c>
      <c r="BO44" s="166" t="str">
        <f t="shared" si="32"/>
        <v>R</v>
      </c>
      <c r="BP44" s="166" t="str">
        <f t="shared" si="32"/>
        <v xml:space="preserve"> </v>
      </c>
      <c r="BQ44" s="166" t="str">
        <f t="shared" si="32"/>
        <v xml:space="preserve"> </v>
      </c>
      <c r="BR44" s="166" t="str">
        <f t="shared" si="32"/>
        <v xml:space="preserve"> </v>
      </c>
      <c r="BS44" s="166" t="str">
        <f t="shared" si="32"/>
        <v xml:space="preserve"> </v>
      </c>
      <c r="BT44" s="166" t="str">
        <f t="shared" si="32"/>
        <v xml:space="preserve"> </v>
      </c>
      <c r="BU44" s="166" t="str">
        <f t="shared" si="32"/>
        <v xml:space="preserve"> </v>
      </c>
      <c r="BV44" s="166" t="str">
        <f t="shared" si="32"/>
        <v xml:space="preserve"> 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5" x14ac:dyDescent="0.35">
      <c r="A45" s="707"/>
      <c r="B45" s="726">
        <v>4</v>
      </c>
      <c r="C45" s="727" t="str">
        <f t="shared" ref="C45:AJ45" si="33">IF(C105&lt;&gt;"",SUBSTITUTE(SUBSTITUTE(SUBSTITUTE(C105,"F","O"),"S","O"),"L","X"),"")</f>
        <v>O</v>
      </c>
      <c r="D45" s="166" t="str">
        <f t="shared" si="33"/>
        <v>O</v>
      </c>
      <c r="E45" s="166" t="str">
        <f t="shared" si="33"/>
        <v>X</v>
      </c>
      <c r="F45" s="166" t="str">
        <f t="shared" si="33"/>
        <v>R</v>
      </c>
      <c r="G45" s="166" t="str">
        <f t="shared" si="33"/>
        <v>X</v>
      </c>
      <c r="H45" s="166" t="str">
        <f t="shared" si="33"/>
        <v>X</v>
      </c>
      <c r="I45" s="166" t="str">
        <f t="shared" si="33"/>
        <v>O</v>
      </c>
      <c r="J45" s="166" t="str">
        <f t="shared" si="33"/>
        <v>O</v>
      </c>
      <c r="K45" s="166" t="str">
        <f t="shared" si="33"/>
        <v>O</v>
      </c>
      <c r="L45" s="166" t="str">
        <f t="shared" si="33"/>
        <v>R</v>
      </c>
      <c r="M45" s="166" t="str">
        <f t="shared" si="33"/>
        <v xml:space="preserve"> </v>
      </c>
      <c r="N45" s="166" t="str">
        <f t="shared" si="33"/>
        <v xml:space="preserve"> </v>
      </c>
      <c r="O45" s="166" t="str">
        <f t="shared" si="33"/>
        <v xml:space="preserve"> </v>
      </c>
      <c r="P45" s="166" t="str">
        <f t="shared" si="33"/>
        <v xml:space="preserve"> </v>
      </c>
      <c r="Q45" s="166" t="str">
        <f t="shared" si="33"/>
        <v xml:space="preserve"> </v>
      </c>
      <c r="R45" s="166" t="str">
        <f t="shared" si="33"/>
        <v xml:space="preserve"> </v>
      </c>
      <c r="S45" s="166" t="str">
        <f t="shared" si="33"/>
        <v xml:space="preserve"> </v>
      </c>
      <c r="T45" s="166" t="str">
        <f t="shared" si="33"/>
        <v xml:space="preserve"> </v>
      </c>
      <c r="U45" s="166" t="str">
        <f t="shared" si="33"/>
        <v xml:space="preserve"> </v>
      </c>
      <c r="V45" s="166" t="str">
        <f t="shared" si="33"/>
        <v xml:space="preserve"> </v>
      </c>
      <c r="W45" s="166" t="str">
        <f t="shared" si="33"/>
        <v xml:space="preserve"> </v>
      </c>
      <c r="X45" s="166" t="str">
        <f t="shared" si="33"/>
        <v xml:space="preserve"> 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>O</v>
      </c>
      <c r="BG45" s="166" t="str">
        <f t="shared" si="34"/>
        <v>O</v>
      </c>
      <c r="BH45" s="166" t="str">
        <f t="shared" si="34"/>
        <v>X</v>
      </c>
      <c r="BI45" s="166" t="str">
        <f t="shared" si="34"/>
        <v>R</v>
      </c>
      <c r="BJ45" s="166" t="str">
        <f t="shared" si="34"/>
        <v>X</v>
      </c>
      <c r="BK45" s="166" t="str">
        <f t="shared" si="34"/>
        <v>X</v>
      </c>
      <c r="BL45" s="166" t="str">
        <f t="shared" si="34"/>
        <v>O</v>
      </c>
      <c r="BM45" s="166" t="str">
        <f t="shared" si="34"/>
        <v>O</v>
      </c>
      <c r="BN45" s="166" t="str">
        <f t="shared" si="34"/>
        <v>O</v>
      </c>
      <c r="BO45" s="166" t="str">
        <f t="shared" si="34"/>
        <v>R</v>
      </c>
      <c r="BP45" s="166" t="str">
        <f t="shared" si="34"/>
        <v xml:space="preserve"> </v>
      </c>
      <c r="BQ45" s="166" t="str">
        <f t="shared" si="34"/>
        <v xml:space="preserve"> </v>
      </c>
      <c r="BR45" s="166" t="str">
        <f t="shared" si="34"/>
        <v xml:space="preserve"> </v>
      </c>
      <c r="BS45" s="166" t="str">
        <f t="shared" si="34"/>
        <v xml:space="preserve"> </v>
      </c>
      <c r="BT45" s="166" t="str">
        <f t="shared" si="34"/>
        <v xml:space="preserve"> </v>
      </c>
      <c r="BU45" s="166" t="str">
        <f t="shared" si="34"/>
        <v xml:space="preserve"> </v>
      </c>
      <c r="BV45" s="166" t="str">
        <f t="shared" si="34"/>
        <v xml:space="preserve"> </v>
      </c>
      <c r="BW45" s="166" t="str">
        <f t="shared" si="34"/>
        <v xml:space="preserve"> </v>
      </c>
      <c r="BX45" s="166" t="str">
        <f t="shared" si="34"/>
        <v xml:space="preserve"> </v>
      </c>
      <c r="BY45" s="166" t="str">
        <f t="shared" si="34"/>
        <v xml:space="preserve"> </v>
      </c>
      <c r="BZ45" s="166" t="str">
        <f t="shared" si="34"/>
        <v xml:space="preserve"> </v>
      </c>
      <c r="CA45" s="166" t="str">
        <f t="shared" si="34"/>
        <v xml:space="preserve"> 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5" x14ac:dyDescent="0.35">
      <c r="A46" s="707"/>
      <c r="B46" s="726">
        <v>5</v>
      </c>
      <c r="C46" s="727" t="str">
        <f t="shared" ref="C46:AJ46" si="35">IF(C106&lt;&gt;"",SUBSTITUTE(SUBSTITUTE(SUBSTITUTE(C106,"F","O"),"S","O"),"L","X"),"")</f>
        <v>O</v>
      </c>
      <c r="D46" s="166" t="str">
        <f t="shared" si="35"/>
        <v>O</v>
      </c>
      <c r="E46" s="166" t="str">
        <f t="shared" si="35"/>
        <v>O</v>
      </c>
      <c r="F46" s="166" t="str">
        <f t="shared" si="35"/>
        <v>O</v>
      </c>
      <c r="G46" s="166" t="str">
        <f t="shared" si="35"/>
        <v>O</v>
      </c>
      <c r="H46" s="166" t="str">
        <f t="shared" si="35"/>
        <v>X</v>
      </c>
      <c r="I46" s="166" t="str">
        <f t="shared" si="35"/>
        <v>R</v>
      </c>
      <c r="J46" s="166" t="str">
        <f t="shared" si="35"/>
        <v>X</v>
      </c>
      <c r="K46" s="166" t="str">
        <f t="shared" si="35"/>
        <v>O</v>
      </c>
      <c r="L46" s="166" t="str">
        <f t="shared" si="35"/>
        <v>O</v>
      </c>
      <c r="M46" s="166" t="str">
        <f t="shared" si="35"/>
        <v>X</v>
      </c>
      <c r="N46" s="166" t="str">
        <f t="shared" si="35"/>
        <v>R</v>
      </c>
      <c r="O46" s="166" t="str">
        <f t="shared" si="35"/>
        <v xml:space="preserve"> </v>
      </c>
      <c r="P46" s="166" t="str">
        <f t="shared" si="35"/>
        <v xml:space="preserve"> </v>
      </c>
      <c r="Q46" s="166" t="str">
        <f t="shared" si="35"/>
        <v xml:space="preserve"> </v>
      </c>
      <c r="R46" s="166" t="str">
        <f t="shared" si="35"/>
        <v xml:space="preserve"> </v>
      </c>
      <c r="S46" s="166" t="str">
        <f t="shared" si="35"/>
        <v xml:space="preserve"> </v>
      </c>
      <c r="T46" s="166" t="str">
        <f t="shared" si="35"/>
        <v xml:space="preserve"> 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>O</v>
      </c>
      <c r="BG46" s="166" t="str">
        <f t="shared" si="36"/>
        <v>O</v>
      </c>
      <c r="BH46" s="166" t="str">
        <f t="shared" si="36"/>
        <v>O</v>
      </c>
      <c r="BI46" s="166" t="str">
        <f t="shared" si="36"/>
        <v>O</v>
      </c>
      <c r="BJ46" s="166" t="str">
        <f t="shared" si="36"/>
        <v>O</v>
      </c>
      <c r="BK46" s="166" t="str">
        <f t="shared" si="36"/>
        <v>X</v>
      </c>
      <c r="BL46" s="166" t="str">
        <f t="shared" si="36"/>
        <v>R</v>
      </c>
      <c r="BM46" s="166" t="str">
        <f t="shared" si="36"/>
        <v>X</v>
      </c>
      <c r="BN46" s="166" t="str">
        <f t="shared" si="36"/>
        <v>O</v>
      </c>
      <c r="BO46" s="166" t="str">
        <f t="shared" si="36"/>
        <v>O</v>
      </c>
      <c r="BP46" s="166" t="str">
        <f t="shared" si="36"/>
        <v>X</v>
      </c>
      <c r="BQ46" s="166" t="str">
        <f t="shared" si="36"/>
        <v>R</v>
      </c>
      <c r="BR46" s="166" t="str">
        <f t="shared" si="36"/>
        <v xml:space="preserve"> </v>
      </c>
      <c r="BS46" s="166" t="str">
        <f t="shared" si="36"/>
        <v xml:space="preserve"> </v>
      </c>
      <c r="BT46" s="166" t="str">
        <f t="shared" si="36"/>
        <v xml:space="preserve"> </v>
      </c>
      <c r="BU46" s="166" t="str">
        <f t="shared" si="36"/>
        <v xml:space="preserve"> </v>
      </c>
      <c r="BV46" s="166" t="str">
        <f t="shared" si="36"/>
        <v xml:space="preserve"> </v>
      </c>
      <c r="BW46" s="166" t="str">
        <f t="shared" si="36"/>
        <v xml:space="preserve"> 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5" x14ac:dyDescent="0.35">
      <c r="A47" s="707"/>
      <c r="B47" s="726">
        <v>6</v>
      </c>
      <c r="C47" s="727" t="str">
        <f t="shared" ref="C47:AJ47" si="37">IF(C107&lt;&gt;"",SUBSTITUTE(SUBSTITUTE(SUBSTITUTE(C107,"F","O"),"S","O"),"L","X"),"")</f>
        <v>O</v>
      </c>
      <c r="D47" s="166" t="str">
        <f t="shared" si="37"/>
        <v>X</v>
      </c>
      <c r="E47" s="166" t="str">
        <f t="shared" si="37"/>
        <v>O</v>
      </c>
      <c r="F47" s="166" t="str">
        <f t="shared" si="37"/>
        <v>X</v>
      </c>
      <c r="G47" s="166" t="str">
        <f t="shared" si="37"/>
        <v>X</v>
      </c>
      <c r="H47" s="166" t="str">
        <f t="shared" si="37"/>
        <v>O</v>
      </c>
      <c r="I47" s="166" t="str">
        <f t="shared" si="37"/>
        <v>O</v>
      </c>
      <c r="J47" s="166" t="str">
        <f t="shared" si="37"/>
        <v>O</v>
      </c>
      <c r="K47" s="166" t="str">
        <f t="shared" si="37"/>
        <v>R</v>
      </c>
      <c r="L47" s="166" t="str">
        <f t="shared" si="37"/>
        <v xml:space="preserve"> </v>
      </c>
      <c r="M47" s="166" t="str">
        <f t="shared" si="37"/>
        <v xml:space="preserve"> </v>
      </c>
      <c r="N47" s="166" t="str">
        <f t="shared" si="37"/>
        <v xml:space="preserve"> </v>
      </c>
      <c r="O47" s="166" t="str">
        <f t="shared" si="37"/>
        <v xml:space="preserve"> </v>
      </c>
      <c r="P47" s="166" t="str">
        <f t="shared" si="37"/>
        <v xml:space="preserve"> </v>
      </c>
      <c r="Q47" s="166" t="str">
        <f t="shared" si="37"/>
        <v xml:space="preserve"> </v>
      </c>
      <c r="R47" s="166" t="str">
        <f t="shared" si="37"/>
        <v xml:space="preserve"> </v>
      </c>
      <c r="S47" s="166" t="str">
        <f t="shared" si="37"/>
        <v xml:space="preserve"> </v>
      </c>
      <c r="T47" s="166" t="str">
        <f t="shared" si="37"/>
        <v xml:space="preserve"> </v>
      </c>
      <c r="U47" s="166" t="str">
        <f t="shared" si="37"/>
        <v xml:space="preserve"> </v>
      </c>
      <c r="V47" s="166" t="str">
        <f t="shared" si="37"/>
        <v xml:space="preserve"> </v>
      </c>
      <c r="W47" s="166" t="str">
        <f t="shared" si="37"/>
        <v xml:space="preserve"> </v>
      </c>
      <c r="X47" s="166" t="str">
        <f t="shared" si="37"/>
        <v xml:space="preserve"> </v>
      </c>
      <c r="Y47" s="166" t="str">
        <f t="shared" si="37"/>
        <v xml:space="preserve"> 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>O</v>
      </c>
      <c r="BG47" s="166" t="str">
        <f t="shared" si="38"/>
        <v>X</v>
      </c>
      <c r="BH47" s="166" t="str">
        <f t="shared" si="38"/>
        <v>O</v>
      </c>
      <c r="BI47" s="166" t="str">
        <f t="shared" si="38"/>
        <v>X</v>
      </c>
      <c r="BJ47" s="166" t="str">
        <f t="shared" si="38"/>
        <v>X</v>
      </c>
      <c r="BK47" s="166" t="str">
        <f t="shared" si="38"/>
        <v>O</v>
      </c>
      <c r="BL47" s="166" t="str">
        <f t="shared" si="38"/>
        <v>O</v>
      </c>
      <c r="BM47" s="166" t="str">
        <f t="shared" si="38"/>
        <v>O</v>
      </c>
      <c r="BN47" s="166" t="str">
        <f t="shared" si="38"/>
        <v>R</v>
      </c>
      <c r="BO47" s="166" t="str">
        <f t="shared" si="38"/>
        <v xml:space="preserve"> </v>
      </c>
      <c r="BP47" s="166" t="str">
        <f t="shared" si="38"/>
        <v xml:space="preserve"> </v>
      </c>
      <c r="BQ47" s="166" t="str">
        <f t="shared" si="38"/>
        <v xml:space="preserve"> </v>
      </c>
      <c r="BR47" s="166" t="str">
        <f t="shared" si="38"/>
        <v xml:space="preserve"> </v>
      </c>
      <c r="BS47" s="166" t="str">
        <f t="shared" si="38"/>
        <v xml:space="preserve"> </v>
      </c>
      <c r="BT47" s="166" t="str">
        <f t="shared" si="38"/>
        <v xml:space="preserve"> </v>
      </c>
      <c r="BU47" s="166" t="str">
        <f t="shared" si="38"/>
        <v xml:space="preserve"> </v>
      </c>
      <c r="BV47" s="166" t="str">
        <f t="shared" si="38"/>
        <v xml:space="preserve"> </v>
      </c>
      <c r="BW47" s="166" t="str">
        <f t="shared" si="38"/>
        <v xml:space="preserve"> </v>
      </c>
      <c r="BX47" s="166" t="str">
        <f t="shared" si="38"/>
        <v xml:space="preserve"> </v>
      </c>
      <c r="BY47" s="166" t="str">
        <f t="shared" si="38"/>
        <v xml:space="preserve"> </v>
      </c>
      <c r="BZ47" s="166" t="str">
        <f t="shared" si="38"/>
        <v xml:space="preserve"> </v>
      </c>
      <c r="CA47" s="166" t="str">
        <f t="shared" si="38"/>
        <v xml:space="preserve"> </v>
      </c>
      <c r="CB47" s="166" t="str">
        <f t="shared" si="38"/>
        <v xml:space="preserve"> 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5" x14ac:dyDescent="0.35">
      <c r="A48" s="707"/>
      <c r="B48" s="726">
        <v>7</v>
      </c>
      <c r="C48" s="727" t="str">
        <f t="shared" ref="C48:AJ48" si="39">IF(C108&lt;&gt;"",SUBSTITUTE(SUBSTITUTE(SUBSTITUTE(C108,"F","O"),"S","O"),"L","X"),"")</f>
        <v xml:space="preserve"> </v>
      </c>
      <c r="D48" s="166" t="str">
        <f t="shared" si="39"/>
        <v xml:space="preserve"> </v>
      </c>
      <c r="E48" s="166" t="str">
        <f t="shared" si="39"/>
        <v xml:space="preserve"> </v>
      </c>
      <c r="F48" s="166" t="str">
        <f t="shared" si="39"/>
        <v xml:space="preserve"> </v>
      </c>
      <c r="G48" s="166" t="str">
        <f t="shared" si="39"/>
        <v xml:space="preserve"> </v>
      </c>
      <c r="H48" s="166" t="str">
        <f t="shared" si="39"/>
        <v xml:space="preserve"> </v>
      </c>
      <c r="I48" s="166" t="str">
        <f t="shared" si="39"/>
        <v xml:space="preserve"> </v>
      </c>
      <c r="J48" s="166" t="str">
        <f t="shared" si="39"/>
        <v xml:space="preserve"> </v>
      </c>
      <c r="K48" s="166" t="str">
        <f t="shared" si="39"/>
        <v xml:space="preserve"> </v>
      </c>
      <c r="L48" s="166" t="str">
        <f t="shared" si="39"/>
        <v xml:space="preserve"> </v>
      </c>
      <c r="M48" s="166" t="str">
        <f t="shared" si="39"/>
        <v xml:space="preserve"> </v>
      </c>
      <c r="N48" s="166" t="str">
        <f t="shared" si="39"/>
        <v xml:space="preserve"> </v>
      </c>
      <c r="O48" s="166" t="str">
        <f t="shared" si="39"/>
        <v xml:space="preserve"> </v>
      </c>
      <c r="P48" s="166" t="str">
        <f t="shared" si="39"/>
        <v xml:space="preserve"> </v>
      </c>
      <c r="Q48" s="166" t="str">
        <f t="shared" si="39"/>
        <v xml:space="preserve"> </v>
      </c>
      <c r="R48" s="166" t="str">
        <f t="shared" si="39"/>
        <v xml:space="preserve"> </v>
      </c>
      <c r="S48" s="166" t="str">
        <f t="shared" si="39"/>
        <v xml:space="preserve"> 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 xml:space="preserve"> </v>
      </c>
      <c r="BG48" s="166" t="str">
        <f t="shared" si="40"/>
        <v xml:space="preserve"> </v>
      </c>
      <c r="BH48" s="166" t="str">
        <f t="shared" si="40"/>
        <v xml:space="preserve"> </v>
      </c>
      <c r="BI48" s="166" t="str">
        <f t="shared" si="40"/>
        <v xml:space="preserve"> </v>
      </c>
      <c r="BJ48" s="166" t="str">
        <f t="shared" si="40"/>
        <v xml:space="preserve"> </v>
      </c>
      <c r="BK48" s="166" t="str">
        <f t="shared" si="40"/>
        <v xml:space="preserve"> </v>
      </c>
      <c r="BL48" s="166" t="str">
        <f t="shared" si="40"/>
        <v xml:space="preserve"> </v>
      </c>
      <c r="BM48" s="166" t="str">
        <f t="shared" si="40"/>
        <v xml:space="preserve"> </v>
      </c>
      <c r="BN48" s="166" t="str">
        <f t="shared" si="40"/>
        <v xml:space="preserve"> </v>
      </c>
      <c r="BO48" s="166" t="str">
        <f t="shared" si="40"/>
        <v xml:space="preserve"> </v>
      </c>
      <c r="BP48" s="166" t="str">
        <f t="shared" si="40"/>
        <v xml:space="preserve"> </v>
      </c>
      <c r="BQ48" s="166" t="str">
        <f t="shared" si="40"/>
        <v xml:space="preserve"> </v>
      </c>
      <c r="BR48" s="166" t="str">
        <f t="shared" si="40"/>
        <v xml:space="preserve"> </v>
      </c>
      <c r="BS48" s="166" t="str">
        <f t="shared" si="40"/>
        <v xml:space="preserve"> </v>
      </c>
      <c r="BT48" s="166" t="str">
        <f t="shared" si="40"/>
        <v xml:space="preserve"> </v>
      </c>
      <c r="BU48" s="166" t="str">
        <f t="shared" si="40"/>
        <v xml:space="preserve"> </v>
      </c>
      <c r="BV48" s="166" t="str">
        <f t="shared" si="40"/>
        <v xml:space="preserve"> 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5" x14ac:dyDescent="0.35">
      <c r="A49" s="707"/>
      <c r="B49" s="726">
        <v>8</v>
      </c>
      <c r="C49" s="727" t="str">
        <f t="shared" ref="C49:AJ49" si="41">IF(C109&lt;&gt;"",SUBSTITUTE(SUBSTITUTE(SUBSTITUTE(C109,"F","O"),"S","O"),"L","X"),"")</f>
        <v xml:space="preserve"> </v>
      </c>
      <c r="D49" s="166" t="str">
        <f t="shared" si="41"/>
        <v xml:space="preserve"> </v>
      </c>
      <c r="E49" s="166" t="str">
        <f t="shared" si="41"/>
        <v xml:space="preserve"> </v>
      </c>
      <c r="F49" s="166" t="str">
        <f t="shared" si="41"/>
        <v xml:space="preserve"> </v>
      </c>
      <c r="G49" s="166" t="str">
        <f t="shared" si="41"/>
        <v xml:space="preserve"> </v>
      </c>
      <c r="H49" s="166" t="str">
        <f t="shared" si="41"/>
        <v xml:space="preserve"> </v>
      </c>
      <c r="I49" s="166" t="str">
        <f t="shared" si="41"/>
        <v xml:space="preserve"> </v>
      </c>
      <c r="J49" s="166" t="str">
        <f t="shared" si="41"/>
        <v xml:space="preserve"> </v>
      </c>
      <c r="K49" s="166" t="str">
        <f t="shared" si="41"/>
        <v xml:space="preserve"> </v>
      </c>
      <c r="L49" s="166" t="str">
        <f t="shared" si="41"/>
        <v xml:space="preserve"> </v>
      </c>
      <c r="M49" s="166" t="str">
        <f t="shared" si="41"/>
        <v xml:space="preserve"> </v>
      </c>
      <c r="N49" s="166" t="str">
        <f t="shared" si="41"/>
        <v xml:space="preserve"> </v>
      </c>
      <c r="O49" s="166" t="str">
        <f t="shared" si="41"/>
        <v xml:space="preserve"> </v>
      </c>
      <c r="P49" s="166" t="str">
        <f t="shared" si="41"/>
        <v xml:space="preserve"> </v>
      </c>
      <c r="Q49" s="166" t="str">
        <f t="shared" si="41"/>
        <v xml:space="preserve"> </v>
      </c>
      <c r="R49" s="166" t="str">
        <f t="shared" si="41"/>
        <v xml:space="preserve"> </v>
      </c>
      <c r="S49" s="166" t="str">
        <f t="shared" si="41"/>
        <v xml:space="preserve"> 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 xml:space="preserve"> </v>
      </c>
      <c r="BG49" s="166" t="str">
        <f t="shared" si="42"/>
        <v xml:space="preserve"> </v>
      </c>
      <c r="BH49" s="166" t="str">
        <f t="shared" si="42"/>
        <v xml:space="preserve"> </v>
      </c>
      <c r="BI49" s="166" t="str">
        <f t="shared" si="42"/>
        <v xml:space="preserve"> </v>
      </c>
      <c r="BJ49" s="166" t="str">
        <f t="shared" si="42"/>
        <v xml:space="preserve"> </v>
      </c>
      <c r="BK49" s="166" t="str">
        <f t="shared" si="42"/>
        <v xml:space="preserve"> </v>
      </c>
      <c r="BL49" s="166" t="str">
        <f t="shared" si="42"/>
        <v xml:space="preserve"> </v>
      </c>
      <c r="BM49" s="166" t="str">
        <f t="shared" si="42"/>
        <v xml:space="preserve"> </v>
      </c>
      <c r="BN49" s="166" t="str">
        <f t="shared" si="42"/>
        <v xml:space="preserve"> </v>
      </c>
      <c r="BO49" s="166" t="str">
        <f t="shared" si="42"/>
        <v xml:space="preserve"> </v>
      </c>
      <c r="BP49" s="166" t="str">
        <f t="shared" si="42"/>
        <v xml:space="preserve"> </v>
      </c>
      <c r="BQ49" s="166" t="str">
        <f t="shared" si="42"/>
        <v xml:space="preserve"> </v>
      </c>
      <c r="BR49" s="166" t="str">
        <f t="shared" si="42"/>
        <v xml:space="preserve"> </v>
      </c>
      <c r="BS49" s="166" t="str">
        <f t="shared" si="42"/>
        <v xml:space="preserve"> </v>
      </c>
      <c r="BT49" s="166" t="str">
        <f t="shared" si="42"/>
        <v xml:space="preserve"> </v>
      </c>
      <c r="BU49" s="166" t="str">
        <f t="shared" si="42"/>
        <v xml:space="preserve"> </v>
      </c>
      <c r="BV49" s="166" t="str">
        <f t="shared" si="42"/>
        <v xml:space="preserve"> 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5" x14ac:dyDescent="0.3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3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3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4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35"/>
    <row r="55" spans="1:107" ht="13.5" customHeight="1" x14ac:dyDescent="0.35"/>
    <row r="56" spans="1:107" ht="13.5" customHeight="1" x14ac:dyDescent="0.35"/>
    <row r="57" spans="1:107" ht="13.5" customHeight="1" x14ac:dyDescent="0.35"/>
    <row r="58" spans="1:107" ht="13.5" customHeight="1" x14ac:dyDescent="0.35"/>
    <row r="59" spans="1:107" ht="13.5" customHeight="1" x14ac:dyDescent="0.35"/>
    <row r="60" spans="1:107" ht="13.5" customHeight="1" x14ac:dyDescent="0.35"/>
    <row r="61" spans="1:107" ht="13.5" customHeight="1" x14ac:dyDescent="0.35"/>
    <row r="62" spans="1:107" ht="13.5" customHeight="1" x14ac:dyDescent="0.35"/>
    <row r="63" spans="1:107" ht="13.5" customHeight="1" thickBot="1" x14ac:dyDescent="0.4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35">
      <c r="B64" s="118" t="str">
        <f t="array" ref="B64:B97">TRANSPOSE(BLADE1)</f>
        <v>S</v>
      </c>
      <c r="C64" s="320" t="str">
        <f t="array" ref="C64:C97">TRANSPOSE(BLADE2)</f>
        <v>S</v>
      </c>
      <c r="D64" s="320" t="str">
        <f t="array" ref="D64:D97">TRANSPOSE(BLADE3)</f>
        <v>S</v>
      </c>
      <c r="E64" s="320" t="str">
        <f t="array" ref="E64:E97">TRANSPOSE(BLADE4)</f>
        <v>S</v>
      </c>
      <c r="F64" s="320" t="str">
        <f t="array" ref="F64:F97">TRANSPOSE(BLADE5)</f>
        <v>S</v>
      </c>
      <c r="G64" s="320" t="str">
        <f t="array" ref="G64:G97">TRANSPOSE(BLADE6)</f>
        <v>S</v>
      </c>
      <c r="H64" s="320" t="str">
        <f t="array" ref="H64:H97">TRANSPOSE(BLADE7)</f>
        <v/>
      </c>
      <c r="I64" s="320" t="str">
        <f t="array" ref="I64:I97">TRANSPOSE(BLADE8)</f>
        <v/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>S</v>
      </c>
      <c r="P64" s="320" t="str">
        <f t="shared" ref="P64:Z79" si="51">IF(C64=0,"",C64)</f>
        <v>S</v>
      </c>
      <c r="Q64" s="320" t="str">
        <f t="shared" si="51"/>
        <v>S</v>
      </c>
      <c r="R64" s="320" t="str">
        <f t="shared" si="51"/>
        <v>S</v>
      </c>
      <c r="S64" s="320" t="str">
        <f t="shared" si="51"/>
        <v>S</v>
      </c>
      <c r="T64" s="320" t="str">
        <f t="shared" si="51"/>
        <v>S</v>
      </c>
      <c r="U64" s="320" t="str">
        <f t="shared" si="51"/>
        <v/>
      </c>
      <c r="V64" s="320" t="str">
        <f t="shared" si="51"/>
        <v/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>S</v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>S</v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>S</v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>S</v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>S</v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>S</v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/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/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>S</v>
      </c>
      <c r="AP64" s="320" t="str">
        <f t="shared" ref="AP64:AZ64" si="52">IF(AC64&lt;&gt;"",AC64," ")</f>
        <v>S</v>
      </c>
      <c r="AQ64" s="320" t="str">
        <f t="shared" si="52"/>
        <v>S</v>
      </c>
      <c r="AR64" s="320" t="str">
        <f t="shared" si="52"/>
        <v>S</v>
      </c>
      <c r="AS64" s="320" t="str">
        <f t="shared" si="52"/>
        <v>S</v>
      </c>
      <c r="AT64" s="320" t="str">
        <f t="shared" si="52"/>
        <v>S</v>
      </c>
      <c r="AU64" s="320" t="str">
        <f t="shared" si="52"/>
        <v xml:space="preserve"> </v>
      </c>
      <c r="AV64" s="320" t="str">
        <f t="shared" si="52"/>
        <v xml:space="preserve"> 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>S</v>
      </c>
      <c r="BF64" s="118" t="str">
        <f t="array" ref="BF64:BF96">TRANSPOSE(BLADE2)</f>
        <v>S</v>
      </c>
      <c r="BG64" s="320" t="str">
        <f t="array" ref="BG64:BG96">TRANSPOSE(BLADE3)</f>
        <v>S</v>
      </c>
      <c r="BH64" s="320" t="str">
        <f t="array" ref="BH64:BH96">TRANSPOSE(BLADE4)</f>
        <v>S</v>
      </c>
      <c r="BI64" s="320" t="str">
        <f t="array" ref="BI64:BI96">TRANSPOSE(BLADE5)</f>
        <v>S</v>
      </c>
      <c r="BJ64" s="320" t="str">
        <f t="array" ref="BJ64:BJ96">TRANSPOSE(BLADE6)</f>
        <v>S</v>
      </c>
      <c r="BK64" s="320" t="str">
        <f t="array" ref="BK64:BK96">TRANSPOSE(BLADE7)</f>
        <v/>
      </c>
      <c r="BL64" s="320" t="str">
        <f t="array" ref="BL64:BL96">TRANSPOSE(BLADE8)</f>
        <v/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>S</v>
      </c>
      <c r="BS64" s="320" t="str">
        <f t="shared" ref="BS64:BS96" si="53">IF(BF64=0,"",BF64)</f>
        <v>S</v>
      </c>
      <c r="BT64" s="320" t="str">
        <f t="shared" ref="BT64:BT96" si="54">IF(BG64=0,"",BG64)</f>
        <v>S</v>
      </c>
      <c r="BU64" s="320" t="str">
        <f t="shared" ref="BU64:BU96" si="55">IF(BH64=0,"",BH64)</f>
        <v>S</v>
      </c>
      <c r="BV64" s="320" t="str">
        <f t="shared" ref="BV64:BV96" si="56">IF(BI64=0,"",BI64)</f>
        <v>S</v>
      </c>
      <c r="BW64" s="320" t="str">
        <f t="shared" ref="BW64:BW96" si="57">IF(BJ64=0,"",BJ64)</f>
        <v>S</v>
      </c>
      <c r="BX64" s="320" t="str">
        <f t="shared" ref="BX64:BX96" si="58">IF(BK64=0,"",BK64)</f>
        <v/>
      </c>
      <c r="BY64" s="320" t="str">
        <f t="shared" ref="BY64:BY96" si="59">IF(BL64=0,"",BL64)</f>
        <v/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35">
      <c r="B65" s="3" t="str">
        <v>S</v>
      </c>
      <c r="C65" s="36" t="str">
        <v>S</v>
      </c>
      <c r="D65" s="36" t="str">
        <v>S</v>
      </c>
      <c r="E65" s="36" t="str">
        <v>S</v>
      </c>
      <c r="F65" s="36" t="str">
        <v>S</v>
      </c>
      <c r="G65" s="36" t="str">
        <v>X</v>
      </c>
      <c r="H65" s="36" t="str">
        <v/>
      </c>
      <c r="I65" s="36" t="str">
        <v/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>S</v>
      </c>
      <c r="P65" s="36" t="str">
        <f t="shared" si="51"/>
        <v>S</v>
      </c>
      <c r="Q65" s="36" t="str">
        <f t="shared" si="51"/>
        <v>S</v>
      </c>
      <c r="R65" s="36" t="str">
        <f t="shared" si="51"/>
        <v>S</v>
      </c>
      <c r="S65" s="36" t="str">
        <f t="shared" si="51"/>
        <v>S</v>
      </c>
      <c r="T65" s="36" t="str">
        <f t="shared" si="51"/>
        <v>X</v>
      </c>
      <c r="U65" s="36" t="str">
        <f t="shared" si="51"/>
        <v/>
      </c>
      <c r="V65" s="36" t="str">
        <f t="shared" si="51"/>
        <v/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>S</v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>S</v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>S</v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>S</v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>S</v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>X</v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/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/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>S</v>
      </c>
      <c r="AP65" s="36" t="str">
        <f t="shared" ref="AP65:AP97" si="77">IF(AC65&lt;&gt;"",AC65," ")</f>
        <v>S</v>
      </c>
      <c r="AQ65" s="36" t="str">
        <f t="shared" ref="AQ65:AQ97" si="78">IF(AD65&lt;&gt;"",AD65," ")</f>
        <v>S</v>
      </c>
      <c r="AR65" s="36" t="str">
        <f t="shared" ref="AR65:AR97" si="79">IF(AE65&lt;&gt;"",AE65," ")</f>
        <v>S</v>
      </c>
      <c r="AS65" s="36" t="str">
        <f t="shared" ref="AS65:AS97" si="80">IF(AF65&lt;&gt;"",AF65," ")</f>
        <v>S</v>
      </c>
      <c r="AT65" s="36" t="str">
        <f t="shared" ref="AT65:AT97" si="81">IF(AG65&lt;&gt;"",AG65," ")</f>
        <v>X</v>
      </c>
      <c r="AU65" s="36" t="str">
        <f t="shared" ref="AU65:AU97" si="82">IF(AH65&lt;&gt;"",AH65," ")</f>
        <v xml:space="preserve"> </v>
      </c>
      <c r="AV65" s="36" t="str">
        <f t="shared" ref="AV65:AV97" si="83">IF(AI65&lt;&gt;"",AI65," ")</f>
        <v xml:space="preserve"> 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>S</v>
      </c>
      <c r="BF65" s="36" t="str">
        <v>S</v>
      </c>
      <c r="BG65" s="36" t="str">
        <v>S</v>
      </c>
      <c r="BH65" s="36" t="str">
        <v>S</v>
      </c>
      <c r="BI65" s="36" t="str">
        <v>S</v>
      </c>
      <c r="BJ65" s="36" t="str">
        <v>X</v>
      </c>
      <c r="BK65" s="36" t="str">
        <v/>
      </c>
      <c r="BL65" s="36" t="str">
        <v/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>S</v>
      </c>
      <c r="BS65" s="36" t="str">
        <f t="shared" si="53"/>
        <v>S</v>
      </c>
      <c r="BT65" s="36" t="str">
        <f t="shared" si="54"/>
        <v>S</v>
      </c>
      <c r="BU65" s="36" t="str">
        <f t="shared" si="55"/>
        <v>S</v>
      </c>
      <c r="BV65" s="36" t="str">
        <f t="shared" si="56"/>
        <v>S</v>
      </c>
      <c r="BW65" s="36" t="str">
        <f t="shared" si="57"/>
        <v>X</v>
      </c>
      <c r="BX65" s="36" t="str">
        <f t="shared" si="58"/>
        <v/>
      </c>
      <c r="BY65" s="36" t="str">
        <f t="shared" si="59"/>
        <v/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35">
      <c r="B66" s="3" t="str">
        <v>S</v>
      </c>
      <c r="C66" s="36" t="str">
        <v>X</v>
      </c>
      <c r="D66" s="36" t="str">
        <v>S</v>
      </c>
      <c r="E66" s="36" t="str">
        <v>X</v>
      </c>
      <c r="F66" s="36" t="str">
        <v>S</v>
      </c>
      <c r="G66" s="36" t="str">
        <v>S</v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>S</v>
      </c>
      <c r="P66" s="36" t="str">
        <f t="shared" si="51"/>
        <v>X</v>
      </c>
      <c r="Q66" s="36" t="str">
        <f t="shared" si="51"/>
        <v>S</v>
      </c>
      <c r="R66" s="36" t="str">
        <f t="shared" si="51"/>
        <v>X</v>
      </c>
      <c r="S66" s="36" t="str">
        <f t="shared" si="51"/>
        <v>S</v>
      </c>
      <c r="T66" s="36" t="str">
        <f t="shared" si="51"/>
        <v>S</v>
      </c>
      <c r="U66" s="36" t="str">
        <f t="shared" si="51"/>
        <v/>
      </c>
      <c r="V66" s="36" t="str">
        <f t="shared" si="51"/>
        <v/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>S</v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>X</v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>S</v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>X</v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>S</v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>S</v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/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/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>S</v>
      </c>
      <c r="AP66" s="36" t="str">
        <f t="shared" si="77"/>
        <v>X</v>
      </c>
      <c r="AQ66" s="36" t="str">
        <f t="shared" si="78"/>
        <v>S</v>
      </c>
      <c r="AR66" s="36" t="str">
        <f t="shared" si="79"/>
        <v>X</v>
      </c>
      <c r="AS66" s="36" t="str">
        <f t="shared" si="80"/>
        <v>S</v>
      </c>
      <c r="AT66" s="36" t="str">
        <f t="shared" si="81"/>
        <v>S</v>
      </c>
      <c r="AU66" s="36" t="str">
        <f t="shared" si="82"/>
        <v xml:space="preserve"> </v>
      </c>
      <c r="AV66" s="36" t="str">
        <f t="shared" si="83"/>
        <v xml:space="preserve"> 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>S</v>
      </c>
      <c r="BF66" s="36" t="str">
        <v>X</v>
      </c>
      <c r="BG66" s="36" t="str">
        <v>S</v>
      </c>
      <c r="BH66" s="36" t="str">
        <v>X</v>
      </c>
      <c r="BI66" s="36" t="str">
        <v>S</v>
      </c>
      <c r="BJ66" s="36" t="str">
        <v>S</v>
      </c>
      <c r="BK66" s="36" t="str">
        <v/>
      </c>
      <c r="BL66" s="36" t="str">
        <v/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>S</v>
      </c>
      <c r="BS66" s="36" t="str">
        <f t="shared" si="53"/>
        <v>X</v>
      </c>
      <c r="BT66" s="36" t="str">
        <f t="shared" si="54"/>
        <v>S</v>
      </c>
      <c r="BU66" s="36" t="str">
        <f t="shared" si="55"/>
        <v>X</v>
      </c>
      <c r="BV66" s="36" t="str">
        <f t="shared" si="56"/>
        <v>S</v>
      </c>
      <c r="BW66" s="36" t="str">
        <f t="shared" si="57"/>
        <v>S</v>
      </c>
      <c r="BX66" s="36" t="str">
        <f t="shared" si="58"/>
        <v/>
      </c>
      <c r="BY66" s="36" t="str">
        <f t="shared" si="59"/>
        <v/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35">
      <c r="B67" s="3" t="str">
        <v>S</v>
      </c>
      <c r="C67" s="36" t="str">
        <v>R</v>
      </c>
      <c r="D67" s="36" t="str">
        <v>S</v>
      </c>
      <c r="E67" s="36" t="str">
        <v>R</v>
      </c>
      <c r="F67" s="36" t="str">
        <v>S</v>
      </c>
      <c r="G67" s="36" t="str">
        <v>X</v>
      </c>
      <c r="H67" s="36" t="str">
        <v/>
      </c>
      <c r="I67" s="36" t="str">
        <v/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>S</v>
      </c>
      <c r="P67" s="36" t="str">
        <f t="shared" si="51"/>
        <v>R</v>
      </c>
      <c r="Q67" s="36" t="str">
        <f t="shared" si="51"/>
        <v>S</v>
      </c>
      <c r="R67" s="36" t="str">
        <f t="shared" si="51"/>
        <v>R</v>
      </c>
      <c r="S67" s="36" t="str">
        <f t="shared" si="51"/>
        <v>S</v>
      </c>
      <c r="T67" s="36" t="str">
        <f t="shared" si="51"/>
        <v>X</v>
      </c>
      <c r="U67" s="36" t="str">
        <f t="shared" si="51"/>
        <v/>
      </c>
      <c r="V67" s="36" t="str">
        <f t="shared" si="51"/>
        <v/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>S</v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>R</v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>S</v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>R</v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>S</v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>X</v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/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/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>S</v>
      </c>
      <c r="AP67" s="36" t="str">
        <f t="shared" si="77"/>
        <v>R</v>
      </c>
      <c r="AQ67" s="36" t="str">
        <f t="shared" si="78"/>
        <v>S</v>
      </c>
      <c r="AR67" s="36" t="str">
        <f t="shared" si="79"/>
        <v>R</v>
      </c>
      <c r="AS67" s="36" t="str">
        <f t="shared" si="80"/>
        <v>S</v>
      </c>
      <c r="AT67" s="36" t="str">
        <f t="shared" si="81"/>
        <v>X</v>
      </c>
      <c r="AU67" s="36" t="str">
        <f t="shared" si="82"/>
        <v xml:space="preserve"> </v>
      </c>
      <c r="AV67" s="36" t="str">
        <f t="shared" si="83"/>
        <v xml:space="preserve"> 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>S</v>
      </c>
      <c r="BF67" s="36" t="str">
        <v>R</v>
      </c>
      <c r="BG67" s="36" t="str">
        <v>S</v>
      </c>
      <c r="BH67" s="36" t="str">
        <v>R</v>
      </c>
      <c r="BI67" s="36" t="str">
        <v>S</v>
      </c>
      <c r="BJ67" s="36" t="str">
        <v>X</v>
      </c>
      <c r="BK67" s="36" t="str">
        <v/>
      </c>
      <c r="BL67" s="36" t="str">
        <v/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>S</v>
      </c>
      <c r="BS67" s="36" t="str">
        <f t="shared" si="53"/>
        <v>R</v>
      </c>
      <c r="BT67" s="36" t="str">
        <f t="shared" si="54"/>
        <v>S</v>
      </c>
      <c r="BU67" s="36" t="str">
        <f t="shared" si="55"/>
        <v>R</v>
      </c>
      <c r="BV67" s="36" t="str">
        <f t="shared" si="56"/>
        <v>S</v>
      </c>
      <c r="BW67" s="36" t="str">
        <f t="shared" si="57"/>
        <v>X</v>
      </c>
      <c r="BX67" s="36" t="str">
        <f t="shared" si="58"/>
        <v/>
      </c>
      <c r="BY67" s="36" t="str">
        <f t="shared" si="59"/>
        <v/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35">
      <c r="B68" s="3" t="str">
        <v>S</v>
      </c>
      <c r="C68" s="36" t="str">
        <v>X</v>
      </c>
      <c r="D68" s="36" t="str">
        <v>X</v>
      </c>
      <c r="E68" s="36" t="str">
        <v>X</v>
      </c>
      <c r="F68" s="36" t="str">
        <v>S</v>
      </c>
      <c r="G68" s="36" t="str">
        <v>X</v>
      </c>
      <c r="H68" s="36" t="str">
        <v/>
      </c>
      <c r="I68" s="36" t="str">
        <v/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>S</v>
      </c>
      <c r="P68" s="36" t="str">
        <f t="shared" si="51"/>
        <v>X</v>
      </c>
      <c r="Q68" s="36" t="str">
        <f t="shared" si="51"/>
        <v>X</v>
      </c>
      <c r="R68" s="36" t="str">
        <f t="shared" si="51"/>
        <v>X</v>
      </c>
      <c r="S68" s="36" t="str">
        <f t="shared" si="51"/>
        <v>S</v>
      </c>
      <c r="T68" s="36" t="str">
        <f t="shared" si="51"/>
        <v>X</v>
      </c>
      <c r="U68" s="36" t="str">
        <f t="shared" si="51"/>
        <v/>
      </c>
      <c r="V68" s="36" t="str">
        <f t="shared" si="51"/>
        <v/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>S</v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>X</v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>X</v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>X</v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>S</v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>X</v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/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/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>S</v>
      </c>
      <c r="AP68" s="36" t="str">
        <f t="shared" si="77"/>
        <v>X</v>
      </c>
      <c r="AQ68" s="36" t="str">
        <f t="shared" si="78"/>
        <v>X</v>
      </c>
      <c r="AR68" s="36" t="str">
        <f t="shared" si="79"/>
        <v>X</v>
      </c>
      <c r="AS68" s="36" t="str">
        <f t="shared" si="80"/>
        <v>S</v>
      </c>
      <c r="AT68" s="36" t="str">
        <f t="shared" si="81"/>
        <v>X</v>
      </c>
      <c r="AU68" s="36" t="str">
        <f t="shared" si="82"/>
        <v xml:space="preserve"> </v>
      </c>
      <c r="AV68" s="36" t="str">
        <f t="shared" si="83"/>
        <v xml:space="preserve"> 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>S</v>
      </c>
      <c r="BF68" s="36" t="str">
        <v>X</v>
      </c>
      <c r="BG68" s="36" t="str">
        <v>X</v>
      </c>
      <c r="BH68" s="36" t="str">
        <v>X</v>
      </c>
      <c r="BI68" s="36" t="str">
        <v>S</v>
      </c>
      <c r="BJ68" s="36" t="str">
        <v>X</v>
      </c>
      <c r="BK68" s="36" t="str">
        <v/>
      </c>
      <c r="BL68" s="36" t="str">
        <v/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>S</v>
      </c>
      <c r="BS68" s="36" t="str">
        <f t="shared" si="53"/>
        <v>X</v>
      </c>
      <c r="BT68" s="36" t="str">
        <f t="shared" si="54"/>
        <v>X</v>
      </c>
      <c r="BU68" s="36" t="str">
        <f t="shared" si="55"/>
        <v>X</v>
      </c>
      <c r="BV68" s="36" t="str">
        <f t="shared" si="56"/>
        <v>S</v>
      </c>
      <c r="BW68" s="36" t="str">
        <f t="shared" si="57"/>
        <v>X</v>
      </c>
      <c r="BX68" s="36" t="str">
        <f t="shared" si="58"/>
        <v/>
      </c>
      <c r="BY68" s="36" t="str">
        <f t="shared" si="59"/>
        <v/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35">
      <c r="B69" s="3" t="str">
        <v>X</v>
      </c>
      <c r="C69" s="36" t="str">
        <v/>
      </c>
      <c r="D69" s="36" t="str">
        <v>R</v>
      </c>
      <c r="E69" s="36" t="str">
        <v>X</v>
      </c>
      <c r="F69" s="36" t="str">
        <v>X</v>
      </c>
      <c r="G69" s="36" t="str">
        <v/>
      </c>
      <c r="H69" s="36" t="str">
        <v/>
      </c>
      <c r="I69" s="36" t="str">
        <v/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>X</v>
      </c>
      <c r="P69" s="36" t="str">
        <f t="shared" si="51"/>
        <v/>
      </c>
      <c r="Q69" s="36" t="str">
        <f t="shared" si="51"/>
        <v>R</v>
      </c>
      <c r="R69" s="36" t="str">
        <f t="shared" si="51"/>
        <v>X</v>
      </c>
      <c r="S69" s="36" t="str">
        <f t="shared" si="51"/>
        <v>X</v>
      </c>
      <c r="T69" s="36" t="str">
        <f t="shared" si="51"/>
        <v/>
      </c>
      <c r="U69" s="36" t="str">
        <f t="shared" si="51"/>
        <v/>
      </c>
      <c r="V69" s="36" t="str">
        <f t="shared" si="51"/>
        <v/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>X</v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>S</v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>R</v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>X</v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>X</v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>S</v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/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/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>X</v>
      </c>
      <c r="AP69" s="36" t="str">
        <f t="shared" si="77"/>
        <v>S</v>
      </c>
      <c r="AQ69" s="36" t="str">
        <f t="shared" si="78"/>
        <v>R</v>
      </c>
      <c r="AR69" s="36" t="str">
        <f t="shared" si="79"/>
        <v>X</v>
      </c>
      <c r="AS69" s="36" t="str">
        <f t="shared" si="80"/>
        <v>X</v>
      </c>
      <c r="AT69" s="36" t="str">
        <f t="shared" si="81"/>
        <v>S</v>
      </c>
      <c r="AU69" s="36" t="str">
        <f t="shared" si="82"/>
        <v xml:space="preserve"> </v>
      </c>
      <c r="AV69" s="36" t="str">
        <f t="shared" si="83"/>
        <v xml:space="preserve"> 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>X</v>
      </c>
      <c r="BF69" s="36" t="str">
        <v/>
      </c>
      <c r="BG69" s="36" t="str">
        <v>R</v>
      </c>
      <c r="BH69" s="36" t="str">
        <v>X</v>
      </c>
      <c r="BI69" s="36" t="str">
        <v>X</v>
      </c>
      <c r="BJ69" s="36" t="str">
        <v/>
      </c>
      <c r="BK69" s="36" t="str">
        <v/>
      </c>
      <c r="BL69" s="36" t="str">
        <v/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>X</v>
      </c>
      <c r="BS69" s="36" t="str">
        <f t="shared" si="53"/>
        <v/>
      </c>
      <c r="BT69" s="36" t="str">
        <f t="shared" si="54"/>
        <v>R</v>
      </c>
      <c r="BU69" s="36" t="str">
        <f t="shared" si="55"/>
        <v>X</v>
      </c>
      <c r="BV69" s="36" t="str">
        <f t="shared" si="56"/>
        <v>X</v>
      </c>
      <c r="BW69" s="36" t="str">
        <f t="shared" si="57"/>
        <v/>
      </c>
      <c r="BX69" s="36" t="str">
        <f t="shared" si="58"/>
        <v/>
      </c>
      <c r="BY69" s="36" t="str">
        <f t="shared" si="59"/>
        <v/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35">
      <c r="B70" s="3" t="str">
        <v>R</v>
      </c>
      <c r="C70" s="36" t="str">
        <v/>
      </c>
      <c r="D70" s="36" t="str">
        <v>X</v>
      </c>
      <c r="E70" s="36" t="str">
        <v/>
      </c>
      <c r="F70" s="36" t="str">
        <v>R</v>
      </c>
      <c r="G70" s="36" t="str">
        <v/>
      </c>
      <c r="H70" s="36" t="str">
        <v/>
      </c>
      <c r="I70" s="36" t="str">
        <v/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>R</v>
      </c>
      <c r="P70" s="36" t="str">
        <f t="shared" si="51"/>
        <v/>
      </c>
      <c r="Q70" s="36" t="str">
        <f t="shared" si="51"/>
        <v>X</v>
      </c>
      <c r="R70" s="36" t="str">
        <f t="shared" si="51"/>
        <v/>
      </c>
      <c r="S70" s="36" t="str">
        <f t="shared" si="51"/>
        <v>R</v>
      </c>
      <c r="T70" s="36" t="str">
        <f t="shared" si="51"/>
        <v/>
      </c>
      <c r="U70" s="36" t="str">
        <f t="shared" si="51"/>
        <v/>
      </c>
      <c r="V70" s="36" t="str">
        <f t="shared" si="51"/>
        <v/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>R</v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>S</v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>X</v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>S</v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>R</v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>S</v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/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/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>R</v>
      </c>
      <c r="AP70" s="36" t="str">
        <f t="shared" si="77"/>
        <v>S</v>
      </c>
      <c r="AQ70" s="36" t="str">
        <f t="shared" si="78"/>
        <v>X</v>
      </c>
      <c r="AR70" s="36" t="str">
        <f t="shared" si="79"/>
        <v>S</v>
      </c>
      <c r="AS70" s="36" t="str">
        <f t="shared" si="80"/>
        <v>R</v>
      </c>
      <c r="AT70" s="36" t="str">
        <f t="shared" si="81"/>
        <v>S</v>
      </c>
      <c r="AU70" s="36" t="str">
        <f t="shared" si="82"/>
        <v xml:space="preserve"> </v>
      </c>
      <c r="AV70" s="36" t="str">
        <f t="shared" si="83"/>
        <v xml:space="preserve"> 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>R</v>
      </c>
      <c r="BF70" s="36" t="str">
        <v/>
      </c>
      <c r="BG70" s="36" t="str">
        <v>X</v>
      </c>
      <c r="BH70" s="36" t="str">
        <v/>
      </c>
      <c r="BI70" s="36" t="str">
        <v>R</v>
      </c>
      <c r="BJ70" s="36" t="str">
        <v/>
      </c>
      <c r="BK70" s="36" t="str">
        <v/>
      </c>
      <c r="BL70" s="36" t="str">
        <v/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>R</v>
      </c>
      <c r="BS70" s="36" t="str">
        <f t="shared" si="53"/>
        <v/>
      </c>
      <c r="BT70" s="36" t="str">
        <f t="shared" si="54"/>
        <v>X</v>
      </c>
      <c r="BU70" s="36" t="str">
        <f t="shared" si="55"/>
        <v/>
      </c>
      <c r="BV70" s="36" t="str">
        <f t="shared" si="56"/>
        <v>R</v>
      </c>
      <c r="BW70" s="36" t="str">
        <f t="shared" si="57"/>
        <v/>
      </c>
      <c r="BX70" s="36" t="str">
        <f t="shared" si="58"/>
        <v/>
      </c>
      <c r="BY70" s="36" t="str">
        <f t="shared" si="59"/>
        <v/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35">
      <c r="B71" s="3" t="str">
        <v>X</v>
      </c>
      <c r="C71" s="36" t="str">
        <v/>
      </c>
      <c r="D71" s="36" t="str">
        <v/>
      </c>
      <c r="E71" s="36" t="str">
        <v/>
      </c>
      <c r="F71" s="36" t="str">
        <v>X</v>
      </c>
      <c r="G71" s="36" t="str">
        <v/>
      </c>
      <c r="H71" s="36" t="str">
        <v/>
      </c>
      <c r="I71" s="36" t="str">
        <v/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>X</v>
      </c>
      <c r="P71" s="36" t="str">
        <f t="shared" si="51"/>
        <v/>
      </c>
      <c r="Q71" s="36" t="str">
        <f t="shared" si="51"/>
        <v/>
      </c>
      <c r="R71" s="36" t="str">
        <f t="shared" si="51"/>
        <v/>
      </c>
      <c r="S71" s="36" t="str">
        <f t="shared" si="51"/>
        <v>X</v>
      </c>
      <c r="T71" s="36" t="str">
        <f t="shared" si="51"/>
        <v/>
      </c>
      <c r="U71" s="36" t="str">
        <f t="shared" si="51"/>
        <v/>
      </c>
      <c r="V71" s="36" t="str">
        <f t="shared" si="51"/>
        <v/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>X</v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>S</v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>S</v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>S</v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>X</v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>S</v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/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/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>X</v>
      </c>
      <c r="AP71" s="36" t="str">
        <f t="shared" si="77"/>
        <v>S</v>
      </c>
      <c r="AQ71" s="36" t="str">
        <f t="shared" si="78"/>
        <v>S</v>
      </c>
      <c r="AR71" s="36" t="str">
        <f t="shared" si="79"/>
        <v>S</v>
      </c>
      <c r="AS71" s="36" t="str">
        <f t="shared" si="80"/>
        <v>X</v>
      </c>
      <c r="AT71" s="36" t="str">
        <f t="shared" si="81"/>
        <v>S</v>
      </c>
      <c r="AU71" s="36" t="str">
        <f t="shared" si="82"/>
        <v xml:space="preserve"> </v>
      </c>
      <c r="AV71" s="36" t="str">
        <f t="shared" si="83"/>
        <v xml:space="preserve"> 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>X</v>
      </c>
      <c r="BF71" s="36" t="str">
        <v/>
      </c>
      <c r="BG71" s="36" t="str">
        <v/>
      </c>
      <c r="BH71" s="36" t="str">
        <v/>
      </c>
      <c r="BI71" s="36" t="str">
        <v>X</v>
      </c>
      <c r="BJ71" s="36" t="str">
        <v/>
      </c>
      <c r="BK71" s="36" t="str">
        <v/>
      </c>
      <c r="BL71" s="36" t="str">
        <v/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>X</v>
      </c>
      <c r="BS71" s="36" t="str">
        <f t="shared" si="53"/>
        <v/>
      </c>
      <c r="BT71" s="36" t="str">
        <f t="shared" si="54"/>
        <v/>
      </c>
      <c r="BU71" s="36" t="str">
        <f t="shared" si="55"/>
        <v/>
      </c>
      <c r="BV71" s="36" t="str">
        <f t="shared" si="56"/>
        <v>X</v>
      </c>
      <c r="BW71" s="36" t="str">
        <f t="shared" si="57"/>
        <v/>
      </c>
      <c r="BX71" s="36" t="str">
        <f t="shared" si="58"/>
        <v/>
      </c>
      <c r="BY71" s="36" t="str">
        <f t="shared" si="59"/>
        <v/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35">
      <c r="B72" s="3" t="str">
        <v/>
      </c>
      <c r="C72" s="36" t="str">
        <v/>
      </c>
      <c r="D72" s="36" t="str">
        <v/>
      </c>
      <c r="E72" s="36" t="str">
        <v/>
      </c>
      <c r="F72" s="36" t="str">
        <v/>
      </c>
      <c r="G72" s="36" t="str">
        <v/>
      </c>
      <c r="H72" s="36" t="str">
        <v/>
      </c>
      <c r="I72" s="36" t="str">
        <v/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/>
      </c>
      <c r="P72" s="36" t="str">
        <f t="shared" si="51"/>
        <v/>
      </c>
      <c r="Q72" s="36" t="str">
        <f t="shared" si="51"/>
        <v/>
      </c>
      <c r="R72" s="36" t="str">
        <f t="shared" si="51"/>
        <v/>
      </c>
      <c r="S72" s="36" t="str">
        <f t="shared" si="51"/>
        <v/>
      </c>
      <c r="T72" s="36" t="str">
        <f t="shared" si="51"/>
        <v/>
      </c>
      <c r="U72" s="36" t="str">
        <f t="shared" si="51"/>
        <v/>
      </c>
      <c r="V72" s="36" t="str">
        <f t="shared" si="51"/>
        <v/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>S</v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>R</v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>S</v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>S</v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>S</v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>R</v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/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/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>S</v>
      </c>
      <c r="AP72" s="36" t="str">
        <f t="shared" si="77"/>
        <v>R</v>
      </c>
      <c r="AQ72" s="36" t="str">
        <f t="shared" si="78"/>
        <v>S</v>
      </c>
      <c r="AR72" s="36" t="str">
        <f t="shared" si="79"/>
        <v>S</v>
      </c>
      <c r="AS72" s="36" t="str">
        <f t="shared" si="80"/>
        <v>S</v>
      </c>
      <c r="AT72" s="36" t="str">
        <f t="shared" si="81"/>
        <v>R</v>
      </c>
      <c r="AU72" s="36" t="str">
        <f t="shared" si="82"/>
        <v xml:space="preserve"> </v>
      </c>
      <c r="AV72" s="36" t="str">
        <f t="shared" si="83"/>
        <v xml:space="preserve"> 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/>
      </c>
      <c r="BF72" s="36" t="str">
        <v/>
      </c>
      <c r="BG72" s="36" t="str">
        <v/>
      </c>
      <c r="BH72" s="36" t="str">
        <v/>
      </c>
      <c r="BI72" s="36" t="str">
        <v/>
      </c>
      <c r="BJ72" s="36" t="str">
        <v/>
      </c>
      <c r="BK72" s="36" t="str">
        <v/>
      </c>
      <c r="BL72" s="36" t="str">
        <v/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/>
      </c>
      <c r="BS72" s="36" t="str">
        <f t="shared" si="53"/>
        <v/>
      </c>
      <c r="BT72" s="36" t="str">
        <f t="shared" si="54"/>
        <v/>
      </c>
      <c r="BU72" s="36" t="str">
        <f t="shared" si="55"/>
        <v/>
      </c>
      <c r="BV72" s="36" t="str">
        <f t="shared" si="56"/>
        <v/>
      </c>
      <c r="BW72" s="36" t="str">
        <f t="shared" si="57"/>
        <v/>
      </c>
      <c r="BX72" s="36" t="str">
        <f t="shared" si="58"/>
        <v/>
      </c>
      <c r="BY72" s="36" t="str">
        <f t="shared" si="59"/>
        <v/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35">
      <c r="B73" s="3" t="str">
        <v>S</v>
      </c>
      <c r="C73" s="36" t="str">
        <v>S</v>
      </c>
      <c r="D73" s="36" t="str">
        <v>S</v>
      </c>
      <c r="E73" s="36" t="str">
        <v>S</v>
      </c>
      <c r="F73" s="36" t="str">
        <v>S</v>
      </c>
      <c r="G73" s="36" t="str">
        <v>S</v>
      </c>
      <c r="H73" s="36" t="str">
        <v/>
      </c>
      <c r="I73" s="36" t="str">
        <v/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>S</v>
      </c>
      <c r="P73" s="36" t="str">
        <f t="shared" si="51"/>
        <v>S</v>
      </c>
      <c r="Q73" s="36" t="str">
        <f t="shared" si="51"/>
        <v>S</v>
      </c>
      <c r="R73" s="36" t="str">
        <f t="shared" si="51"/>
        <v>S</v>
      </c>
      <c r="S73" s="36" t="str">
        <f t="shared" si="51"/>
        <v>S</v>
      </c>
      <c r="T73" s="36" t="str">
        <f t="shared" si="51"/>
        <v>S</v>
      </c>
      <c r="U73" s="36" t="str">
        <f t="shared" si="51"/>
        <v/>
      </c>
      <c r="V73" s="36" t="str">
        <f t="shared" si="51"/>
        <v/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>S</v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/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>R</v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>R</v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>S</v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/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/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/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>S</v>
      </c>
      <c r="AP73" s="36" t="str">
        <f t="shared" si="77"/>
        <v xml:space="preserve"> </v>
      </c>
      <c r="AQ73" s="36" t="str">
        <f t="shared" si="78"/>
        <v>R</v>
      </c>
      <c r="AR73" s="36" t="str">
        <f t="shared" si="79"/>
        <v>R</v>
      </c>
      <c r="AS73" s="36" t="str">
        <f t="shared" si="80"/>
        <v>S</v>
      </c>
      <c r="AT73" s="36" t="str">
        <f t="shared" si="81"/>
        <v xml:space="preserve"> </v>
      </c>
      <c r="AU73" s="36" t="str">
        <f t="shared" si="82"/>
        <v xml:space="preserve"> </v>
      </c>
      <c r="AV73" s="36" t="str">
        <f t="shared" si="83"/>
        <v xml:space="preserve"> 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>S</v>
      </c>
      <c r="BF73" s="36" t="str">
        <v>S</v>
      </c>
      <c r="BG73" s="36" t="str">
        <v>S</v>
      </c>
      <c r="BH73" s="36" t="str">
        <v>S</v>
      </c>
      <c r="BI73" s="36" t="str">
        <v>S</v>
      </c>
      <c r="BJ73" s="36" t="str">
        <v>S</v>
      </c>
      <c r="BK73" s="36" t="str">
        <v/>
      </c>
      <c r="BL73" s="36" t="str">
        <v/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>S</v>
      </c>
      <c r="BS73" s="36" t="str">
        <f t="shared" si="53"/>
        <v>S</v>
      </c>
      <c r="BT73" s="36" t="str">
        <f t="shared" si="54"/>
        <v>S</v>
      </c>
      <c r="BU73" s="36" t="str">
        <f t="shared" si="55"/>
        <v>S</v>
      </c>
      <c r="BV73" s="36" t="str">
        <f t="shared" si="56"/>
        <v>S</v>
      </c>
      <c r="BW73" s="36" t="str">
        <f t="shared" si="57"/>
        <v>S</v>
      </c>
      <c r="BX73" s="36" t="str">
        <f t="shared" si="58"/>
        <v/>
      </c>
      <c r="BY73" s="36" t="str">
        <f t="shared" si="59"/>
        <v/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35">
      <c r="B74" s="3" t="str">
        <v>S</v>
      </c>
      <c r="C74" s="36" t="str">
        <v>S</v>
      </c>
      <c r="D74" s="36" t="str">
        <v>S</v>
      </c>
      <c r="E74" s="36" t="str">
        <v>S</v>
      </c>
      <c r="F74" s="36" t="str">
        <v>S</v>
      </c>
      <c r="G74" s="36" t="str">
        <v>S</v>
      </c>
      <c r="H74" s="36" t="str">
        <v/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>S</v>
      </c>
      <c r="P74" s="36" t="str">
        <f t="shared" si="51"/>
        <v>S</v>
      </c>
      <c r="Q74" s="36" t="str">
        <f t="shared" si="51"/>
        <v>S</v>
      </c>
      <c r="R74" s="36" t="str">
        <f t="shared" si="51"/>
        <v>S</v>
      </c>
      <c r="S74" s="36" t="str">
        <f t="shared" si="51"/>
        <v>S</v>
      </c>
      <c r="T74" s="36" t="str">
        <f t="shared" si="51"/>
        <v>S</v>
      </c>
      <c r="U74" s="36" t="str">
        <f t="shared" si="51"/>
        <v/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>X</v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/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/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/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>X</v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/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/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/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>X</v>
      </c>
      <c r="AP74" s="36" t="str">
        <f t="shared" si="77"/>
        <v xml:space="preserve"> </v>
      </c>
      <c r="AQ74" s="36" t="str">
        <f t="shared" si="78"/>
        <v xml:space="preserve"> </v>
      </c>
      <c r="AR74" s="36" t="str">
        <f t="shared" si="79"/>
        <v xml:space="preserve"> </v>
      </c>
      <c r="AS74" s="36" t="str">
        <f t="shared" si="80"/>
        <v>X</v>
      </c>
      <c r="AT74" s="36" t="str">
        <f t="shared" si="81"/>
        <v xml:space="preserve"> </v>
      </c>
      <c r="AU74" s="36" t="str">
        <f t="shared" si="82"/>
        <v xml:space="preserve"> </v>
      </c>
      <c r="AV74" s="36" t="str">
        <f t="shared" si="83"/>
        <v xml:space="preserve"> 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>S</v>
      </c>
      <c r="BF74" s="36" t="str">
        <v>S</v>
      </c>
      <c r="BG74" s="36" t="str">
        <v>S</v>
      </c>
      <c r="BH74" s="36" t="str">
        <v>S</v>
      </c>
      <c r="BI74" s="36" t="str">
        <v>S</v>
      </c>
      <c r="BJ74" s="36" t="str">
        <v>S</v>
      </c>
      <c r="BK74" s="36" t="str">
        <v/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>S</v>
      </c>
      <c r="BS74" s="36" t="str">
        <f t="shared" si="53"/>
        <v>S</v>
      </c>
      <c r="BT74" s="36" t="str">
        <f t="shared" si="54"/>
        <v>S</v>
      </c>
      <c r="BU74" s="36" t="str">
        <f t="shared" si="55"/>
        <v>S</v>
      </c>
      <c r="BV74" s="36" t="str">
        <f t="shared" si="56"/>
        <v>S</v>
      </c>
      <c r="BW74" s="36" t="str">
        <f t="shared" si="57"/>
        <v>S</v>
      </c>
      <c r="BX74" s="36" t="str">
        <f t="shared" si="58"/>
        <v/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35">
      <c r="B75" s="3" t="str">
        <v>X</v>
      </c>
      <c r="C75" s="36" t="str">
        <v>S</v>
      </c>
      <c r="D75" s="36" t="str">
        <v>R</v>
      </c>
      <c r="E75" s="36" t="str">
        <v>S</v>
      </c>
      <c r="F75" s="36" t="str">
        <v>X</v>
      </c>
      <c r="G75" s="36" t="str">
        <v>S</v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>X</v>
      </c>
      <c r="P75" s="36" t="str">
        <f t="shared" si="51"/>
        <v>S</v>
      </c>
      <c r="Q75" s="36" t="str">
        <f t="shared" si="51"/>
        <v>R</v>
      </c>
      <c r="R75" s="36" t="str">
        <f t="shared" si="51"/>
        <v>S</v>
      </c>
      <c r="S75" s="36" t="str">
        <f t="shared" si="51"/>
        <v>X</v>
      </c>
      <c r="T75" s="36" t="str">
        <f t="shared" si="51"/>
        <v>S</v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>X</v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/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/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/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>R</v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/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/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/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>X</v>
      </c>
      <c r="AP75" s="36" t="str">
        <f t="shared" si="77"/>
        <v xml:space="preserve"> </v>
      </c>
      <c r="AQ75" s="36" t="str">
        <f t="shared" si="78"/>
        <v xml:space="preserve"> </v>
      </c>
      <c r="AR75" s="36" t="str">
        <f t="shared" si="79"/>
        <v xml:space="preserve"> </v>
      </c>
      <c r="AS75" s="36" t="str">
        <f t="shared" si="80"/>
        <v>R</v>
      </c>
      <c r="AT75" s="36" t="str">
        <f t="shared" si="81"/>
        <v xml:space="preserve"> </v>
      </c>
      <c r="AU75" s="36" t="str">
        <f t="shared" si="82"/>
        <v xml:space="preserve"> </v>
      </c>
      <c r="AV75" s="36" t="str">
        <f t="shared" si="83"/>
        <v xml:space="preserve"> 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>X</v>
      </c>
      <c r="BF75" s="36" t="str">
        <v>S</v>
      </c>
      <c r="BG75" s="36" t="str">
        <v>R</v>
      </c>
      <c r="BH75" s="36" t="str">
        <v>S</v>
      </c>
      <c r="BI75" s="36" t="str">
        <v>X</v>
      </c>
      <c r="BJ75" s="36" t="str">
        <v>S</v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>X</v>
      </c>
      <c r="BS75" s="36" t="str">
        <f t="shared" si="53"/>
        <v>S</v>
      </c>
      <c r="BT75" s="36" t="str">
        <f t="shared" si="54"/>
        <v>R</v>
      </c>
      <c r="BU75" s="36" t="str">
        <f t="shared" si="55"/>
        <v>S</v>
      </c>
      <c r="BV75" s="36" t="str">
        <f t="shared" si="56"/>
        <v>X</v>
      </c>
      <c r="BW75" s="36" t="str">
        <f t="shared" si="57"/>
        <v>S</v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35">
      <c r="B76" s="3" t="str">
        <v>X</v>
      </c>
      <c r="C76" s="36" t="str">
        <v>R</v>
      </c>
      <c r="D76" s="36" t="str">
        <v/>
      </c>
      <c r="E76" s="36" t="str">
        <v>R</v>
      </c>
      <c r="F76" s="36" t="str">
        <v>R</v>
      </c>
      <c r="G76" s="36" t="str">
        <v>R</v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>X</v>
      </c>
      <c r="P76" s="36" t="str">
        <f t="shared" si="51"/>
        <v>R</v>
      </c>
      <c r="Q76" s="36" t="str">
        <f t="shared" si="51"/>
        <v/>
      </c>
      <c r="R76" s="36" t="str">
        <f t="shared" si="51"/>
        <v>R</v>
      </c>
      <c r="S76" s="36" t="str">
        <f t="shared" si="51"/>
        <v>R</v>
      </c>
      <c r="T76" s="36" t="str">
        <f t="shared" si="51"/>
        <v>R</v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/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/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/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/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/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/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/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/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 xml:space="preserve"> </v>
      </c>
      <c r="AP76" s="36" t="str">
        <f t="shared" si="77"/>
        <v xml:space="preserve"> </v>
      </c>
      <c r="AQ76" s="36" t="str">
        <f t="shared" si="78"/>
        <v xml:space="preserve"> </v>
      </c>
      <c r="AR76" s="36" t="str">
        <f t="shared" si="79"/>
        <v xml:space="preserve"> </v>
      </c>
      <c r="AS76" s="36" t="str">
        <f t="shared" si="80"/>
        <v xml:space="preserve"> </v>
      </c>
      <c r="AT76" s="36" t="str">
        <f t="shared" si="81"/>
        <v xml:space="preserve"> </v>
      </c>
      <c r="AU76" s="36" t="str">
        <f t="shared" si="82"/>
        <v xml:space="preserve"> </v>
      </c>
      <c r="AV76" s="36" t="str">
        <f t="shared" si="83"/>
        <v xml:space="preserve"> 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>X</v>
      </c>
      <c r="BF76" s="36" t="str">
        <v>R</v>
      </c>
      <c r="BG76" s="36" t="str">
        <v/>
      </c>
      <c r="BH76" s="36" t="str">
        <v>R</v>
      </c>
      <c r="BI76" s="36" t="str">
        <v>R</v>
      </c>
      <c r="BJ76" s="36" t="str">
        <v>R</v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>X</v>
      </c>
      <c r="BS76" s="36" t="str">
        <f t="shared" si="53"/>
        <v>R</v>
      </c>
      <c r="BT76" s="36" t="str">
        <f t="shared" si="54"/>
        <v/>
      </c>
      <c r="BU76" s="36" t="str">
        <f t="shared" si="55"/>
        <v>R</v>
      </c>
      <c r="BV76" s="36" t="str">
        <f t="shared" si="56"/>
        <v>R</v>
      </c>
      <c r="BW76" s="36" t="str">
        <f t="shared" si="57"/>
        <v>R</v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35">
      <c r="B77" s="3" t="str">
        <v/>
      </c>
      <c r="C77" s="36" t="str">
        <v/>
      </c>
      <c r="D77" s="36" t="str">
        <v/>
      </c>
      <c r="E77" s="36" t="str">
        <v/>
      </c>
      <c r="F77" s="36" t="str">
        <v/>
      </c>
      <c r="G77" s="36" t="str">
        <v/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/>
      </c>
      <c r="P77" s="36" t="str">
        <f t="shared" si="51"/>
        <v/>
      </c>
      <c r="Q77" s="36" t="str">
        <f t="shared" si="51"/>
        <v/>
      </c>
      <c r="R77" s="36" t="str">
        <f t="shared" si="51"/>
        <v/>
      </c>
      <c r="S77" s="36" t="str">
        <f t="shared" si="51"/>
        <v/>
      </c>
      <c r="T77" s="36" t="str">
        <f t="shared" si="51"/>
        <v/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/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/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/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/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/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/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/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/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 xml:space="preserve"> </v>
      </c>
      <c r="AP77" s="36" t="str">
        <f t="shared" si="77"/>
        <v xml:space="preserve"> </v>
      </c>
      <c r="AQ77" s="36" t="str">
        <f t="shared" si="78"/>
        <v xml:space="preserve"> </v>
      </c>
      <c r="AR77" s="36" t="str">
        <f t="shared" si="79"/>
        <v xml:space="preserve"> </v>
      </c>
      <c r="AS77" s="36" t="str">
        <f t="shared" si="80"/>
        <v xml:space="preserve"> </v>
      </c>
      <c r="AT77" s="36" t="str">
        <f t="shared" si="81"/>
        <v xml:space="preserve"> </v>
      </c>
      <c r="AU77" s="36" t="str">
        <f t="shared" si="82"/>
        <v xml:space="preserve"> </v>
      </c>
      <c r="AV77" s="36" t="str">
        <f t="shared" si="83"/>
        <v xml:space="preserve"> 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/>
      </c>
      <c r="BF77" s="36" t="str">
        <v/>
      </c>
      <c r="BG77" s="36" t="str">
        <v/>
      </c>
      <c r="BH77" s="36" t="str">
        <v/>
      </c>
      <c r="BI77" s="36" t="str">
        <v/>
      </c>
      <c r="BJ77" s="36" t="str">
        <v/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/>
      </c>
      <c r="BS77" s="36" t="str">
        <f t="shared" si="53"/>
        <v/>
      </c>
      <c r="BT77" s="36" t="str">
        <f t="shared" si="54"/>
        <v/>
      </c>
      <c r="BU77" s="36" t="str">
        <f t="shared" si="55"/>
        <v/>
      </c>
      <c r="BV77" s="36" t="str">
        <f t="shared" si="56"/>
        <v/>
      </c>
      <c r="BW77" s="36" t="str">
        <f t="shared" si="57"/>
        <v/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35">
      <c r="B78" s="3" t="str">
        <v/>
      </c>
      <c r="C78" s="36" t="str">
        <v/>
      </c>
      <c r="D78" s="36" t="str">
        <v/>
      </c>
      <c r="E78" s="36" t="str">
        <v/>
      </c>
      <c r="F78" s="36" t="str">
        <v/>
      </c>
      <c r="G78" s="36" t="str">
        <v/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/>
      </c>
      <c r="P78" s="36" t="str">
        <f t="shared" si="51"/>
        <v/>
      </c>
      <c r="Q78" s="36" t="str">
        <f t="shared" si="51"/>
        <v/>
      </c>
      <c r="R78" s="36" t="str">
        <f t="shared" si="51"/>
        <v/>
      </c>
      <c r="S78" s="36" t="str">
        <f t="shared" si="51"/>
        <v/>
      </c>
      <c r="T78" s="36" t="str">
        <f t="shared" si="51"/>
        <v/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/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/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/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/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/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/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/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/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 xml:space="preserve"> </v>
      </c>
      <c r="AP78" s="36" t="str">
        <f t="shared" si="77"/>
        <v xml:space="preserve"> </v>
      </c>
      <c r="AQ78" s="36" t="str">
        <f t="shared" si="78"/>
        <v xml:space="preserve"> </v>
      </c>
      <c r="AR78" s="36" t="str">
        <f t="shared" si="79"/>
        <v xml:space="preserve"> </v>
      </c>
      <c r="AS78" s="36" t="str">
        <f t="shared" si="80"/>
        <v xml:space="preserve"> </v>
      </c>
      <c r="AT78" s="36" t="str">
        <f t="shared" si="81"/>
        <v xml:space="preserve"> </v>
      </c>
      <c r="AU78" s="36" t="str">
        <f t="shared" si="82"/>
        <v xml:space="preserve"> </v>
      </c>
      <c r="AV78" s="36" t="str">
        <f t="shared" si="83"/>
        <v xml:space="preserve"> 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/>
      </c>
      <c r="BF78" s="36" t="str">
        <v/>
      </c>
      <c r="BG78" s="36" t="str">
        <v/>
      </c>
      <c r="BH78" s="36" t="str">
        <v/>
      </c>
      <c r="BI78" s="36" t="str">
        <v/>
      </c>
      <c r="BJ78" s="36" t="str">
        <v/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/>
      </c>
      <c r="BS78" s="36" t="str">
        <f t="shared" si="53"/>
        <v/>
      </c>
      <c r="BT78" s="36" t="str">
        <f t="shared" si="54"/>
        <v/>
      </c>
      <c r="BU78" s="36" t="str">
        <f t="shared" si="55"/>
        <v/>
      </c>
      <c r="BV78" s="36" t="str">
        <f t="shared" si="56"/>
        <v/>
      </c>
      <c r="BW78" s="36" t="str">
        <f t="shared" si="57"/>
        <v/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35">
      <c r="B79" s="3" t="str">
        <v/>
      </c>
      <c r="C79" s="36" t="str">
        <v/>
      </c>
      <c r="D79" s="36" t="str">
        <v/>
      </c>
      <c r="E79" s="36" t="str">
        <v/>
      </c>
      <c r="F79" s="36" t="str">
        <v/>
      </c>
      <c r="G79" s="36" t="str">
        <v/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/>
      </c>
      <c r="P79" s="36" t="str">
        <f t="shared" si="51"/>
        <v/>
      </c>
      <c r="Q79" s="36" t="str">
        <f t="shared" si="51"/>
        <v/>
      </c>
      <c r="R79" s="36" t="str">
        <f t="shared" si="51"/>
        <v/>
      </c>
      <c r="S79" s="36" t="str">
        <f t="shared" si="51"/>
        <v/>
      </c>
      <c r="T79" s="36" t="str">
        <f t="shared" si="51"/>
        <v/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/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/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/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/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/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/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/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/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 xml:space="preserve"> </v>
      </c>
      <c r="AP79" s="36" t="str">
        <f t="shared" si="77"/>
        <v xml:space="preserve"> </v>
      </c>
      <c r="AQ79" s="36" t="str">
        <f t="shared" si="78"/>
        <v xml:space="preserve"> </v>
      </c>
      <c r="AR79" s="36" t="str">
        <f t="shared" si="79"/>
        <v xml:space="preserve"> </v>
      </c>
      <c r="AS79" s="36" t="str">
        <f t="shared" si="80"/>
        <v xml:space="preserve"> </v>
      </c>
      <c r="AT79" s="36" t="str">
        <f t="shared" si="81"/>
        <v xml:space="preserve"> </v>
      </c>
      <c r="AU79" s="36" t="str">
        <f t="shared" si="82"/>
        <v xml:space="preserve"> </v>
      </c>
      <c r="AV79" s="36" t="str">
        <f t="shared" si="83"/>
        <v xml:space="preserve"> 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/>
      </c>
      <c r="BF79" s="36" t="str">
        <v/>
      </c>
      <c r="BG79" s="36" t="str">
        <v/>
      </c>
      <c r="BH79" s="36" t="str">
        <v/>
      </c>
      <c r="BI79" s="36" t="str">
        <v/>
      </c>
      <c r="BJ79" s="36" t="str">
        <v/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/>
      </c>
      <c r="BS79" s="36" t="str">
        <f t="shared" si="53"/>
        <v/>
      </c>
      <c r="BT79" s="36" t="str">
        <f t="shared" si="54"/>
        <v/>
      </c>
      <c r="BU79" s="36" t="str">
        <f t="shared" si="55"/>
        <v/>
      </c>
      <c r="BV79" s="36" t="str">
        <f t="shared" si="56"/>
        <v/>
      </c>
      <c r="BW79" s="36" t="str">
        <f t="shared" si="57"/>
        <v/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35">
      <c r="B80" s="3" t="str">
        <v/>
      </c>
      <c r="C80" s="36" t="str">
        <v/>
      </c>
      <c r="D80" s="36" t="str">
        <v/>
      </c>
      <c r="E80" s="36" t="str">
        <v/>
      </c>
      <c r="F80" s="36" t="str">
        <v/>
      </c>
      <c r="G80" s="36" t="str">
        <v/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/>
      </c>
      <c r="P80" s="36" t="str">
        <f t="shared" si="75"/>
        <v/>
      </c>
      <c r="Q80" s="36" t="str">
        <f t="shared" si="75"/>
        <v/>
      </c>
      <c r="R80" s="36" t="str">
        <f t="shared" si="75"/>
        <v/>
      </c>
      <c r="S80" s="36" t="str">
        <f t="shared" si="75"/>
        <v/>
      </c>
      <c r="T80" s="36" t="str">
        <f t="shared" si="75"/>
        <v/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/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/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/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/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/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/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/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/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 xml:space="preserve"> </v>
      </c>
      <c r="AP80" s="36" t="str">
        <f t="shared" si="77"/>
        <v xml:space="preserve"> </v>
      </c>
      <c r="AQ80" s="36" t="str">
        <f t="shared" si="78"/>
        <v xml:space="preserve"> </v>
      </c>
      <c r="AR80" s="36" t="str">
        <f t="shared" si="79"/>
        <v xml:space="preserve"> </v>
      </c>
      <c r="AS80" s="36" t="str">
        <f t="shared" si="80"/>
        <v xml:space="preserve"> </v>
      </c>
      <c r="AT80" s="36" t="str">
        <f t="shared" si="81"/>
        <v xml:space="preserve"> </v>
      </c>
      <c r="AU80" s="36" t="str">
        <f t="shared" si="82"/>
        <v xml:space="preserve"> </v>
      </c>
      <c r="AV80" s="36" t="str">
        <f t="shared" si="83"/>
        <v xml:space="preserve"> 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/>
      </c>
      <c r="BF80" s="36" t="str">
        <v/>
      </c>
      <c r="BG80" s="36" t="str">
        <v/>
      </c>
      <c r="BH80" s="36" t="str">
        <v/>
      </c>
      <c r="BI80" s="36" t="str">
        <v/>
      </c>
      <c r="BJ80" s="36" t="str">
        <v/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/>
      </c>
      <c r="BS80" s="36" t="str">
        <f t="shared" si="53"/>
        <v/>
      </c>
      <c r="BT80" s="36" t="str">
        <f t="shared" si="54"/>
        <v/>
      </c>
      <c r="BU80" s="36" t="str">
        <f t="shared" si="55"/>
        <v/>
      </c>
      <c r="BV80" s="36" t="str">
        <f t="shared" si="56"/>
        <v/>
      </c>
      <c r="BW80" s="36" t="str">
        <f t="shared" si="57"/>
        <v/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35">
      <c r="B81" s="3" t="str">
        <v/>
      </c>
      <c r="C81" s="36" t="str">
        <v/>
      </c>
      <c r="D81" s="36" t="str">
        <v/>
      </c>
      <c r="E81" s="36" t="str">
        <v/>
      </c>
      <c r="F81" s="36" t="str">
        <v/>
      </c>
      <c r="G81" s="36" t="str">
        <v/>
      </c>
      <c r="H81" s="36" t="str">
        <v/>
      </c>
      <c r="I81" s="36" t="str">
        <v/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/>
      </c>
      <c r="P81" s="36" t="str">
        <f t="shared" si="75"/>
        <v/>
      </c>
      <c r="Q81" s="36" t="str">
        <f t="shared" si="75"/>
        <v/>
      </c>
      <c r="R81" s="36" t="str">
        <f t="shared" si="75"/>
        <v/>
      </c>
      <c r="S81" s="36" t="str">
        <f t="shared" si="75"/>
        <v/>
      </c>
      <c r="T81" s="36" t="str">
        <f t="shared" si="75"/>
        <v/>
      </c>
      <c r="U81" s="36" t="str">
        <f t="shared" si="75"/>
        <v/>
      </c>
      <c r="V81" s="36" t="str">
        <f t="shared" si="75"/>
        <v/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/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/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/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/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/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 xml:space="preserve"> </v>
      </c>
      <c r="AP81" s="36" t="str">
        <f t="shared" si="77"/>
        <v xml:space="preserve"> </v>
      </c>
      <c r="AQ81" s="36" t="str">
        <f t="shared" si="78"/>
        <v xml:space="preserve"> </v>
      </c>
      <c r="AR81" s="36" t="str">
        <f t="shared" si="79"/>
        <v xml:space="preserve"> </v>
      </c>
      <c r="AS81" s="36" t="str">
        <f t="shared" si="80"/>
        <v xml:space="preserve"> </v>
      </c>
      <c r="AT81" s="36" t="str">
        <f t="shared" si="81"/>
        <v xml:space="preserve"> 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/>
      </c>
      <c r="BF81" s="36" t="str">
        <v/>
      </c>
      <c r="BG81" s="36" t="str">
        <v/>
      </c>
      <c r="BH81" s="36" t="str">
        <v/>
      </c>
      <c r="BI81" s="36" t="str">
        <v/>
      </c>
      <c r="BJ81" s="36" t="str">
        <v/>
      </c>
      <c r="BK81" s="36" t="str">
        <v/>
      </c>
      <c r="BL81" s="36" t="str">
        <v/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/>
      </c>
      <c r="BS81" s="36" t="str">
        <f t="shared" si="53"/>
        <v/>
      </c>
      <c r="BT81" s="36" t="str">
        <f t="shared" si="54"/>
        <v/>
      </c>
      <c r="BU81" s="36" t="str">
        <f t="shared" si="55"/>
        <v/>
      </c>
      <c r="BV81" s="36" t="str">
        <f t="shared" si="56"/>
        <v/>
      </c>
      <c r="BW81" s="36" t="str">
        <f t="shared" si="57"/>
        <v/>
      </c>
      <c r="BX81" s="36" t="str">
        <f t="shared" si="58"/>
        <v/>
      </c>
      <c r="BY81" s="36" t="str">
        <f t="shared" si="59"/>
        <v/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35">
      <c r="B82" s="3" t="str">
        <v/>
      </c>
      <c r="C82" s="36" t="str">
        <v/>
      </c>
      <c r="D82" s="36" t="str">
        <v/>
      </c>
      <c r="E82" s="36" t="str">
        <v/>
      </c>
      <c r="F82" s="36" t="str">
        <v/>
      </c>
      <c r="G82" s="36" t="str">
        <v/>
      </c>
      <c r="H82" s="36" t="str">
        <v/>
      </c>
      <c r="I82" s="36" t="str">
        <v/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/>
      </c>
      <c r="P82" s="36" t="str">
        <f t="shared" si="75"/>
        <v/>
      </c>
      <c r="Q82" s="36" t="str">
        <f t="shared" si="75"/>
        <v/>
      </c>
      <c r="R82" s="36" t="str">
        <f t="shared" si="75"/>
        <v/>
      </c>
      <c r="S82" s="36" t="str">
        <f t="shared" si="75"/>
        <v/>
      </c>
      <c r="T82" s="36" t="str">
        <f t="shared" si="75"/>
        <v/>
      </c>
      <c r="U82" s="36" t="str">
        <f t="shared" si="75"/>
        <v/>
      </c>
      <c r="V82" s="36" t="str">
        <f t="shared" si="75"/>
        <v/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/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/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/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 xml:space="preserve"> 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 xml:space="preserve"> </v>
      </c>
      <c r="AS82" s="36" t="str">
        <f t="shared" si="80"/>
        <v xml:space="preserve"> </v>
      </c>
      <c r="AT82" s="36" t="str">
        <f t="shared" si="81"/>
        <v xml:space="preserve"> 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/>
      </c>
      <c r="BF82" s="36" t="str">
        <v/>
      </c>
      <c r="BG82" s="36" t="str">
        <v/>
      </c>
      <c r="BH82" s="36" t="str">
        <v/>
      </c>
      <c r="BI82" s="36" t="str">
        <v/>
      </c>
      <c r="BJ82" s="36" t="str">
        <v/>
      </c>
      <c r="BK82" s="36" t="str">
        <v/>
      </c>
      <c r="BL82" s="36" t="str">
        <v/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/>
      </c>
      <c r="BS82" s="36" t="str">
        <f t="shared" si="53"/>
        <v/>
      </c>
      <c r="BT82" s="36" t="str">
        <f t="shared" si="54"/>
        <v/>
      </c>
      <c r="BU82" s="36" t="str">
        <f t="shared" si="55"/>
        <v/>
      </c>
      <c r="BV82" s="36" t="str">
        <f t="shared" si="56"/>
        <v/>
      </c>
      <c r="BW82" s="36" t="str">
        <f t="shared" si="57"/>
        <v/>
      </c>
      <c r="BX82" s="36" t="str">
        <f t="shared" si="58"/>
        <v/>
      </c>
      <c r="BY82" s="36" t="str">
        <f t="shared" si="59"/>
        <v/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35">
      <c r="B83" s="3" t="str">
        <v/>
      </c>
      <c r="C83" s="36" t="str">
        <v/>
      </c>
      <c r="D83" s="36" t="str">
        <v/>
      </c>
      <c r="E83" s="36" t="str">
        <v/>
      </c>
      <c r="F83" s="36" t="str">
        <v/>
      </c>
      <c r="G83" s="36" t="str">
        <v/>
      </c>
      <c r="H83" s="36" t="str">
        <v/>
      </c>
      <c r="I83" s="36" t="str">
        <v/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/>
      </c>
      <c r="P83" s="36" t="str">
        <f t="shared" si="75"/>
        <v/>
      </c>
      <c r="Q83" s="36" t="str">
        <f t="shared" si="75"/>
        <v/>
      </c>
      <c r="R83" s="36" t="str">
        <f t="shared" si="75"/>
        <v/>
      </c>
      <c r="S83" s="36" t="str">
        <f t="shared" si="75"/>
        <v/>
      </c>
      <c r="T83" s="36" t="str">
        <f t="shared" si="75"/>
        <v/>
      </c>
      <c r="U83" s="36" t="str">
        <f t="shared" si="75"/>
        <v/>
      </c>
      <c r="V83" s="36" t="str">
        <f t="shared" si="75"/>
        <v/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/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/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/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 xml:space="preserve"> 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 xml:space="preserve"> </v>
      </c>
      <c r="AS83" s="36" t="str">
        <f t="shared" si="80"/>
        <v xml:space="preserve"> </v>
      </c>
      <c r="AT83" s="36" t="str">
        <f t="shared" si="81"/>
        <v xml:space="preserve"> 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/>
      </c>
      <c r="BF83" s="36" t="str">
        <v/>
      </c>
      <c r="BG83" s="36" t="str">
        <v/>
      </c>
      <c r="BH83" s="36" t="str">
        <v/>
      </c>
      <c r="BI83" s="36" t="str">
        <v/>
      </c>
      <c r="BJ83" s="36" t="str">
        <v/>
      </c>
      <c r="BK83" s="36" t="str">
        <v/>
      </c>
      <c r="BL83" s="36" t="str">
        <v/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/>
      </c>
      <c r="BS83" s="36" t="str">
        <f t="shared" si="53"/>
        <v/>
      </c>
      <c r="BT83" s="36" t="str">
        <f t="shared" si="54"/>
        <v/>
      </c>
      <c r="BU83" s="36" t="str">
        <f t="shared" si="55"/>
        <v/>
      </c>
      <c r="BV83" s="36" t="str">
        <f t="shared" si="56"/>
        <v/>
      </c>
      <c r="BW83" s="36" t="str">
        <f t="shared" si="57"/>
        <v/>
      </c>
      <c r="BX83" s="36" t="str">
        <f t="shared" si="58"/>
        <v/>
      </c>
      <c r="BY83" s="36" t="str">
        <f t="shared" si="59"/>
        <v/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35">
      <c r="B84" s="3" t="str">
        <v/>
      </c>
      <c r="C84" s="36" t="str">
        <v/>
      </c>
      <c r="D84" s="36" t="str">
        <v/>
      </c>
      <c r="E84" s="36" t="str">
        <v/>
      </c>
      <c r="F84" s="36" t="str">
        <v/>
      </c>
      <c r="G84" s="36" t="str">
        <v/>
      </c>
      <c r="H84" s="36" t="str">
        <v/>
      </c>
      <c r="I84" s="36" t="str">
        <v/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/>
      </c>
      <c r="P84" s="36" t="str">
        <f t="shared" si="75"/>
        <v/>
      </c>
      <c r="Q84" s="36" t="str">
        <f t="shared" si="75"/>
        <v/>
      </c>
      <c r="R84" s="36" t="str">
        <f t="shared" si="75"/>
        <v/>
      </c>
      <c r="S84" s="36" t="str">
        <f t="shared" si="75"/>
        <v/>
      </c>
      <c r="T84" s="36" t="str">
        <f t="shared" si="75"/>
        <v/>
      </c>
      <c r="U84" s="36" t="str">
        <f t="shared" si="75"/>
        <v/>
      </c>
      <c r="V84" s="36" t="str">
        <f t="shared" si="75"/>
        <v/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/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/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/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 xml:space="preserve"> 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 xml:space="preserve"> </v>
      </c>
      <c r="AS84" s="36" t="str">
        <f t="shared" si="80"/>
        <v xml:space="preserve"> </v>
      </c>
      <c r="AT84" s="36" t="str">
        <f t="shared" si="81"/>
        <v xml:space="preserve"> 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/>
      </c>
      <c r="BF84" s="36" t="str">
        <v/>
      </c>
      <c r="BG84" s="36" t="str">
        <v/>
      </c>
      <c r="BH84" s="36" t="str">
        <v/>
      </c>
      <c r="BI84" s="36" t="str">
        <v/>
      </c>
      <c r="BJ84" s="36" t="str">
        <v/>
      </c>
      <c r="BK84" s="36" t="str">
        <v/>
      </c>
      <c r="BL84" s="36" t="str">
        <v/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/>
      </c>
      <c r="BS84" s="36" t="str">
        <f t="shared" si="53"/>
        <v/>
      </c>
      <c r="BT84" s="36" t="str">
        <f t="shared" si="54"/>
        <v/>
      </c>
      <c r="BU84" s="36" t="str">
        <f t="shared" si="55"/>
        <v/>
      </c>
      <c r="BV84" s="36" t="str">
        <f t="shared" si="56"/>
        <v/>
      </c>
      <c r="BW84" s="36" t="str">
        <f t="shared" si="57"/>
        <v/>
      </c>
      <c r="BX84" s="36" t="str">
        <f t="shared" si="58"/>
        <v/>
      </c>
      <c r="BY84" s="36" t="str">
        <f t="shared" si="59"/>
        <v/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35">
      <c r="B85" s="3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/>
      </c>
      <c r="P85" s="36" t="str">
        <f t="shared" si="75"/>
        <v/>
      </c>
      <c r="Q85" s="36" t="str">
        <f t="shared" si="75"/>
        <v/>
      </c>
      <c r="R85" s="36" t="str">
        <f t="shared" si="75"/>
        <v/>
      </c>
      <c r="S85" s="36" t="str">
        <f t="shared" si="75"/>
        <v/>
      </c>
      <c r="T85" s="36" t="str">
        <f t="shared" si="75"/>
        <v/>
      </c>
      <c r="U85" s="36" t="str">
        <f t="shared" si="75"/>
        <v/>
      </c>
      <c r="V85" s="36" t="str">
        <f t="shared" si="75"/>
        <v/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/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/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/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 xml:space="preserve"> 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 xml:space="preserve"> </v>
      </c>
      <c r="AS85" s="36" t="str">
        <f t="shared" si="80"/>
        <v xml:space="preserve"> </v>
      </c>
      <c r="AT85" s="36" t="str">
        <f t="shared" si="81"/>
        <v xml:space="preserve"> 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/>
      </c>
      <c r="BF85" s="36" t="str">
        <v/>
      </c>
      <c r="BG85" s="36" t="str">
        <v/>
      </c>
      <c r="BH85" s="36" t="str">
        <v/>
      </c>
      <c r="BI85" s="36" t="str">
        <v/>
      </c>
      <c r="BJ85" s="36" t="str">
        <v/>
      </c>
      <c r="BK85" s="36" t="str">
        <v/>
      </c>
      <c r="BL85" s="36" t="str">
        <v/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/>
      </c>
      <c r="BS85" s="36" t="str">
        <f t="shared" si="53"/>
        <v/>
      </c>
      <c r="BT85" s="36" t="str">
        <f t="shared" si="54"/>
        <v/>
      </c>
      <c r="BU85" s="36" t="str">
        <f t="shared" si="55"/>
        <v/>
      </c>
      <c r="BV85" s="36" t="str">
        <f t="shared" si="56"/>
        <v/>
      </c>
      <c r="BW85" s="36" t="str">
        <f t="shared" si="57"/>
        <v/>
      </c>
      <c r="BX85" s="36" t="str">
        <f t="shared" si="58"/>
        <v/>
      </c>
      <c r="BY85" s="36" t="str">
        <f t="shared" si="59"/>
        <v/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35">
      <c r="B86" s="3" t="str">
        <v/>
      </c>
      <c r="C86" s="36" t="str">
        <v/>
      </c>
      <c r="D86" s="36" t="str">
        <v/>
      </c>
      <c r="E86" s="36" t="str">
        <v/>
      </c>
      <c r="F86" s="36" t="str">
        <v/>
      </c>
      <c r="G86" s="36" t="str">
        <v/>
      </c>
      <c r="H86" s="36" t="str">
        <v/>
      </c>
      <c r="I86" s="36" t="str">
        <v/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   </c>
      <c r="R86" s="36" t="str">
        <f t="shared" si="75"/>
        <v/>
      </c>
      <c r="S86" s="36" t="str">
        <f t="shared" si="75"/>
        <v/>
      </c>
      <c r="T86" s="36" t="str">
        <f t="shared" si="75"/>
        <v/>
      </c>
      <c r="U86" s="36" t="str">
        <f t="shared" si="75"/>
        <v/>
      </c>
      <c r="V86" s="36" t="str">
        <f t="shared" si="75"/>
        <v/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/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/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 xml:space="preserve"> 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 xml:space="preserve"> 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/>
      </c>
      <c r="BF86" s="36" t="str">
        <v/>
      </c>
      <c r="BG86" s="36" t="str">
        <v/>
      </c>
      <c r="BH86" s="36" t="str">
        <v/>
      </c>
      <c r="BI86" s="36" t="str">
        <v/>
      </c>
      <c r="BJ86" s="36" t="str">
        <v/>
      </c>
      <c r="BK86" s="36" t="str">
        <v/>
      </c>
      <c r="BL86" s="36" t="str">
        <v/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/>
      </c>
      <c r="BS86" s="36" t="str">
        <f t="shared" si="53"/>
        <v/>
      </c>
      <c r="BT86" s="36" t="str">
        <f t="shared" si="54"/>
        <v/>
      </c>
      <c r="BU86" s="36" t="str">
        <f t="shared" si="55"/>
        <v/>
      </c>
      <c r="BV86" s="36" t="str">
        <f t="shared" si="56"/>
        <v/>
      </c>
      <c r="BW86" s="36" t="str">
        <f t="shared" si="57"/>
        <v/>
      </c>
      <c r="BX86" s="36" t="str">
        <f t="shared" si="58"/>
        <v/>
      </c>
      <c r="BY86" s="36" t="str">
        <f t="shared" si="59"/>
        <v/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35">
      <c r="B87" s="3" t="str">
        <v/>
      </c>
      <c r="C87" s="36" t="str">
        <v/>
      </c>
      <c r="D87" s="36" t="str">
        <v/>
      </c>
      <c r="E87" s="36" t="str">
        <v/>
      </c>
      <c r="F87" s="36" t="str">
        <v/>
      </c>
      <c r="G87" s="36" t="str">
        <v/>
      </c>
      <c r="H87" s="36" t="str">
        <v/>
      </c>
      <c r="I87" s="36" t="str">
        <v/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/>
      </c>
      <c r="P87" s="36" t="str">
        <f t="shared" si="75"/>
        <v/>
      </c>
      <c r="Q87" s="36" t="str">
        <f t="shared" si="75"/>
        <v/>
      </c>
      <c r="R87" s="36" t="str">
        <f t="shared" si="75"/>
        <v/>
      </c>
      <c r="S87" s="36" t="str">
        <f t="shared" si="75"/>
        <v/>
      </c>
      <c r="T87" s="36" t="str">
        <f t="shared" si="75"/>
        <v/>
      </c>
      <c r="U87" s="36" t="str">
        <f t="shared" si="75"/>
        <v/>
      </c>
      <c r="V87" s="36" t="str">
        <f t="shared" si="75"/>
        <v/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/>
      </c>
      <c r="BF87" s="36" t="str">
        <v/>
      </c>
      <c r="BG87" s="36" t="str">
        <v/>
      </c>
      <c r="BH87" s="36" t="str">
        <v/>
      </c>
      <c r="BI87" s="36" t="str">
        <v/>
      </c>
      <c r="BJ87" s="36" t="str">
        <v/>
      </c>
      <c r="BK87" s="36" t="str">
        <v/>
      </c>
      <c r="BL87" s="36" t="str">
        <v/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/>
      </c>
      <c r="BS87" s="36" t="str">
        <f t="shared" si="53"/>
        <v/>
      </c>
      <c r="BT87" s="36" t="str">
        <f t="shared" si="54"/>
        <v/>
      </c>
      <c r="BU87" s="36" t="str">
        <f t="shared" si="55"/>
        <v/>
      </c>
      <c r="BV87" s="36" t="str">
        <f t="shared" si="56"/>
        <v/>
      </c>
      <c r="BW87" s="36" t="str">
        <f t="shared" si="57"/>
        <v/>
      </c>
      <c r="BX87" s="36" t="str">
        <f t="shared" si="58"/>
        <v/>
      </c>
      <c r="BY87" s="36" t="str">
        <f t="shared" si="59"/>
        <v/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3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3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3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3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3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3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3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3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4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4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35"/>
    <row r="99" spans="1:90" ht="13.5" customHeight="1" thickBot="1" x14ac:dyDescent="0.4">
      <c r="A99" s="1278"/>
      <c r="B99" s="1278"/>
      <c r="C99" s="1278"/>
      <c r="D99" s="1278"/>
      <c r="E99" s="1278"/>
      <c r="F99" s="1278"/>
      <c r="G99" s="1278"/>
      <c r="H99" s="1278"/>
      <c r="I99" s="1278"/>
      <c r="J99" s="1278"/>
      <c r="K99" s="1278"/>
      <c r="L99" s="1278"/>
      <c r="M99" s="1278"/>
      <c r="N99" s="1278"/>
      <c r="O99" s="1278"/>
      <c r="P99" s="1278"/>
      <c r="Q99" s="1278"/>
      <c r="R99" s="1278"/>
      <c r="S99" s="1278"/>
      <c r="T99" s="1278"/>
      <c r="U99" s="1278"/>
      <c r="V99" s="1278"/>
      <c r="W99" s="1278"/>
      <c r="X99" s="1278"/>
      <c r="Y99" s="1278"/>
      <c r="Z99" s="1278"/>
      <c r="AA99" s="1278"/>
      <c r="AB99" s="1278"/>
      <c r="AC99" s="1278"/>
      <c r="AD99" s="1278"/>
      <c r="AE99" s="1278"/>
      <c r="AF99" s="1278"/>
      <c r="AG99" s="1278"/>
      <c r="AH99" s="1278"/>
      <c r="AI99" s="1278"/>
      <c r="AJ99" s="1278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4">
      <c r="A100" s="691"/>
      <c r="B100" s="692"/>
      <c r="C100" s="1275"/>
      <c r="D100" s="1276"/>
      <c r="E100" s="1276"/>
      <c r="F100" s="1276"/>
      <c r="G100" s="1276"/>
      <c r="H100" s="1276"/>
      <c r="I100" s="1276"/>
      <c r="J100" s="1276"/>
      <c r="K100" s="1276"/>
      <c r="L100" s="1276"/>
      <c r="M100" s="1276"/>
      <c r="N100" s="1276"/>
      <c r="O100" s="1276"/>
      <c r="P100" s="1276"/>
      <c r="Q100" s="1276"/>
      <c r="R100" s="1276"/>
      <c r="S100" s="1276"/>
      <c r="T100" s="1276"/>
      <c r="U100" s="1276"/>
      <c r="V100" s="1276"/>
      <c r="W100" s="1276"/>
      <c r="X100" s="1276"/>
      <c r="Y100" s="1276"/>
      <c r="Z100" s="1276"/>
      <c r="AA100" s="1276"/>
      <c r="AB100" s="1276"/>
      <c r="AC100" s="1276"/>
      <c r="AD100" s="1276"/>
      <c r="AE100" s="1276"/>
      <c r="AF100" s="1276"/>
      <c r="AG100" s="1276"/>
      <c r="AH100" s="1276"/>
      <c r="AI100" s="1276"/>
      <c r="AJ100" s="1277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" thickBot="1" x14ac:dyDescent="0.4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5" x14ac:dyDescent="0.35">
      <c r="A102" s="702"/>
      <c r="B102" s="724"/>
      <c r="C102" s="747" t="str">
        <f t="array" ref="C102:AJ102">TRANSPOSE(TRANS2B1)</f>
        <v>S</v>
      </c>
      <c r="D102" s="748" t="str">
        <v>S</v>
      </c>
      <c r="E102" s="748" t="str">
        <v>S</v>
      </c>
      <c r="F102" s="748" t="str">
        <v>S</v>
      </c>
      <c r="G102" s="748" t="str">
        <v>S</v>
      </c>
      <c r="H102" s="748" t="str">
        <v>X</v>
      </c>
      <c r="I102" s="748" t="str">
        <v>R</v>
      </c>
      <c r="J102" s="748" t="str">
        <v>X</v>
      </c>
      <c r="K102" s="748" t="str">
        <v>S</v>
      </c>
      <c r="L102" s="748" t="str">
        <v>S</v>
      </c>
      <c r="M102" s="748" t="str">
        <v>X</v>
      </c>
      <c r="N102" s="748" t="str">
        <v>X</v>
      </c>
      <c r="O102" s="748" t="str">
        <v xml:space="preserve"> </v>
      </c>
      <c r="P102" s="748" t="str">
        <v xml:space="preserve"> </v>
      </c>
      <c r="Q102" s="748" t="str">
        <v xml:space="preserve"> </v>
      </c>
      <c r="R102" s="748" t="str">
        <v xml:space="preserve"> </v>
      </c>
      <c r="S102" s="748" t="str">
        <v xml:space="preserve"> </v>
      </c>
      <c r="T102" s="748" t="str">
        <v xml:space="preserve"> </v>
      </c>
      <c r="U102" s="748" t="str">
        <v xml:space="preserve"> </v>
      </c>
      <c r="V102" s="748" t="str">
        <v xml:space="preserve"> </v>
      </c>
      <c r="W102" s="748" t="str">
        <v xml:space="preserve"> </v>
      </c>
      <c r="X102" s="748" t="str">
        <v xml:space="preserve"> </v>
      </c>
      <c r="Y102" s="748" t="str">
        <v xml:space="preserve"> 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>S</v>
      </c>
      <c r="BG102" s="705" t="str">
        <v>S</v>
      </c>
      <c r="BH102" s="705" t="str">
        <v>S</v>
      </c>
      <c r="BI102" s="705" t="str">
        <v>S</v>
      </c>
      <c r="BJ102" s="705" t="str">
        <v>S</v>
      </c>
      <c r="BK102" s="705" t="str">
        <v>X</v>
      </c>
      <c r="BL102" s="705" t="str">
        <v>R</v>
      </c>
      <c r="BM102" s="705" t="str">
        <v>X</v>
      </c>
      <c r="BN102" s="705" t="str">
        <v>S</v>
      </c>
      <c r="BO102" s="705" t="str">
        <v>S</v>
      </c>
      <c r="BP102" s="705" t="str">
        <v>X</v>
      </c>
      <c r="BQ102" s="705" t="str">
        <v>X</v>
      </c>
      <c r="BR102" s="705" t="str">
        <v xml:space="preserve"> </v>
      </c>
      <c r="BS102" s="705" t="str">
        <v xml:space="preserve"> </v>
      </c>
      <c r="BT102" s="705" t="str">
        <v xml:space="preserve"> </v>
      </c>
      <c r="BU102" s="705" t="str">
        <v xml:space="preserve"> </v>
      </c>
      <c r="BV102" s="705" t="str">
        <v xml:space="preserve"> </v>
      </c>
      <c r="BW102" s="705" t="str">
        <v xml:space="preserve"> </v>
      </c>
      <c r="BX102" s="705" t="str">
        <v xml:space="preserve"> </v>
      </c>
      <c r="BY102" s="705" t="str">
        <v xml:space="preserve"> </v>
      </c>
      <c r="BZ102" s="705" t="str">
        <v xml:space="preserve"> </v>
      </c>
      <c r="CA102" s="705" t="str">
        <v xml:space="preserve"> </v>
      </c>
      <c r="CB102" s="705" t="str">
        <v xml:space="preserve"> 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5" x14ac:dyDescent="0.35">
      <c r="A103" s="707"/>
      <c r="B103" s="726"/>
      <c r="C103" s="727" t="str">
        <f t="array" ref="C103:AJ103">TRANSPOSE(TRANS2B2)</f>
        <v>S</v>
      </c>
      <c r="D103" s="166" t="str">
        <v>S</v>
      </c>
      <c r="E103" s="166" t="str">
        <v>X</v>
      </c>
      <c r="F103" s="166" t="str">
        <v>R</v>
      </c>
      <c r="G103" s="166" t="str">
        <v>X</v>
      </c>
      <c r="H103" s="166" t="str">
        <v>S</v>
      </c>
      <c r="I103" s="166" t="str">
        <v>S</v>
      </c>
      <c r="J103" s="166" t="str">
        <v>S</v>
      </c>
      <c r="K103" s="166" t="str">
        <v>R</v>
      </c>
      <c r="L103" s="166" t="str">
        <v xml:space="preserve"> </v>
      </c>
      <c r="M103" s="166" t="str">
        <v xml:space="preserve"> </v>
      </c>
      <c r="N103" s="166" t="str">
        <v xml:space="preserve"> </v>
      </c>
      <c r="O103" s="166" t="str">
        <v xml:space="preserve"> </v>
      </c>
      <c r="P103" s="166" t="str">
        <v xml:space="preserve"> </v>
      </c>
      <c r="Q103" s="166" t="str">
        <v xml:space="preserve"> </v>
      </c>
      <c r="R103" s="166" t="str">
        <v xml:space="preserve"> </v>
      </c>
      <c r="S103" s="166" t="str">
        <v xml:space="preserve"> </v>
      </c>
      <c r="T103" s="166" t="str">
        <v xml:space="preserve"> 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>S</v>
      </c>
      <c r="BG103" s="166" t="str">
        <v>S</v>
      </c>
      <c r="BH103" s="166" t="str">
        <v>X</v>
      </c>
      <c r="BI103" s="166" t="str">
        <v>R</v>
      </c>
      <c r="BJ103" s="166" t="str">
        <v>X</v>
      </c>
      <c r="BK103" s="166" t="str">
        <v>S</v>
      </c>
      <c r="BL103" s="166" t="str">
        <v>S</v>
      </c>
      <c r="BM103" s="166" t="str">
        <v>S</v>
      </c>
      <c r="BN103" s="166" t="str">
        <v>R</v>
      </c>
      <c r="BO103" s="166" t="str">
        <v xml:space="preserve"> </v>
      </c>
      <c r="BP103" s="166" t="str">
        <v xml:space="preserve"> </v>
      </c>
      <c r="BQ103" s="166" t="str">
        <v xml:space="preserve"> </v>
      </c>
      <c r="BR103" s="166" t="str">
        <v xml:space="preserve"> </v>
      </c>
      <c r="BS103" s="166" t="str">
        <v xml:space="preserve"> </v>
      </c>
      <c r="BT103" s="166" t="str">
        <v xml:space="preserve"> </v>
      </c>
      <c r="BU103" s="166" t="str">
        <v xml:space="preserve"> </v>
      </c>
      <c r="BV103" s="166" t="str">
        <v xml:space="preserve"> </v>
      </c>
      <c r="BW103" s="166" t="str">
        <v xml:space="preserve"> 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5" x14ac:dyDescent="0.35">
      <c r="A104" s="707"/>
      <c r="B104" s="726"/>
      <c r="C104" s="727" t="str">
        <f t="array" ref="C104:AJ104">TRANSPOSE(TRANS2B3)</f>
        <v>S</v>
      </c>
      <c r="D104" s="166" t="str">
        <v>S</v>
      </c>
      <c r="E104" s="166" t="str">
        <v>S</v>
      </c>
      <c r="F104" s="166" t="str">
        <v>S</v>
      </c>
      <c r="G104" s="166" t="str">
        <v>X</v>
      </c>
      <c r="H104" s="166" t="str">
        <v>R</v>
      </c>
      <c r="I104" s="166" t="str">
        <v>X</v>
      </c>
      <c r="J104" s="166" t="str">
        <v>S</v>
      </c>
      <c r="K104" s="166" t="str">
        <v>S</v>
      </c>
      <c r="L104" s="166" t="str">
        <v>R</v>
      </c>
      <c r="M104" s="166" t="str">
        <v xml:space="preserve"> </v>
      </c>
      <c r="N104" s="166" t="str">
        <v xml:space="preserve"> </v>
      </c>
      <c r="O104" s="166" t="str">
        <v xml:space="preserve"> </v>
      </c>
      <c r="P104" s="166" t="str">
        <v xml:space="preserve"> </v>
      </c>
      <c r="Q104" s="166" t="str">
        <v xml:space="preserve"> </v>
      </c>
      <c r="R104" s="166" t="str">
        <v xml:space="preserve"> </v>
      </c>
      <c r="S104" s="166" t="str">
        <v xml:space="preserve"> 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>S</v>
      </c>
      <c r="BG104" s="166" t="str">
        <v>S</v>
      </c>
      <c r="BH104" s="166" t="str">
        <v>S</v>
      </c>
      <c r="BI104" s="166" t="str">
        <v>S</v>
      </c>
      <c r="BJ104" s="166" t="str">
        <v>X</v>
      </c>
      <c r="BK104" s="166" t="str">
        <v>R</v>
      </c>
      <c r="BL104" s="166" t="str">
        <v>X</v>
      </c>
      <c r="BM104" s="166" t="str">
        <v>S</v>
      </c>
      <c r="BN104" s="166" t="str">
        <v>S</v>
      </c>
      <c r="BO104" s="166" t="str">
        <v>R</v>
      </c>
      <c r="BP104" s="166" t="str">
        <v xml:space="preserve"> </v>
      </c>
      <c r="BQ104" s="166" t="str">
        <v xml:space="preserve"> </v>
      </c>
      <c r="BR104" s="166" t="str">
        <v xml:space="preserve"> </v>
      </c>
      <c r="BS104" s="166" t="str">
        <v xml:space="preserve"> </v>
      </c>
      <c r="BT104" s="166" t="str">
        <v xml:space="preserve"> </v>
      </c>
      <c r="BU104" s="166" t="str">
        <v xml:space="preserve"> </v>
      </c>
      <c r="BV104" s="166" t="str">
        <v xml:space="preserve"> 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5" x14ac:dyDescent="0.35">
      <c r="A105" s="707"/>
      <c r="B105" s="726"/>
      <c r="C105" s="727" t="str">
        <f t="array" ref="C105:AJ105">TRANSPOSE(TRANS2B4)</f>
        <v>S</v>
      </c>
      <c r="D105" s="166" t="str">
        <v>S</v>
      </c>
      <c r="E105" s="166" t="str">
        <v>X</v>
      </c>
      <c r="F105" s="166" t="str">
        <v>R</v>
      </c>
      <c r="G105" s="166" t="str">
        <v>X</v>
      </c>
      <c r="H105" s="166" t="str">
        <v>X</v>
      </c>
      <c r="I105" s="166" t="str">
        <v>S</v>
      </c>
      <c r="J105" s="166" t="str">
        <v>S</v>
      </c>
      <c r="K105" s="166" t="str">
        <v>S</v>
      </c>
      <c r="L105" s="166" t="str">
        <v>R</v>
      </c>
      <c r="M105" s="166" t="str">
        <v xml:space="preserve"> </v>
      </c>
      <c r="N105" s="166" t="str">
        <v xml:space="preserve"> </v>
      </c>
      <c r="O105" s="166" t="str">
        <v xml:space="preserve"> </v>
      </c>
      <c r="P105" s="166" t="str">
        <v xml:space="preserve"> </v>
      </c>
      <c r="Q105" s="166" t="str">
        <v xml:space="preserve"> </v>
      </c>
      <c r="R105" s="166" t="str">
        <v xml:space="preserve"> </v>
      </c>
      <c r="S105" s="166" t="str">
        <v xml:space="preserve"> </v>
      </c>
      <c r="T105" s="166" t="str">
        <v xml:space="preserve"> </v>
      </c>
      <c r="U105" s="166" t="str">
        <v xml:space="preserve"> </v>
      </c>
      <c r="V105" s="166" t="str">
        <v xml:space="preserve"> </v>
      </c>
      <c r="W105" s="166" t="str">
        <v xml:space="preserve"> </v>
      </c>
      <c r="X105" s="166" t="str">
        <v xml:space="preserve"> 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>S</v>
      </c>
      <c r="BG105" s="166" t="str">
        <v>S</v>
      </c>
      <c r="BH105" s="166" t="str">
        <v>X</v>
      </c>
      <c r="BI105" s="166" t="str">
        <v>R</v>
      </c>
      <c r="BJ105" s="166" t="str">
        <v>X</v>
      </c>
      <c r="BK105" s="166" t="str">
        <v>X</v>
      </c>
      <c r="BL105" s="166" t="str">
        <v>S</v>
      </c>
      <c r="BM105" s="166" t="str">
        <v>S</v>
      </c>
      <c r="BN105" s="166" t="str">
        <v>S</v>
      </c>
      <c r="BO105" s="166" t="str">
        <v>R</v>
      </c>
      <c r="BP105" s="166" t="str">
        <v xml:space="preserve"> </v>
      </c>
      <c r="BQ105" s="166" t="str">
        <v xml:space="preserve"> </v>
      </c>
      <c r="BR105" s="166" t="str">
        <v xml:space="preserve"> </v>
      </c>
      <c r="BS105" s="166" t="str">
        <v xml:space="preserve"> </v>
      </c>
      <c r="BT105" s="166" t="str">
        <v xml:space="preserve"> </v>
      </c>
      <c r="BU105" s="166" t="str">
        <v xml:space="preserve"> </v>
      </c>
      <c r="BV105" s="166" t="str">
        <v xml:space="preserve"> </v>
      </c>
      <c r="BW105" s="166" t="str">
        <v xml:space="preserve"> </v>
      </c>
      <c r="BX105" s="166" t="str">
        <v xml:space="preserve"> </v>
      </c>
      <c r="BY105" s="166" t="str">
        <v xml:space="preserve"> </v>
      </c>
      <c r="BZ105" s="166" t="str">
        <v xml:space="preserve"> </v>
      </c>
      <c r="CA105" s="166" t="str">
        <v xml:space="preserve"> 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5" x14ac:dyDescent="0.35">
      <c r="A106" s="707"/>
      <c r="B106" s="726"/>
      <c r="C106" s="727" t="str">
        <f t="array" ref="C106:AJ106">TRANSPOSE(TRANS2B5)</f>
        <v>S</v>
      </c>
      <c r="D106" s="166" t="str">
        <v>S</v>
      </c>
      <c r="E106" s="166" t="str">
        <v>S</v>
      </c>
      <c r="F106" s="166" t="str">
        <v>S</v>
      </c>
      <c r="G106" s="166" t="str">
        <v>S</v>
      </c>
      <c r="H106" s="166" t="str">
        <v>X</v>
      </c>
      <c r="I106" s="166" t="str">
        <v>R</v>
      </c>
      <c r="J106" s="166" t="str">
        <v>X</v>
      </c>
      <c r="K106" s="166" t="str">
        <v>S</v>
      </c>
      <c r="L106" s="166" t="str">
        <v>S</v>
      </c>
      <c r="M106" s="166" t="str">
        <v>X</v>
      </c>
      <c r="N106" s="166" t="str">
        <v>R</v>
      </c>
      <c r="O106" s="166" t="str">
        <v xml:space="preserve"> </v>
      </c>
      <c r="P106" s="166" t="str">
        <v xml:space="preserve"> </v>
      </c>
      <c r="Q106" s="166" t="str">
        <v xml:space="preserve"> </v>
      </c>
      <c r="R106" s="166" t="str">
        <v xml:space="preserve"> </v>
      </c>
      <c r="S106" s="166" t="str">
        <v xml:space="preserve"> </v>
      </c>
      <c r="T106" s="166" t="str">
        <v xml:space="preserve"> 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>S</v>
      </c>
      <c r="BG106" s="166" t="str">
        <v>S</v>
      </c>
      <c r="BH106" s="166" t="str">
        <v>S</v>
      </c>
      <c r="BI106" s="166" t="str">
        <v>S</v>
      </c>
      <c r="BJ106" s="166" t="str">
        <v>S</v>
      </c>
      <c r="BK106" s="166" t="str">
        <v>X</v>
      </c>
      <c r="BL106" s="166" t="str">
        <v>R</v>
      </c>
      <c r="BM106" s="166" t="str">
        <v>X</v>
      </c>
      <c r="BN106" s="166" t="str">
        <v>S</v>
      </c>
      <c r="BO106" s="166" t="str">
        <v>S</v>
      </c>
      <c r="BP106" s="166" t="str">
        <v>X</v>
      </c>
      <c r="BQ106" s="166" t="str">
        <v>R</v>
      </c>
      <c r="BR106" s="166" t="str">
        <v xml:space="preserve"> </v>
      </c>
      <c r="BS106" s="166" t="str">
        <v xml:space="preserve"> </v>
      </c>
      <c r="BT106" s="166" t="str">
        <v xml:space="preserve"> </v>
      </c>
      <c r="BU106" s="166" t="str">
        <v xml:space="preserve"> </v>
      </c>
      <c r="BV106" s="166" t="str">
        <v xml:space="preserve"> </v>
      </c>
      <c r="BW106" s="166" t="str">
        <v xml:space="preserve"> 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5" x14ac:dyDescent="0.35">
      <c r="A107" s="707"/>
      <c r="B107" s="726"/>
      <c r="C107" s="727" t="str">
        <f t="array" ref="C107:AJ107">TRANSPOSE(TRANS2B6)</f>
        <v>S</v>
      </c>
      <c r="D107" s="166" t="str">
        <v>X</v>
      </c>
      <c r="E107" s="166" t="str">
        <v>S</v>
      </c>
      <c r="F107" s="166" t="str">
        <v>X</v>
      </c>
      <c r="G107" s="166" t="str">
        <v>X</v>
      </c>
      <c r="H107" s="166" t="str">
        <v>S</v>
      </c>
      <c r="I107" s="166" t="str">
        <v>S</v>
      </c>
      <c r="J107" s="166" t="str">
        <v>S</v>
      </c>
      <c r="K107" s="166" t="str">
        <v>R</v>
      </c>
      <c r="L107" s="166" t="str">
        <v xml:space="preserve"> </v>
      </c>
      <c r="M107" s="166" t="str">
        <v xml:space="preserve"> </v>
      </c>
      <c r="N107" s="166" t="str">
        <v xml:space="preserve"> </v>
      </c>
      <c r="O107" s="166" t="str">
        <v xml:space="preserve"> </v>
      </c>
      <c r="P107" s="166" t="str">
        <v xml:space="preserve"> </v>
      </c>
      <c r="Q107" s="166" t="str">
        <v xml:space="preserve"> </v>
      </c>
      <c r="R107" s="166" t="str">
        <v xml:space="preserve"> </v>
      </c>
      <c r="S107" s="166" t="str">
        <v xml:space="preserve"> </v>
      </c>
      <c r="T107" s="166" t="str">
        <v xml:space="preserve"> </v>
      </c>
      <c r="U107" s="166" t="str">
        <v xml:space="preserve"> </v>
      </c>
      <c r="V107" s="166" t="str">
        <v xml:space="preserve"> </v>
      </c>
      <c r="W107" s="166" t="str">
        <v xml:space="preserve"> </v>
      </c>
      <c r="X107" s="166" t="str">
        <v xml:space="preserve"> </v>
      </c>
      <c r="Y107" s="166" t="str">
        <v xml:space="preserve"> 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>S</v>
      </c>
      <c r="BG107" s="166" t="str">
        <v>X</v>
      </c>
      <c r="BH107" s="166" t="str">
        <v>S</v>
      </c>
      <c r="BI107" s="166" t="str">
        <v>X</v>
      </c>
      <c r="BJ107" s="166" t="str">
        <v>X</v>
      </c>
      <c r="BK107" s="166" t="str">
        <v>S</v>
      </c>
      <c r="BL107" s="166" t="str">
        <v>S</v>
      </c>
      <c r="BM107" s="166" t="str">
        <v>S</v>
      </c>
      <c r="BN107" s="166" t="str">
        <v>R</v>
      </c>
      <c r="BO107" s="166" t="str">
        <v xml:space="preserve"> </v>
      </c>
      <c r="BP107" s="166" t="str">
        <v xml:space="preserve"> </v>
      </c>
      <c r="BQ107" s="166" t="str">
        <v xml:space="preserve"> </v>
      </c>
      <c r="BR107" s="166" t="str">
        <v xml:space="preserve"> </v>
      </c>
      <c r="BS107" s="166" t="str">
        <v xml:space="preserve"> </v>
      </c>
      <c r="BT107" s="166" t="str">
        <v xml:space="preserve"> </v>
      </c>
      <c r="BU107" s="166" t="str">
        <v xml:space="preserve"> </v>
      </c>
      <c r="BV107" s="166" t="str">
        <v xml:space="preserve"> </v>
      </c>
      <c r="BW107" s="166" t="str">
        <v xml:space="preserve"> </v>
      </c>
      <c r="BX107" s="166" t="str">
        <v xml:space="preserve"> </v>
      </c>
      <c r="BY107" s="166" t="str">
        <v xml:space="preserve"> </v>
      </c>
      <c r="BZ107" s="166" t="str">
        <v xml:space="preserve"> </v>
      </c>
      <c r="CA107" s="166" t="str">
        <v xml:space="preserve"> </v>
      </c>
      <c r="CB107" s="166" t="str">
        <v xml:space="preserve"> 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5" x14ac:dyDescent="0.35">
      <c r="A108" s="707"/>
      <c r="B108" s="726"/>
      <c r="C108" s="727" t="str">
        <f t="array" ref="C108:AJ108">TRANSPOSE(TRANS2B7)</f>
        <v xml:space="preserve"> </v>
      </c>
      <c r="D108" s="166" t="str">
        <v xml:space="preserve"> </v>
      </c>
      <c r="E108" s="166" t="str">
        <v xml:space="preserve"> </v>
      </c>
      <c r="F108" s="166" t="str">
        <v xml:space="preserve"> </v>
      </c>
      <c r="G108" s="166" t="str">
        <v xml:space="preserve"> </v>
      </c>
      <c r="H108" s="166" t="str">
        <v xml:space="preserve"> </v>
      </c>
      <c r="I108" s="166" t="str">
        <v xml:space="preserve"> </v>
      </c>
      <c r="J108" s="166" t="str">
        <v xml:space="preserve"> </v>
      </c>
      <c r="K108" s="166" t="str">
        <v xml:space="preserve"> </v>
      </c>
      <c r="L108" s="166" t="str">
        <v xml:space="preserve"> </v>
      </c>
      <c r="M108" s="166" t="str">
        <v xml:space="preserve"> </v>
      </c>
      <c r="N108" s="166" t="str">
        <v xml:space="preserve"> </v>
      </c>
      <c r="O108" s="166" t="str">
        <v xml:space="preserve"> </v>
      </c>
      <c r="P108" s="166" t="str">
        <v xml:space="preserve"> </v>
      </c>
      <c r="Q108" s="166" t="str">
        <v xml:space="preserve"> </v>
      </c>
      <c r="R108" s="166" t="str">
        <v xml:space="preserve"> </v>
      </c>
      <c r="S108" s="166" t="str">
        <v xml:space="preserve"> 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 xml:space="preserve"> </v>
      </c>
      <c r="BG108" s="166" t="str">
        <v xml:space="preserve"> </v>
      </c>
      <c r="BH108" s="166" t="str">
        <v xml:space="preserve"> </v>
      </c>
      <c r="BI108" s="166" t="str">
        <v xml:space="preserve"> </v>
      </c>
      <c r="BJ108" s="166" t="str">
        <v xml:space="preserve"> </v>
      </c>
      <c r="BK108" s="166" t="str">
        <v xml:space="preserve"> </v>
      </c>
      <c r="BL108" s="166" t="str">
        <v xml:space="preserve"> </v>
      </c>
      <c r="BM108" s="166" t="str">
        <v xml:space="preserve"> </v>
      </c>
      <c r="BN108" s="166" t="str">
        <v xml:space="preserve"> </v>
      </c>
      <c r="BO108" s="166" t="str">
        <v xml:space="preserve"> </v>
      </c>
      <c r="BP108" s="166" t="str">
        <v xml:space="preserve"> </v>
      </c>
      <c r="BQ108" s="166" t="str">
        <v xml:space="preserve"> </v>
      </c>
      <c r="BR108" s="166" t="str">
        <v xml:space="preserve"> </v>
      </c>
      <c r="BS108" s="166" t="str">
        <v xml:space="preserve"> </v>
      </c>
      <c r="BT108" s="166" t="str">
        <v xml:space="preserve"> </v>
      </c>
      <c r="BU108" s="166" t="str">
        <v xml:space="preserve"> </v>
      </c>
      <c r="BV108" s="166" t="str">
        <v xml:space="preserve"> 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5" x14ac:dyDescent="0.35">
      <c r="A109" s="707"/>
      <c r="B109" s="726"/>
      <c r="C109" s="727" t="str">
        <f t="array" ref="C109:AJ109">TRANSPOSE(TRANS2B8)</f>
        <v xml:space="preserve"> </v>
      </c>
      <c r="D109" s="166" t="str">
        <v xml:space="preserve"> </v>
      </c>
      <c r="E109" s="166" t="str">
        <v xml:space="preserve"> </v>
      </c>
      <c r="F109" s="166" t="str">
        <v xml:space="preserve"> </v>
      </c>
      <c r="G109" s="166" t="str">
        <v xml:space="preserve"> </v>
      </c>
      <c r="H109" s="166" t="str">
        <v xml:space="preserve"> </v>
      </c>
      <c r="I109" s="166" t="str">
        <v xml:space="preserve"> </v>
      </c>
      <c r="J109" s="166" t="str">
        <v xml:space="preserve"> </v>
      </c>
      <c r="K109" s="166" t="str">
        <v xml:space="preserve"> </v>
      </c>
      <c r="L109" s="166" t="str">
        <v xml:space="preserve"> </v>
      </c>
      <c r="M109" s="166" t="str">
        <v xml:space="preserve"> </v>
      </c>
      <c r="N109" s="166" t="str">
        <v xml:space="preserve"> </v>
      </c>
      <c r="O109" s="166" t="str">
        <v xml:space="preserve"> </v>
      </c>
      <c r="P109" s="166" t="str">
        <v xml:space="preserve"> </v>
      </c>
      <c r="Q109" s="166" t="str">
        <v xml:space="preserve"> </v>
      </c>
      <c r="R109" s="166" t="str">
        <v xml:space="preserve"> </v>
      </c>
      <c r="S109" s="166" t="str">
        <v xml:space="preserve"> 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 xml:space="preserve"> </v>
      </c>
      <c r="BG109" s="166" t="str">
        <v xml:space="preserve"> </v>
      </c>
      <c r="BH109" s="166" t="str">
        <v xml:space="preserve"> </v>
      </c>
      <c r="BI109" s="166" t="str">
        <v xml:space="preserve"> </v>
      </c>
      <c r="BJ109" s="166" t="str">
        <v xml:space="preserve"> </v>
      </c>
      <c r="BK109" s="166" t="str">
        <v xml:space="preserve"> </v>
      </c>
      <c r="BL109" s="166" t="str">
        <v xml:space="preserve"> </v>
      </c>
      <c r="BM109" s="166" t="str">
        <v xml:space="preserve"> </v>
      </c>
      <c r="BN109" s="166" t="str">
        <v xml:space="preserve"> </v>
      </c>
      <c r="BO109" s="166" t="str">
        <v xml:space="preserve"> </v>
      </c>
      <c r="BP109" s="166" t="str">
        <v xml:space="preserve"> </v>
      </c>
      <c r="BQ109" s="166" t="str">
        <v xml:space="preserve"> </v>
      </c>
      <c r="BR109" s="166" t="str">
        <v xml:space="preserve"> </v>
      </c>
      <c r="BS109" s="166" t="str">
        <v xml:space="preserve"> </v>
      </c>
      <c r="BT109" s="166" t="str">
        <v xml:space="preserve"> </v>
      </c>
      <c r="BU109" s="166" t="str">
        <v xml:space="preserve"> </v>
      </c>
      <c r="BV109" s="166" t="str">
        <v xml:space="preserve"> 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5" x14ac:dyDescent="0.3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5" x14ac:dyDescent="0.3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5" x14ac:dyDescent="0.3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" thickBot="1" x14ac:dyDescent="0.4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3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3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3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8">
      <formula>AND(COUNTIF(C102,"*V*"),AND(NOT(COUNTIF(B102,"*V*")),NOT(COUNTIF(D102,"*V*"))))</formula>
    </cfRule>
    <cfRule type="expression" dxfId="637" priority="127">
      <formula>COUNTIF(C102,"*8*")</formula>
    </cfRule>
    <cfRule type="expression" dxfId="636" priority="126">
      <formula>COUNTIF(C102,"*9*")</formula>
    </cfRule>
    <cfRule type="expression" dxfId="635" priority="125">
      <formula>COUNTIF(C102,"*10*")</formula>
    </cfRule>
    <cfRule type="expression" dxfId="634" priority="131">
      <formula>COUNTIF(C102,"*5*")</formula>
    </cfRule>
    <cfRule type="expression" dxfId="633" priority="135">
      <formula>COUNTIF(C102,"*1*")</formula>
    </cfRule>
    <cfRule type="expression" dxfId="632" priority="134">
      <formula>COUNTIF(C102,"*2*")</formula>
    </cfRule>
    <cfRule type="expression" dxfId="631" priority="133">
      <formula>COUNTIF(C102,"*3*")</formula>
    </cfRule>
    <cfRule type="expression" dxfId="630" priority="132">
      <formula>COUNTIF(C102,"*4*")</formula>
    </cfRule>
    <cfRule type="expression" dxfId="629" priority="130">
      <formula>COUNTIF(C102,"*6*")</formula>
    </cfRule>
    <cfRule type="expression" dxfId="628" priority="129">
      <formula>COUNTIF(C102,"*7*")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9">
      <formula>COUNTIF(C4,"*7*")</formula>
    </cfRule>
    <cfRule type="expression" dxfId="625" priority="168">
      <formula>AND(COUNTIF(C4,"*V*"),AND(NOT(COUNTIF(B4,"*V*")),NOT(COUNTIF(D4,"*V*"))))</formula>
    </cfRule>
    <cfRule type="expression" dxfId="624" priority="167">
      <formula>COUNTIF(C4,"*8*")</formula>
    </cfRule>
    <cfRule type="expression" dxfId="623" priority="166">
      <formula>COUNTIF(C4,"*9*")</formula>
    </cfRule>
    <cfRule type="expression" dxfId="622" priority="170">
      <formula>COUNTIF(C4,"*6*")</formula>
    </cfRule>
    <cfRule type="expression" dxfId="621" priority="174">
      <formula>COUNTIF(C4,"*2*")</formula>
    </cfRule>
    <cfRule type="expression" dxfId="620" priority="175">
      <formula>COUNTIF(C4,"*1*")</formula>
    </cfRule>
    <cfRule type="expression" dxfId="619" priority="165">
      <formula>COUNTIF(C4,"*10*")</formula>
    </cfRule>
    <cfRule type="expression" dxfId="618" priority="171">
      <formula>COUNTIF(C4,"*5*")</formula>
    </cfRule>
    <cfRule type="expression" dxfId="617" priority="172">
      <formula>COUNTIF(C4,"*4*")</formula>
    </cfRule>
    <cfRule type="expression" dxfId="616" priority="173">
      <formula>COUNTIF(C4,"*3*")</formula>
    </cfRule>
  </conditionalFormatting>
  <conditionalFormatting sqref="C22:AJ22">
    <cfRule type="expression" dxfId="615" priority="124">
      <formula>COUNTIF(C22,"0a")</formula>
    </cfRule>
    <cfRule type="cellIs" dxfId="614" priority="107" operator="equal">
      <formula>0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9">
      <formula>COUNTIF(C42,"*7*")</formula>
    </cfRule>
    <cfRule type="expression" dxfId="610" priority="88">
      <formula>AND(COUNTIF(C42,"*V*"),AND(NOT(COUNTIF(B42,"*V*")),NOT(COUNTIF(D42,"*V*"))))</formula>
    </cfRule>
    <cfRule type="expression" dxfId="609" priority="87">
      <formula>COUNTIF(C42,"*8*")</formula>
    </cfRule>
    <cfRule type="expression" dxfId="608" priority="95">
      <formula>COUNTIF(C42,"*1*")</formula>
    </cfRule>
    <cfRule type="expression" dxfId="607" priority="90">
      <formula>COUNTIF(C42,"*6*")</formula>
    </cfRule>
    <cfRule type="expression" dxfId="606" priority="85">
      <formula>COUNTIF(C42,"*10*")</formula>
    </cfRule>
    <cfRule type="expression" dxfId="605" priority="94">
      <formula>COUNTIF(C42,"*2*")</formula>
    </cfRule>
    <cfRule type="expression" dxfId="604" priority="93">
      <formula>COUNTIF(C42,"*3*")</formula>
    </cfRule>
    <cfRule type="expression" dxfId="603" priority="92">
      <formula>COUNTIF(C42,"*4*")</formula>
    </cfRule>
    <cfRule type="expression" dxfId="602" priority="91">
      <formula>COUNTIF(C42,"*5*")</formula>
    </cfRule>
    <cfRule type="expression" dxfId="601" priority="86">
      <formula>COUNTIF(C42,"*9*")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9">
      <formula>COUNTIF(BF4,"*1*")</formula>
    </cfRule>
    <cfRule type="expression" dxfId="596" priority="65">
      <formula>COUNTIF(BF4,"*5*")</formula>
    </cfRule>
    <cfRule type="expression" dxfId="595" priority="62">
      <formula>AND(COUNTIF(BF4,"*V*"),AND(NOT(COUNTIF(BE4,"*V*")),NOT(COUNTIF(BG4,"*V*"))))</formula>
    </cfRule>
    <cfRule type="expression" dxfId="594" priority="63">
      <formula>COUNTIF(BF4,"*7*")</formula>
    </cfRule>
    <cfRule type="expression" dxfId="593" priority="64">
      <formula>COUNTIF(BF4,"*6*")</formula>
    </cfRule>
    <cfRule type="expression" dxfId="592" priority="66">
      <formula>COUNTIF(BF4,"*4*")</formula>
    </cfRule>
    <cfRule type="expression" dxfId="591" priority="67">
      <formula>COUNTIF(BF4,"*3*")</formula>
    </cfRule>
    <cfRule type="expression" dxfId="590" priority="68">
      <formula>COUNTIF(BF4,"*2*")</formula>
    </cfRule>
  </conditionalFormatting>
  <conditionalFormatting sqref="BF4:CL15 BF23:CL34">
    <cfRule type="expression" dxfId="589" priority="61">
      <formula>COUNTIF(BF4,"*8*")</formula>
    </cfRule>
    <cfRule type="expression" dxfId="588" priority="60">
      <formula>COUNTIF(BF4,"*9*")</formula>
    </cfRule>
    <cfRule type="expression" dxfId="587" priority="59">
      <formula>COUNTIF(BF4,"*10*")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expression" dxfId="584" priority="3">
      <formula>COUNTIF(BF41,"0a")</formula>
    </cfRule>
    <cfRule type="cellIs" dxfId="583" priority="1" operator="equal">
      <formula>0</formula>
    </cfRule>
  </conditionalFormatting>
  <conditionalFormatting sqref="BF42:CL53">
    <cfRule type="expression" dxfId="582" priority="14">
      <formula>COUNTIF(BF42,"*1*")</formula>
    </cfRule>
    <cfRule type="expression" dxfId="581" priority="12">
      <formula>COUNTIF(BF42,"*3*")</formula>
    </cfRule>
    <cfRule type="expression" dxfId="580" priority="11">
      <formula>COUNTIF(BF42,"*4*")</formula>
    </cfRule>
    <cfRule type="expression" dxfId="579" priority="10">
      <formula>COUNTIF(BF42,"*5*")</formula>
    </cfRule>
    <cfRule type="expression" dxfId="578" priority="9">
      <formula>COUNTIF(BF42,"*6*")</formula>
    </cfRule>
    <cfRule type="expression" dxfId="577" priority="8">
      <formula>COUNTIF(BF42,"*7*")</formula>
    </cfRule>
    <cfRule type="expression" dxfId="576" priority="7">
      <formula>AND(COUNTIF(BF42,"*V*"),AND(NOT(COUNTIF(BE42,"*V*")),NOT(COUNTIF(BG42,"*V*"))))</formula>
    </cfRule>
    <cfRule type="expression" dxfId="575" priority="13">
      <formula>COUNTIF(BF42,"*2*")</formula>
    </cfRule>
    <cfRule type="expression" dxfId="574" priority="6">
      <formula>COUNTIF(BF42,"*8*")</formula>
    </cfRule>
    <cfRule type="expression" dxfId="573" priority="5">
      <formula>COUNTIF(BF42,"*9*")</formula>
    </cfRule>
    <cfRule type="expression" dxfId="572" priority="4">
      <formula>COUNTIF(BF42,"*10*")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29">
      <formula>COUNTIF(BF102,"*1*")</formula>
    </cfRule>
    <cfRule type="expression" dxfId="569" priority="28">
      <formula>COUNTIF(BF102,"*2*")</formula>
    </cfRule>
    <cfRule type="expression" dxfId="568" priority="27">
      <formula>COUNTIF(BF102,"*3*")</formula>
    </cfRule>
    <cfRule type="expression" dxfId="567" priority="26">
      <formula>COUNTIF(BF102,"*4*")</formula>
    </cfRule>
    <cfRule type="expression" dxfId="566" priority="25">
      <formula>COUNTIF(BF102,"*5*")</formula>
    </cfRule>
    <cfRule type="expression" dxfId="565" priority="24">
      <formula>COUNTIF(BF102,"*6*")</formula>
    </cfRule>
    <cfRule type="expression" dxfId="564" priority="23">
      <formula>COUNTIF(BF102,"*7*")</formula>
    </cfRule>
    <cfRule type="expression" dxfId="563" priority="22">
      <formula>AND(COUNTIF(BF102,"*V*"),AND(NOT(COUNTIF(BE102,"*V*")),NOT(COUNTIF(BG102,"*V*"))))</formula>
    </cfRule>
    <cfRule type="expression" dxfId="562" priority="21">
      <formula>COUNTIF(BF102,"*8*")</formula>
    </cfRule>
    <cfRule type="expression" dxfId="561" priority="20">
      <formula>COUNTIF(BF102,"*9*")</formula>
    </cfRule>
    <cfRule type="expression" dxfId="560" priority="19">
      <formula>COUNTIF(BF102,"*10*")</formula>
    </cfRule>
  </conditionalFormatting>
  <conditionalFormatting sqref="CL23:CL34">
    <cfRule type="expression" dxfId="559" priority="79">
      <formula>COUNTIF(CL23,"*3*")</formula>
    </cfRule>
    <cfRule type="expression" dxfId="558" priority="74">
      <formula>AND(COUNTIF(CL23,"*V*"),AND(NOT(COUNTIF(CK23,"*V*")),NOT(COUNTIF(#REF!,"*V*"))))</formula>
    </cfRule>
    <cfRule type="expression" dxfId="557" priority="80">
      <formula>COUNTIF(CL23,"*2*")</formula>
    </cfRule>
    <cfRule type="expression" dxfId="556" priority="81">
      <formula>COUNTIF(CL23,"*1*")</formula>
    </cfRule>
    <cfRule type="expression" dxfId="555" priority="78">
      <formula>COUNTIF(CL23,"*4*")</formula>
    </cfRule>
    <cfRule type="expression" dxfId="554" priority="77">
      <formula>COUNTIF(CL23,"*5*")</formula>
    </cfRule>
    <cfRule type="expression" dxfId="553" priority="76">
      <formula>COUNTIF(CL23,"*6*")</formula>
    </cfRule>
    <cfRule type="expression" dxfId="552" priority="75">
      <formula>COUNTIF(CL23,"*7*")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D19" sqref="D19:AI19"/>
    </sheetView>
  </sheetViews>
  <sheetFormatPr defaultColWidth="9.1796875" defaultRowHeight="14.5" x14ac:dyDescent="0.35"/>
  <cols>
    <col min="1" max="2" width="4.7265625" customWidth="1"/>
    <col min="3" max="27" width="6.453125" customWidth="1"/>
    <col min="28" max="31" width="7.54296875" bestFit="1" customWidth="1"/>
    <col min="32" max="34" width="2.54296875" bestFit="1" customWidth="1"/>
    <col min="35" max="35" width="7.7265625" bestFit="1" customWidth="1"/>
    <col min="36" max="36" width="17.81640625" bestFit="1" customWidth="1"/>
    <col min="37" max="37" width="28.453125" customWidth="1"/>
    <col min="38" max="38" width="6.81640625" customWidth="1"/>
    <col min="39" max="39" width="8.7265625" customWidth="1"/>
    <col min="40" max="40" width="53.453125" style="13" customWidth="1"/>
    <col min="41" max="42" width="6.26953125" style="13" customWidth="1"/>
    <col min="43" max="43" width="12.26953125" style="13" customWidth="1"/>
    <col min="44" max="44" width="21.54296875" style="13" customWidth="1"/>
    <col min="45" max="45" width="22" style="13" customWidth="1"/>
    <col min="46" max="47" width="15.54296875" style="13" customWidth="1"/>
    <col min="48" max="49" width="6.26953125" style="13" customWidth="1"/>
    <col min="50" max="50" width="8.453125" style="13" bestFit="1" customWidth="1"/>
    <col min="51" max="52" width="12.54296875" style="13" bestFit="1" customWidth="1"/>
    <col min="53" max="54" width="8.453125" style="13" customWidth="1"/>
    <col min="55" max="104" width="9.1796875" customWidth="1"/>
  </cols>
  <sheetData>
    <row r="1" spans="1:68" ht="21" customHeight="1" thickBot="1" x14ac:dyDescent="0.4">
      <c r="A1" s="1282" t="s">
        <v>939</v>
      </c>
      <c r="B1" s="1282"/>
      <c r="C1" s="1282"/>
      <c r="D1" s="1282"/>
      <c r="E1" s="1282"/>
      <c r="F1" s="1282"/>
      <c r="G1" s="1282"/>
      <c r="H1" s="1282"/>
      <c r="I1" s="1282"/>
      <c r="J1" s="1282"/>
      <c r="K1" s="1282"/>
      <c r="L1" s="1282"/>
      <c r="M1" s="1282"/>
      <c r="N1" s="1282"/>
      <c r="O1" s="1282"/>
      <c r="P1" s="1282"/>
      <c r="Q1" s="1282"/>
      <c r="R1" s="1282"/>
      <c r="S1" s="1282"/>
      <c r="T1" s="1282"/>
      <c r="U1" s="1282"/>
      <c r="V1" s="1282"/>
      <c r="W1" s="1282"/>
      <c r="X1" s="1282"/>
      <c r="Y1" s="1282"/>
      <c r="Z1" s="1282"/>
      <c r="AA1" s="1282"/>
      <c r="AB1" s="1282"/>
      <c r="AC1" s="1282"/>
      <c r="AD1" s="1282"/>
      <c r="AE1" s="1282"/>
      <c r="AF1" s="1282"/>
      <c r="AG1" s="1282"/>
      <c r="AH1" s="1282"/>
      <c r="AI1" s="1282"/>
      <c r="AJ1" s="1334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2491</v>
      </c>
      <c r="BB1" s="83" t="s">
        <v>2492</v>
      </c>
      <c r="BC1" s="83" t="s">
        <v>2493</v>
      </c>
      <c r="BD1" s="83" t="s">
        <v>2494</v>
      </c>
      <c r="BE1" s="83" t="s">
        <v>2495</v>
      </c>
      <c r="BF1" s="83" t="s">
        <v>2496</v>
      </c>
      <c r="BG1" s="83" t="s">
        <v>2497</v>
      </c>
      <c r="BH1" s="93"/>
      <c r="BI1" s="83" t="s">
        <v>21</v>
      </c>
    </row>
    <row r="2" spans="1:68" ht="17.25" customHeight="1" x14ac:dyDescent="0.35">
      <c r="A2" s="1295"/>
      <c r="B2" s="1296"/>
      <c r="C2" s="1299" t="s">
        <v>17</v>
      </c>
      <c r="D2" s="1299"/>
      <c r="E2" s="1299"/>
      <c r="F2" s="1299"/>
      <c r="G2" s="1299"/>
      <c r="H2" s="1299"/>
      <c r="I2" s="1299"/>
      <c r="J2" s="1299"/>
      <c r="K2" s="1299"/>
      <c r="L2" s="1299"/>
      <c r="M2" s="1299"/>
      <c r="N2" s="1299"/>
      <c r="O2" s="1299"/>
      <c r="P2" s="1299"/>
      <c r="Q2" s="1299"/>
      <c r="R2" s="1299"/>
      <c r="S2" s="1299"/>
      <c r="T2" s="1299"/>
      <c r="U2" s="1299"/>
      <c r="V2" s="1300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4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8</v>
      </c>
      <c r="AR2" s="93">
        <f>IF(COUNTIF($C$43:$AJ$54,"X2"),COUNTIF($C$43:$AJ$54,"X2"),0)</f>
        <v>3</v>
      </c>
      <c r="AS2" s="93">
        <f>IF(COUNTIF($C$43:$AJ$54,"X3"),COUNTIF($C$43:$AJ$54,"X3"),0)</f>
        <v>6</v>
      </c>
      <c r="AT2" s="93">
        <f>IF(COUNTIF($C$43:$AJ$54,"X4"),COUNTIF($C$43:$AJ$54,"X4"),0)</f>
        <v>0</v>
      </c>
      <c r="AU2" s="93">
        <f>IF(COUNTIF($C$43:$AJ$54,"X5"),COUNTIF($C$43:$AJ$54,"X5"),0)</f>
        <v>0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17</v>
      </c>
    </row>
    <row r="3" spans="1:68" ht="15.75" customHeight="1" thickBot="1" x14ac:dyDescent="0.4">
      <c r="A3" s="1297"/>
      <c r="B3" s="1298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>
        <f>IF(MAX(Data!$BI$46:$BI$62)&lt;&gt;0,MAX(Data!$BI$46:$BI$62)+1,"")</f>
        <v>4</v>
      </c>
      <c r="BO3" s="36">
        <f>IF(Data!E4&lt;&gt;"",Data!E4,0)</f>
        <v>0</v>
      </c>
      <c r="BP3" s="36">
        <f>IF(Data!F4&lt;&gt;"",Data!F4,0)</f>
        <v>0</v>
      </c>
    </row>
    <row r="4" spans="1:68" ht="23.25" customHeight="1" x14ac:dyDescent="0.35">
      <c r="A4" s="1304" t="s">
        <v>18</v>
      </c>
      <c r="B4" s="6">
        <v>1</v>
      </c>
      <c r="C4" s="344" t="s">
        <v>49</v>
      </c>
      <c r="D4" s="345" t="s">
        <v>49</v>
      </c>
      <c r="E4" s="345" t="s">
        <v>49</v>
      </c>
      <c r="F4" s="345" t="s">
        <v>49</v>
      </c>
      <c r="G4" s="345" t="s">
        <v>49</v>
      </c>
      <c r="H4" s="345" t="s">
        <v>2534</v>
      </c>
      <c r="I4" s="345" t="s">
        <v>2533</v>
      </c>
      <c r="J4" s="345" t="s">
        <v>110</v>
      </c>
      <c r="K4" s="345"/>
      <c r="L4" s="345" t="s">
        <v>49</v>
      </c>
      <c r="M4" s="345" t="s">
        <v>49</v>
      </c>
      <c r="N4" s="345" t="s">
        <v>2534</v>
      </c>
      <c r="O4" s="345" t="s">
        <v>110</v>
      </c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>
        <f>IFERROR(BN3+1,"")</f>
        <v>5</v>
      </c>
      <c r="BO4" s="36">
        <f>IF(Data!E5&lt;&gt;"",Data!E5,0)</f>
        <v>0</v>
      </c>
      <c r="BP4" s="36">
        <f>IF(Data!F5&lt;&gt;"",Data!F5,0)</f>
        <v>0</v>
      </c>
    </row>
    <row r="5" spans="1:68" ht="20.5" thickBot="1" x14ac:dyDescent="0.4">
      <c r="A5" s="1305"/>
      <c r="B5" s="35">
        <v>2</v>
      </c>
      <c r="C5" s="347" t="s">
        <v>49</v>
      </c>
      <c r="D5" s="348" t="s">
        <v>49</v>
      </c>
      <c r="E5" s="348" t="s">
        <v>110</v>
      </c>
      <c r="F5" s="348" t="s">
        <v>2533</v>
      </c>
      <c r="G5" s="348" t="s">
        <v>110</v>
      </c>
      <c r="H5" s="348"/>
      <c r="I5" s="348"/>
      <c r="J5" s="348"/>
      <c r="K5" s="348"/>
      <c r="L5" s="348" t="s">
        <v>49</v>
      </c>
      <c r="M5" s="348" t="s">
        <v>49</v>
      </c>
      <c r="N5" s="348" t="s">
        <v>49</v>
      </c>
      <c r="O5" s="348" t="s">
        <v>2533</v>
      </c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>
        <f>IFERROR(BN4+1,"")</f>
        <v>6</v>
      </c>
      <c r="BO5" s="36">
        <f>IF(Data!E6&lt;&gt;"",Data!E6,0)</f>
        <v>0</v>
      </c>
      <c r="BP5" s="36">
        <f>IF(Data!F6&lt;&gt;"",Data!F6,0)</f>
        <v>0</v>
      </c>
    </row>
    <row r="6" spans="1:68" ht="20" x14ac:dyDescent="0.35">
      <c r="A6" s="1305"/>
      <c r="B6" s="35">
        <v>3</v>
      </c>
      <c r="C6" s="347" t="s">
        <v>49</v>
      </c>
      <c r="D6" s="348" t="s">
        <v>49</v>
      </c>
      <c r="E6" s="348" t="s">
        <v>49</v>
      </c>
      <c r="F6" s="348" t="s">
        <v>49</v>
      </c>
      <c r="G6" s="348" t="s">
        <v>110</v>
      </c>
      <c r="H6" s="348" t="s">
        <v>2533</v>
      </c>
      <c r="I6" s="348" t="s">
        <v>2534</v>
      </c>
      <c r="J6" s="348"/>
      <c r="K6" s="348"/>
      <c r="L6" s="348" t="s">
        <v>49</v>
      </c>
      <c r="M6" s="348" t="s">
        <v>49</v>
      </c>
      <c r="N6" s="348" t="s">
        <v>2533</v>
      </c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>
        <f>IF(COUNTIF($C$26:$AJ$37,"*R*1*"),COUNTIF($C$26:$AJ$37,"*R*1*")," ")</f>
        <v>5</v>
      </c>
      <c r="AR6" s="93">
        <f>IF(COUNTIF($C$26:$AJ$37,"*R*2*"),COUNTIF($C$26:$AJ$37,"*R*2*")," ")</f>
        <v>5</v>
      </c>
      <c r="AS6" s="93" t="str">
        <f>IF(COUNTIF($C$26:$AJ$37,"*R*3*"),COUNTIF($C$26:$AJ$37,"*R*3*")," ")</f>
        <v xml:space="preserve"> 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10</v>
      </c>
      <c r="BM6" s="69" t="s">
        <v>1261</v>
      </c>
      <c r="BN6" s="70">
        <f>IFERROR(BN5+1,"")</f>
        <v>7</v>
      </c>
      <c r="BO6" s="36">
        <f>IF(Data!E7&lt;&gt;"",Data!E7,0)</f>
        <v>0</v>
      </c>
      <c r="BP6" s="36">
        <f>IF(Data!F7&lt;&gt;"",Data!F7,0)</f>
        <v>0</v>
      </c>
    </row>
    <row r="7" spans="1:68" ht="20" x14ac:dyDescent="0.35">
      <c r="A7" s="1305"/>
      <c r="B7" s="35">
        <v>4</v>
      </c>
      <c r="C7" s="347" t="s">
        <v>49</v>
      </c>
      <c r="D7" s="348" t="s">
        <v>49</v>
      </c>
      <c r="E7" s="348" t="s">
        <v>110</v>
      </c>
      <c r="F7" s="348" t="s">
        <v>2533</v>
      </c>
      <c r="G7" s="348" t="s">
        <v>110</v>
      </c>
      <c r="H7" s="348" t="s">
        <v>2534</v>
      </c>
      <c r="I7" s="348"/>
      <c r="J7" s="348"/>
      <c r="K7" s="348"/>
      <c r="L7" s="348" t="s">
        <v>49</v>
      </c>
      <c r="M7" s="348" t="s">
        <v>49</v>
      </c>
      <c r="N7" s="348" t="s">
        <v>49</v>
      </c>
      <c r="O7" s="348" t="s">
        <v>2533</v>
      </c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>
        <f>IF(COUNTIF($C$26:$AJ$37,"*S*1*"),COUNTIF($C$26:$AJ$37,"*S*1*")," ")</f>
        <v>20</v>
      </c>
      <c r="AR7" s="93">
        <f>IF(COUNTIF($C$26:$AJ$37,"*S*2*"),COUNTIF($C$26:$AJ$37,"*S*2*")," ")</f>
        <v>15</v>
      </c>
      <c r="AS7" s="93" t="str">
        <f>IF(COUNTIF($C$26:$AJ$37,"*S*3*"),COUNTIF($C$26:$AJ$37,"*S*3*")," ")</f>
        <v xml:space="preserve"> 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35</v>
      </c>
      <c r="BM7" s="69" t="s">
        <v>1262</v>
      </c>
      <c r="BN7" s="70">
        <f>IFERROR(BN6+1,"")</f>
        <v>8</v>
      </c>
      <c r="BO7" s="36">
        <f>IF(Data!E8&lt;&gt;"",Data!E8,0)</f>
        <v>0</v>
      </c>
      <c r="BP7" s="36">
        <f>IF(Data!F8&lt;&gt;"",Data!F8,0)</f>
        <v>0</v>
      </c>
    </row>
    <row r="8" spans="1:68" ht="20" x14ac:dyDescent="0.35">
      <c r="A8" s="1305"/>
      <c r="B8" s="35">
        <v>5</v>
      </c>
      <c r="C8" s="347" t="s">
        <v>49</v>
      </c>
      <c r="D8" s="348" t="s">
        <v>49</v>
      </c>
      <c r="E8" s="348" t="s">
        <v>49</v>
      </c>
      <c r="F8" s="348" t="s">
        <v>49</v>
      </c>
      <c r="G8" s="348" t="s">
        <v>49</v>
      </c>
      <c r="H8" s="348" t="s">
        <v>110</v>
      </c>
      <c r="I8" s="348" t="s">
        <v>2533</v>
      </c>
      <c r="J8" s="348" t="s">
        <v>110</v>
      </c>
      <c r="K8" s="348"/>
      <c r="L8" s="348" t="s">
        <v>49</v>
      </c>
      <c r="M8" s="348" t="s">
        <v>49</v>
      </c>
      <c r="N8" s="348" t="s">
        <v>110</v>
      </c>
      <c r="O8" s="348" t="s">
        <v>2533</v>
      </c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" x14ac:dyDescent="0.35">
      <c r="A9" s="1305"/>
      <c r="B9" s="35">
        <v>6</v>
      </c>
      <c r="C9" s="347" t="s">
        <v>49</v>
      </c>
      <c r="D9" s="348" t="s">
        <v>110</v>
      </c>
      <c r="E9" s="348" t="s">
        <v>49</v>
      </c>
      <c r="F9" s="348" t="s">
        <v>110</v>
      </c>
      <c r="G9" s="348" t="s">
        <v>110</v>
      </c>
      <c r="H9" s="348"/>
      <c r="I9" s="348"/>
      <c r="J9" s="348"/>
      <c r="K9" s="348"/>
      <c r="L9" s="348" t="s">
        <v>49</v>
      </c>
      <c r="M9" s="348" t="s">
        <v>49</v>
      </c>
      <c r="N9" s="348" t="s">
        <v>49</v>
      </c>
      <c r="O9" s="348" t="s">
        <v>2533</v>
      </c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 t="str">
        <f>IF(COUNTIF($C$43:$AJ$54,"O"),COUNTIF($C$43:$AJ$54,"O")," ")</f>
        <v xml:space="preserve"> </v>
      </c>
      <c r="AP9" s="93" t="str">
        <f>IF(COUNTIF($C$43:$AJ$54,"O*0"),COUNTIF($C$43:$AJ$54,"O*0")," ")</f>
        <v xml:space="preserve"> </v>
      </c>
      <c r="AQ9" s="93" t="str">
        <f>IF(COUNTIF($C$43:$AJ$54,"O*1"),COUNTIF($C$43:$AJ$54,"O*1")," ")</f>
        <v xml:space="preserve"> </v>
      </c>
      <c r="AR9" s="93" t="str">
        <f>IF(COUNTIF($C$43:$AJ$54,"O*2"),COUNTIF($C$43:$AJ$54,"O*2")," ")</f>
        <v xml:space="preserve"> 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0</v>
      </c>
    </row>
    <row r="10" spans="1:68" ht="20" x14ac:dyDescent="0.35">
      <c r="A10" s="1305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1</v>
      </c>
      <c r="AR10" s="93">
        <f>IF(COUNTIF($C$26:$AJ$37,"*P*2"),COUNTIF($C$26:$AJ$37,"*P*2"),0)</f>
        <v>1</v>
      </c>
      <c r="AS10" s="93">
        <f>IF(COUNTIF($C$26:$AJ$37,"*P*3"),COUNTIF($C$26:$AJ$37,"*P*3"),0)</f>
        <v>2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4</v>
      </c>
    </row>
    <row r="11" spans="1:68" ht="20" x14ac:dyDescent="0.35">
      <c r="A11" s="1305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0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" x14ac:dyDescent="0.35">
      <c r="A12" s="1305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1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" x14ac:dyDescent="0.35">
      <c r="A13" s="1305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1</v>
      </c>
      <c r="AN13" s="93"/>
      <c r="AO13" s="93">
        <f t="shared" ref="AO13:AZ13" si="1">SUM(AO2:AO9)</f>
        <v>0</v>
      </c>
      <c r="AP13" s="93">
        <f t="shared" si="1"/>
        <v>0</v>
      </c>
      <c r="AQ13" s="93">
        <f t="shared" si="1"/>
        <v>33</v>
      </c>
      <c r="AR13" s="93">
        <f t="shared" si="1"/>
        <v>23</v>
      </c>
      <c r="AS13" s="93">
        <f t="shared" si="1"/>
        <v>6</v>
      </c>
      <c r="AT13" s="93">
        <f t="shared" si="1"/>
        <v>0</v>
      </c>
      <c r="AU13" s="93">
        <f t="shared" si="1"/>
        <v>0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62</v>
      </c>
    </row>
    <row r="14" spans="1:68" ht="20" x14ac:dyDescent="0.35">
      <c r="A14" s="1305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1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33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23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6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0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0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62</v>
      </c>
    </row>
    <row r="15" spans="1:68" ht="20.5" thickBot="1" x14ac:dyDescent="0.4">
      <c r="A15" s="1306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1</v>
      </c>
      <c r="AN15" s="93"/>
      <c r="AO15" s="93" t="str">
        <f>IF(AO13=AO14,"True","Excessive Cutters")</f>
        <v>True</v>
      </c>
      <c r="AP15" s="93" t="str">
        <f>IF(AP13=AP14,"True","Excessive Cutters")</f>
        <v>True</v>
      </c>
      <c r="AQ15" s="93" t="str">
        <f>IF(AQ13=AQ14,"True","Imperfection")</f>
        <v>True</v>
      </c>
      <c r="AR15" s="93" t="str">
        <f>IF(AR13=AR14,"True","Imperfection")</f>
        <v>True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4">
      <c r="A16" s="1283"/>
      <c r="B16" s="1313"/>
      <c r="C16" s="1313"/>
      <c r="D16" s="1313"/>
      <c r="E16" s="1313"/>
      <c r="F16" s="1313"/>
      <c r="G16" s="1313"/>
      <c r="H16" s="1313"/>
      <c r="I16" s="1313"/>
      <c r="J16" s="1313"/>
      <c r="K16" s="1313"/>
      <c r="L16" s="1313"/>
      <c r="M16" s="1313"/>
      <c r="N16" s="1313"/>
      <c r="O16" s="1313"/>
      <c r="P16" s="1313"/>
      <c r="Q16" s="1313"/>
      <c r="R16" s="1313"/>
      <c r="S16" s="1313"/>
      <c r="T16" s="1313"/>
      <c r="U16" s="1313"/>
      <c r="V16" s="1313"/>
      <c r="W16" s="1313"/>
      <c r="X16" s="1313"/>
      <c r="Y16" s="1313"/>
      <c r="Z16" s="1313"/>
      <c r="AA16" s="1313"/>
      <c r="AB16" s="1313"/>
      <c r="AC16" s="1313"/>
      <c r="AD16" s="1313"/>
      <c r="AE16" s="1313"/>
      <c r="AF16" s="1313"/>
      <c r="AG16" s="1313"/>
      <c r="AH16" s="1313"/>
      <c r="AI16" s="1313"/>
    </row>
    <row r="17" spans="1:43" ht="61.5" customHeight="1" thickBot="1" x14ac:dyDescent="0.4">
      <c r="A17" s="1310" t="s">
        <v>797</v>
      </c>
      <c r="B17" s="1311"/>
      <c r="C17" s="1312"/>
      <c r="D17" s="1307" t="s">
        <v>2536</v>
      </c>
      <c r="E17" s="1308"/>
      <c r="F17" s="1308"/>
      <c r="G17" s="1308"/>
      <c r="H17" s="1308"/>
      <c r="I17" s="1308"/>
      <c r="J17" s="1308"/>
      <c r="K17" s="1308"/>
      <c r="L17" s="1308"/>
      <c r="M17" s="1308"/>
      <c r="N17" s="1308"/>
      <c r="O17" s="1308"/>
      <c r="P17" s="1308"/>
      <c r="Q17" s="1308"/>
      <c r="R17" s="1308"/>
      <c r="S17" s="1308"/>
      <c r="T17" s="1308"/>
      <c r="U17" s="1308"/>
      <c r="V17" s="1308"/>
      <c r="W17" s="1308"/>
      <c r="X17" s="1308"/>
      <c r="Y17" s="1308"/>
      <c r="Z17" s="1308"/>
      <c r="AA17" s="1308"/>
      <c r="AB17" s="1308"/>
      <c r="AC17" s="1308"/>
      <c r="AD17" s="1308"/>
      <c r="AE17" s="1308"/>
      <c r="AF17" s="1308"/>
      <c r="AG17" s="1308"/>
      <c r="AH17" s="1308"/>
      <c r="AI17" s="1309"/>
      <c r="AK17" t="b">
        <f>AND(COUNTIF(C4,"O"),'Die Check Entry'!C4&lt;&gt;"",'Die Check Entry'!$W$1=1)</f>
        <v>0</v>
      </c>
    </row>
    <row r="18" spans="1:43" ht="23" thickBot="1" x14ac:dyDescent="0.4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8</v>
      </c>
    </row>
    <row r="19" spans="1:43" ht="39" customHeight="1" thickBot="1" x14ac:dyDescent="0.4">
      <c r="A19" s="1320" t="s">
        <v>817</v>
      </c>
      <c r="B19" s="1320"/>
      <c r="C19" s="1321"/>
      <c r="D19" s="1317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>Shank need machining, Breaker slot needs cleaning. Build up the following: pockets B1P6, B1P11, B3P7 and B4P6.</v>
      </c>
      <c r="E19" s="1318"/>
      <c r="F19" s="1318"/>
      <c r="G19" s="1318"/>
      <c r="H19" s="1318"/>
      <c r="I19" s="1318"/>
      <c r="J19" s="1318"/>
      <c r="K19" s="1318"/>
      <c r="L19" s="1318"/>
      <c r="M19" s="1318"/>
      <c r="N19" s="1318"/>
      <c r="O19" s="1318"/>
      <c r="P19" s="1318"/>
      <c r="Q19" s="1318"/>
      <c r="R19" s="1318"/>
      <c r="S19" s="1318"/>
      <c r="T19" s="1318"/>
      <c r="U19" s="1318"/>
      <c r="V19" s="1318"/>
      <c r="W19" s="1318"/>
      <c r="X19" s="1318"/>
      <c r="Y19" s="1318"/>
      <c r="Z19" s="1318"/>
      <c r="AA19" s="1318"/>
      <c r="AB19" s="1318"/>
      <c r="AC19" s="1318"/>
      <c r="AD19" s="1318"/>
      <c r="AE19" s="1318"/>
      <c r="AF19" s="1318"/>
      <c r="AG19" s="1318"/>
      <c r="AH19" s="1318"/>
      <c r="AI19" s="1319"/>
      <c r="AQ19" s="13">
        <f>COUNTIF($C$43:$AJ$54,"X1")</f>
        <v>8</v>
      </c>
    </row>
    <row r="20" spans="1:43" ht="10" customHeight="1" thickBot="1" x14ac:dyDescent="0.4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4">
      <c r="A21" s="1320" t="s">
        <v>818</v>
      </c>
      <c r="B21" s="1320"/>
      <c r="C21" s="1321"/>
      <c r="D21" s="1317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>Shank need machining, Breaker slot needs cleaning. Build up the following: pockets B1P6, B1P11, B3P7 and B4P6.</v>
      </c>
      <c r="E21" s="1318"/>
      <c r="F21" s="1318"/>
      <c r="G21" s="1318"/>
      <c r="H21" s="1318"/>
      <c r="I21" s="1318"/>
      <c r="J21" s="1318"/>
      <c r="K21" s="1318"/>
      <c r="L21" s="1318"/>
      <c r="M21" s="1318"/>
      <c r="N21" s="1318"/>
      <c r="O21" s="1318"/>
      <c r="P21" s="1318"/>
      <c r="Q21" s="1318"/>
      <c r="R21" s="1318"/>
      <c r="S21" s="1318"/>
      <c r="T21" s="1318"/>
      <c r="U21" s="1318"/>
      <c r="V21" s="1318"/>
      <c r="W21" s="1318"/>
      <c r="X21" s="1318"/>
      <c r="Y21" s="1318"/>
      <c r="Z21" s="1318"/>
      <c r="AA21" s="1318"/>
      <c r="AB21" s="1318"/>
      <c r="AC21" s="1318"/>
      <c r="AD21" s="1318"/>
      <c r="AE21" s="1318"/>
      <c r="AF21" s="1318"/>
      <c r="AG21" s="1318"/>
      <c r="AH21" s="1318"/>
      <c r="AI21" s="1319"/>
    </row>
    <row r="22" spans="1:43" ht="23.25" customHeight="1" x14ac:dyDescent="0.3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10" customHeight="1" thickBot="1" x14ac:dyDescent="0.4">
      <c r="A23" s="1322" t="s">
        <v>305</v>
      </c>
      <c r="B23" s="1322"/>
      <c r="C23" s="1322"/>
      <c r="D23" s="1322"/>
      <c r="E23" s="1322"/>
      <c r="F23" s="1322"/>
      <c r="G23" s="1322"/>
      <c r="H23" s="1322"/>
      <c r="I23" s="1322"/>
      <c r="J23" s="1322"/>
      <c r="K23" s="1322"/>
      <c r="L23" s="1322"/>
      <c r="M23" s="1322"/>
      <c r="N23" s="1322"/>
      <c r="O23" s="1322"/>
      <c r="P23" s="1322"/>
      <c r="Q23" s="1322"/>
      <c r="R23" s="1322"/>
      <c r="S23" s="1322"/>
      <c r="T23" s="1322"/>
      <c r="U23" s="1322"/>
      <c r="V23" s="1322"/>
      <c r="W23" s="1322"/>
      <c r="X23" s="1322"/>
      <c r="Y23" s="1322"/>
      <c r="Z23" s="1322"/>
      <c r="AA23" s="1322"/>
      <c r="AB23" s="1322"/>
      <c r="AC23" s="1322"/>
      <c r="AD23" s="1322"/>
      <c r="AE23" s="1322"/>
      <c r="AF23" s="1322"/>
      <c r="AG23" s="1322"/>
      <c r="AH23" s="1322"/>
      <c r="AI23" s="1322"/>
    </row>
    <row r="24" spans="1:43" ht="15" customHeight="1" x14ac:dyDescent="0.35">
      <c r="A24" s="1285"/>
      <c r="B24" s="1286"/>
      <c r="C24" s="1289" t="s">
        <v>17</v>
      </c>
      <c r="D24" s="1289"/>
      <c r="E24" s="1289"/>
      <c r="F24" s="1289"/>
      <c r="G24" s="1289"/>
      <c r="H24" s="1289"/>
      <c r="I24" s="1289"/>
      <c r="J24" s="1289"/>
      <c r="K24" s="1289"/>
      <c r="L24" s="1289"/>
      <c r="M24" s="1289"/>
      <c r="N24" s="1289"/>
      <c r="O24" s="1289"/>
      <c r="P24" s="1289"/>
      <c r="Q24" s="1289"/>
      <c r="R24" s="1289"/>
      <c r="S24" s="1289"/>
      <c r="T24" s="1289"/>
      <c r="U24" s="1289"/>
      <c r="V24" s="1290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4">
      <c r="A25" s="1287"/>
      <c r="B25" s="1288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35">
      <c r="A26" s="1283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>S1</v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>S1</v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>S1</v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>S1</v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>S1</v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>XP1</v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>R1</v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>X3</v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/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>S2</v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>S2</v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>XP2</v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>X2</v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/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/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/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/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/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/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/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/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/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/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/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>S1</v>
      </c>
    </row>
    <row r="27" spans="1:43" ht="23.25" customHeight="1" x14ac:dyDescent="0.35">
      <c r="A27" s="1283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>S1</v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>S1</v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>X1</v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>R1</v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>X3</v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/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/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/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/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>S2</v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>S2</v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>S2</v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>R2</v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/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/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/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/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/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/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/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/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/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/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/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35">
      <c r="A28" s="1283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>S1</v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>S1</v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>S1</v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>S1</v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>X1</v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>R1</v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>XP3</v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/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/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>S2</v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>S2</v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>R2</v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/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/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/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/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/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/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/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/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/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/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/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35">
      <c r="A29" s="1283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>S1</v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>S1</v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>X1</v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>R1</v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>X1</v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>XP3</v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/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/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/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>S2</v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>S2</v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>S2</v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>R2</v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/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/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/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/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/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/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/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/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/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/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/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35">
      <c r="A30" s="1283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>S1</v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>S1</v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>S1</v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>S1</v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>S1</v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>X1</v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>R1</v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>X3</v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/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>S2</v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>S2</v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>X2</v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>R2</v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/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/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/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/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/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/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/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/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/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/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/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35">
      <c r="A31" s="1283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>S1</v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>X1</v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>S1</v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>X1</v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>X3</v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/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/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/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/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>S2</v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>S2</v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>S2</v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>R2</v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/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/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/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/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/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/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/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/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/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/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/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35">
      <c r="A32" s="1283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/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/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/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/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/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/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/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/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/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/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/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/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/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/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/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/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/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35">
      <c r="A33" s="1283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/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/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/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/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/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/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/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/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/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/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/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/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/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/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/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/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/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35">
      <c r="A34" s="1283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35">
      <c r="A35" s="1283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35">
      <c r="A36" s="1283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4">
      <c r="A37" s="1284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3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10" customHeight="1" thickBot="1" x14ac:dyDescent="0.4">
      <c r="A39" s="1322" t="s">
        <v>133</v>
      </c>
      <c r="B39" s="1322"/>
      <c r="C39" s="1322"/>
      <c r="D39" s="1322"/>
      <c r="E39" s="1322"/>
      <c r="F39" s="1322"/>
      <c r="G39" s="1322"/>
      <c r="H39" s="1322"/>
      <c r="I39" s="1322"/>
      <c r="J39" s="1322"/>
      <c r="K39" s="1322"/>
      <c r="L39" s="1322"/>
      <c r="M39" s="1322"/>
      <c r="N39" s="1322"/>
      <c r="O39" s="1322"/>
      <c r="P39" s="1322"/>
      <c r="Q39" s="1322"/>
      <c r="R39" s="1322"/>
      <c r="S39" s="1322"/>
      <c r="T39" s="1322"/>
      <c r="U39" s="1322"/>
      <c r="V39" s="1322"/>
      <c r="W39" s="1322"/>
      <c r="X39" s="1322"/>
      <c r="Y39" s="1322"/>
      <c r="Z39" s="1322"/>
      <c r="AA39" s="1322"/>
      <c r="AB39" s="1322"/>
      <c r="AC39" s="1322"/>
      <c r="AD39" s="1322"/>
      <c r="AE39" s="1322"/>
      <c r="AF39" s="1322"/>
      <c r="AG39" s="1322"/>
      <c r="AH39" s="1322"/>
      <c r="AI39" s="1322"/>
    </row>
    <row r="40" spans="1:54" ht="24" customHeight="1" thickBot="1" x14ac:dyDescent="0.4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35">
      <c r="A41" s="1285"/>
      <c r="B41" s="1286"/>
      <c r="C41" s="1289" t="s">
        <v>17</v>
      </c>
      <c r="D41" s="1289"/>
      <c r="E41" s="1289"/>
      <c r="F41" s="1289"/>
      <c r="G41" s="1289"/>
      <c r="H41" s="1289"/>
      <c r="I41" s="1289"/>
      <c r="J41" s="1289"/>
      <c r="K41" s="1289"/>
      <c r="L41" s="1289"/>
      <c r="M41" s="1289"/>
      <c r="N41" s="1289"/>
      <c r="O41" s="1289"/>
      <c r="P41" s="1289"/>
      <c r="Q41" s="1289"/>
      <c r="R41" s="1289"/>
      <c r="S41" s="1289"/>
      <c r="T41" s="1289"/>
      <c r="U41" s="1289"/>
      <c r="V41" s="1290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4">
      <c r="A42" s="1287"/>
      <c r="B42" s="1288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35">
      <c r="A43" s="1283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>S1</v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>S1</v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>S1</v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>S1</v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>S1</v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>X1</v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>R1</v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>X3</v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/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>S2</v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>S2</v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>X2</v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>X2</v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/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/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/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/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/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/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/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/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/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/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/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>S1</v>
      </c>
    </row>
    <row r="44" spans="1:54" s="9" customFormat="1" ht="23.25" customHeight="1" x14ac:dyDescent="0.35">
      <c r="A44" s="1283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>S1</v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>S1</v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>X1</v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>R1</v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>X3</v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/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/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/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/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>S2</v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>S2</v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>S2</v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>R2</v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/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/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/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/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/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/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/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/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/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/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/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35">
      <c r="A45" s="1283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>S1</v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>S1</v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>S1</v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>S1</v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>X1</v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>R1</v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>X3</v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/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/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>S2</v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>S2</v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>R2</v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/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/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/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/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/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/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/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/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/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/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/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35">
      <c r="A46" s="1283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>S1</v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>S1</v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>X1</v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>R1</v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>X1</v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>X3</v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/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/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/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>S2</v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>S2</v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>S2</v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>R2</v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/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/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/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/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/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/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/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/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/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/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/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35">
      <c r="A47" s="1283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>S1</v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>S1</v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>S1</v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>S1</v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>S1</v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>X1</v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>R1</v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>X3</v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/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>S2</v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>S2</v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>X2</v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>R2</v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/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/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/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/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/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/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/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/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/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/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/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35">
      <c r="A48" s="1283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>S1</v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>X1</v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>S1</v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>X1</v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>X3</v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/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/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/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/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>S2</v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>S2</v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>S2</v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>R2</v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/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/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/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/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/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/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/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/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/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/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/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35">
      <c r="A49" s="1283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/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/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/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/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/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/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/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/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/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/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/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/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/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/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/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/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/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35">
      <c r="A50" s="1283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/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/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/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/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/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/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/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/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/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/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/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/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/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/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/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/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/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35">
      <c r="A51" s="1283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35">
      <c r="A52" s="1283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35">
      <c r="A53" s="1283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4">
      <c r="A54" s="1284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35"/>
    <row r="56" spans="1:69" ht="15.75" customHeight="1" thickBot="1" x14ac:dyDescent="0.4"/>
    <row r="57" spans="1:69" ht="10" customHeight="1" thickBot="1" x14ac:dyDescent="0.4">
      <c r="A57" s="1301" t="s">
        <v>135</v>
      </c>
      <c r="B57" s="1302"/>
      <c r="C57" s="1302"/>
      <c r="D57" s="1302"/>
      <c r="E57" s="1302"/>
      <c r="F57" s="1302"/>
      <c r="G57" s="1302"/>
      <c r="H57" s="1302"/>
      <c r="I57" s="1302"/>
      <c r="J57" s="1302"/>
      <c r="K57" s="1302"/>
      <c r="L57" s="1303"/>
      <c r="M57" s="1301" t="s">
        <v>782</v>
      </c>
      <c r="N57" s="1302"/>
      <c r="O57" s="1302"/>
      <c r="P57" s="1302"/>
      <c r="Q57" s="1302"/>
      <c r="R57" s="1302"/>
      <c r="S57" s="1302"/>
      <c r="T57" s="1302"/>
      <c r="U57" s="1302"/>
      <c r="V57" s="1302"/>
      <c r="W57" s="1302"/>
      <c r="X57" s="1303"/>
      <c r="Y57" s="101" t="str">
        <f>IF(Data!L3&lt;&gt;"",Data!L3," ")</f>
        <v xml:space="preserve"> </v>
      </c>
      <c r="Z57" s="1301"/>
      <c r="AA57" s="1302"/>
      <c r="AB57" s="1302"/>
      <c r="AC57" s="1302"/>
      <c r="AD57" s="1302"/>
      <c r="AE57" s="1302"/>
      <c r="AF57" s="1302"/>
      <c r="AG57" s="1302"/>
      <c r="AH57" s="1302"/>
      <c r="AI57" s="1303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2491</v>
      </c>
      <c r="BB57" s="83" t="s">
        <v>2492</v>
      </c>
      <c r="BC57" s="83" t="s">
        <v>2493</v>
      </c>
      <c r="BD57" s="83" t="s">
        <v>2494</v>
      </c>
      <c r="BE57" s="83" t="s">
        <v>2495</v>
      </c>
      <c r="BF57" s="83" t="s">
        <v>2496</v>
      </c>
      <c r="BG57" s="83" t="s">
        <v>2497</v>
      </c>
      <c r="BH57" s="93"/>
      <c r="BI57" s="83" t="s">
        <v>21</v>
      </c>
    </row>
    <row r="58" spans="1:69" ht="24" customHeight="1" thickBot="1" x14ac:dyDescent="0.4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0</v>
      </c>
      <c r="AR58" s="93">
        <f>IF(COUNTIF($C$111:$AJ$122,"X2"),COUNTIF($C$111:$AJ$122,"X2"),0)</f>
        <v>0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0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4">
      <c r="A59" s="1285"/>
      <c r="B59" s="1286"/>
      <c r="C59" s="1289" t="s">
        <v>17</v>
      </c>
      <c r="D59" s="1289"/>
      <c r="E59" s="1289"/>
      <c r="F59" s="1289"/>
      <c r="G59" s="1289"/>
      <c r="H59" s="1289"/>
      <c r="I59" s="1289"/>
      <c r="J59" s="1289"/>
      <c r="K59" s="1289"/>
      <c r="L59" s="1289"/>
      <c r="M59" s="1289"/>
      <c r="N59" s="1289"/>
      <c r="O59" s="1289"/>
      <c r="P59" s="1289"/>
      <c r="Q59" s="1289"/>
      <c r="R59" s="1289"/>
      <c r="S59" s="1289"/>
      <c r="T59" s="1289"/>
      <c r="U59" s="1289"/>
      <c r="V59" s="1290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>
        <f>IF(MAX(Data!BI$46:BI$62)&lt;&gt;0,MAX(Data!$BI$46:$BI$62)+1,"")</f>
        <v>4</v>
      </c>
      <c r="BO59" s="36">
        <f>IF(Data!E4&lt;&gt;"",Data!E4,0)</f>
        <v>0</v>
      </c>
      <c r="BP59" s="36">
        <f>IF(Data!F4&lt;&gt;"",Data!F4,0)</f>
        <v>0</v>
      </c>
      <c r="BQ59" s="89" t="str">
        <f>"To Replaced Cutter #"&amp;" "&amp;Data!G4</f>
        <v xml:space="preserve">To Replaced Cutter # </v>
      </c>
    </row>
    <row r="60" spans="1:69" ht="21" customHeight="1" thickBot="1" x14ac:dyDescent="0.4">
      <c r="A60" s="1287"/>
      <c r="B60" s="1288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>
        <f>IFERROR(BN59+1,"")</f>
        <v>5</v>
      </c>
      <c r="BO60" s="36">
        <f>IF(Data!E5&lt;&gt;"",Data!E5,0)</f>
        <v>0</v>
      </c>
      <c r="BP60" s="36">
        <f>IF(Data!F5&lt;&gt;"",Data!F5,0)</f>
        <v>0</v>
      </c>
      <c r="BQ60" s="89" t="str">
        <f>"To Replaced Cutter #"&amp;" "&amp;Data!G5</f>
        <v xml:space="preserve">To Replaced Cutter # </v>
      </c>
    </row>
    <row r="61" spans="1:69" ht="23.25" customHeight="1" thickBot="1" x14ac:dyDescent="0.4">
      <c r="A61" s="1283" t="s">
        <v>18</v>
      </c>
      <c r="B61" s="21">
        <v>1</v>
      </c>
      <c r="C61" s="41" t="str">
        <f>IF('Eng. Cutter Entry'!C4&lt;&gt;"",'Eng. Cutter Entry'!C4,"")</f>
        <v/>
      </c>
      <c r="D61" s="41" t="str">
        <f>IF('Eng. Cutter Entry'!D4&lt;&gt;"",'Eng. Cutter Entry'!D4,"")</f>
        <v/>
      </c>
      <c r="E61" s="41" t="str">
        <f>IF('Eng. Cutter Entry'!E4&lt;&gt;"",'Eng. Cutter Entry'!E4,"")</f>
        <v/>
      </c>
      <c r="F61" s="41" t="str">
        <f>IF('Eng. Cutter Entry'!F4&lt;&gt;"",'Eng. Cutter Entry'!F4,"")</f>
        <v/>
      </c>
      <c r="G61" s="41" t="str">
        <f>IF('Eng. Cutter Entry'!G4&lt;&gt;"",'Eng. Cutter Entry'!G4,"")</f>
        <v/>
      </c>
      <c r="H61" s="41" t="str">
        <f>IF('Eng. Cutter Entry'!H4&lt;&gt;"",'Eng. Cutter Entry'!H4,"")</f>
        <v/>
      </c>
      <c r="I61" s="1022" t="str">
        <f>IF('Eng. Cutter Entry'!I4&lt;&gt;"",'Eng. Cutter Entry'!I4,"")</f>
        <v/>
      </c>
      <c r="J61" s="41" t="str">
        <f>IF('Eng. Cutter Entry'!J4&lt;&gt;"",'Eng. Cutter Entry'!J4,"")</f>
        <v/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>
        <f>IFERROR(BN60+1,"")</f>
        <v>6</v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4">
      <c r="A62" s="1283"/>
      <c r="B62" s="22">
        <v>2</v>
      </c>
      <c r="C62" s="41" t="str">
        <f>IF('Eng. Cutter Entry'!C5&lt;&gt;"",'Eng. Cutter Entry'!C5,"")</f>
        <v/>
      </c>
      <c r="D62" s="41" t="str">
        <f>IF('Eng. Cutter Entry'!D5&lt;&gt;"",'Eng. Cutter Entry'!D5,"")</f>
        <v/>
      </c>
      <c r="E62" s="41" t="str">
        <f>IF('Eng. Cutter Entry'!E5&lt;&gt;"",'Eng. Cutter Entry'!E5,"")</f>
        <v/>
      </c>
      <c r="F62" s="41" t="str">
        <f>IF('Eng. Cutter Entry'!F5&lt;&gt;"",'Eng. Cutter Entry'!F5,"")</f>
        <v/>
      </c>
      <c r="G62" s="41" t="str">
        <f>IF('Eng. Cutter Entry'!G5&lt;&gt;"",'Eng. Cutter Entry'!G5,"")</f>
        <v/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0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0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0</v>
      </c>
      <c r="BM62" s="69" t="s">
        <v>1261</v>
      </c>
      <c r="BN62" s="70">
        <f>IFERROR(BN61+1,"")</f>
        <v>7</v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35">
      <c r="A63" s="1283"/>
      <c r="B63" s="22">
        <v>3</v>
      </c>
      <c r="C63" s="41" t="str">
        <f>IF('Eng. Cutter Entry'!C6&lt;&gt;"",'Eng. Cutter Entry'!C6,"")</f>
        <v/>
      </c>
      <c r="D63" s="41" t="str">
        <f>IF('Eng. Cutter Entry'!D6&lt;&gt;"",'Eng. Cutter Entry'!D6,"")</f>
        <v/>
      </c>
      <c r="E63" s="41" t="str">
        <f>IF('Eng. Cutter Entry'!E6&lt;&gt;"",'Eng. Cutter Entry'!E6,"")</f>
        <v/>
      </c>
      <c r="F63" s="41" t="str">
        <f>IF('Eng. Cutter Entry'!F6&lt;&gt;"",'Eng. Cutter Entry'!F6,"")</f>
        <v/>
      </c>
      <c r="G63" s="41" t="str">
        <f>IF('Eng. Cutter Entry'!G6&lt;&gt;"",'Eng. Cutter Entry'!G6,"")</f>
        <v/>
      </c>
      <c r="H63" s="41" t="str">
        <f>IF('Eng. Cutter Entry'!H6&lt;&gt;"",'Eng. Cutter Entry'!H6,"")</f>
        <v/>
      </c>
      <c r="I63" s="41" t="str">
        <f>IF('Eng. Cutter Entry'!I6&lt;&gt;"",'Eng. Cutter Entry'!I6,"")</f>
        <v/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0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0</v>
      </c>
      <c r="BM63" s="69" t="s">
        <v>1262</v>
      </c>
      <c r="BN63" s="70">
        <f>IFERROR(BN62+1,"")</f>
        <v>8</v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35">
      <c r="A64" s="1283"/>
      <c r="B64" s="22">
        <v>4</v>
      </c>
      <c r="C64" s="41" t="str">
        <f>IF('Eng. Cutter Entry'!C7&lt;&gt;"",'Eng. Cutter Entry'!C7,"")</f>
        <v/>
      </c>
      <c r="D64" s="41" t="str">
        <f>IF('Eng. Cutter Entry'!D7&lt;&gt;"",'Eng. Cutter Entry'!D7,"")</f>
        <v/>
      </c>
      <c r="E64" s="41" t="str">
        <f>IF('Eng. Cutter Entry'!E7&lt;&gt;"",'Eng. Cutter Entry'!E7,"")</f>
        <v/>
      </c>
      <c r="F64" s="41" t="str">
        <f>IF('Eng. Cutter Entry'!F7&lt;&gt;"",'Eng. Cutter Entry'!F7,"")</f>
        <v/>
      </c>
      <c r="G64" s="41" t="str">
        <f>IF('Eng. Cutter Entry'!G7&lt;&gt;"",'Eng. Cutter Entry'!G7,"")</f>
        <v/>
      </c>
      <c r="H64" s="41" t="str">
        <f>IF('Eng. Cutter Entry'!H7&lt;&gt;"",'Eng. Cutter Entry'!H7,"")</f>
        <v/>
      </c>
      <c r="I64" s="41" t="str">
        <f>IF('Eng. Cutter Entry'!I7&lt;&gt;"",'Eng. Cutter Entry'!I7,"")</f>
        <v/>
      </c>
      <c r="J64" s="41" t="str">
        <f>IF('Eng. Cutter Entry'!J7&lt;&gt;"",'Eng. Cutter Entry'!J7,"")</f>
        <v/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35">
      <c r="A65" s="1283"/>
      <c r="B65" s="22">
        <v>5</v>
      </c>
      <c r="C65" s="41" t="str">
        <f>IF('Eng. Cutter Entry'!C8&lt;&gt;"",'Eng. Cutter Entry'!C8,"")</f>
        <v/>
      </c>
      <c r="D65" s="41" t="str">
        <f>IF('Eng. Cutter Entry'!D8&lt;&gt;"",'Eng. Cutter Entry'!D8,"")</f>
        <v/>
      </c>
      <c r="E65" s="41" t="str">
        <f>IF('Eng. Cutter Entry'!E8&lt;&gt;"",'Eng. Cutter Entry'!E8,"")</f>
        <v/>
      </c>
      <c r="F65" s="41" t="str">
        <f>IF('Eng. Cutter Entry'!F8&lt;&gt;"",'Eng. Cutter Entry'!F8,"")</f>
        <v/>
      </c>
      <c r="G65" s="41" t="str">
        <f>IF('Eng. Cutter Entry'!G8&lt;&gt;"",'Eng. Cutter Entry'!G8,"")</f>
        <v/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0</v>
      </c>
      <c r="AR65" s="93">
        <f>IF(COUNTIF($C$111:$AJ$122,"O*2"),COUNTIF($C$111:$AJ$122,"O*2"),0)</f>
        <v>0</v>
      </c>
      <c r="AS65" s="93">
        <f>IF(COUNTIF($C$111:$AJ$122,"O*3"),COUNTIF($C$111:$AJ$122,"O*3"),0)</f>
        <v>0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0</v>
      </c>
    </row>
    <row r="66" spans="1:61" ht="23.25" customHeight="1" x14ac:dyDescent="0.35">
      <c r="A66" s="1283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35">
      <c r="A67" s="1283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35">
      <c r="A68" s="1283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35">
      <c r="A69" s="1283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0</v>
      </c>
      <c r="AR69" s="93">
        <f>SUM(AR58:AR65)</f>
        <v>0</v>
      </c>
      <c r="AS69" s="93">
        <f t="shared" ref="AS69:BG69" si="5">SUM(AS58:AS65)</f>
        <v>0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0</v>
      </c>
    </row>
    <row r="70" spans="1:61" ht="23.25" customHeight="1" x14ac:dyDescent="0.35">
      <c r="A70" s="1283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33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23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6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0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0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62</v>
      </c>
    </row>
    <row r="71" spans="1:61" ht="23.25" customHeight="1" x14ac:dyDescent="0.35">
      <c r="A71" s="1283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Imperfection</v>
      </c>
      <c r="AR71" s="93" t="str">
        <f>IF(AR69=AR70,"True","Imperfection")</f>
        <v>Imperfection</v>
      </c>
      <c r="AS71" s="93" t="str">
        <f>IF(AS69=AS70,"True","Imperfection")</f>
        <v>Imperfection</v>
      </c>
      <c r="AT71" s="93" t="str">
        <f>IF(AT69=AT70,"True","Imperfection")</f>
        <v>True</v>
      </c>
      <c r="AU71" s="93" t="str">
        <f>IF(AU69=AU70,"True","Imperfection")</f>
        <v>True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Quantity False</v>
      </c>
    </row>
    <row r="72" spans="1:61" ht="24" customHeight="1" thickBot="1" x14ac:dyDescent="0.4">
      <c r="A72" s="1284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4">
      <c r="A73" s="34"/>
      <c r="B73" s="35"/>
      <c r="C73" s="1314" t="s">
        <v>799</v>
      </c>
      <c r="D73" s="1315"/>
      <c r="E73" s="1315"/>
      <c r="F73" s="1315"/>
      <c r="G73" s="1315"/>
      <c r="H73" s="1316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4">
      <c r="A74" s="34"/>
      <c r="B74" s="35"/>
      <c r="C74" s="1323" t="str">
        <f>CONCATENATE("Build up the following: ",AK179,AK200,AK221,IF(AN265&lt;&gt;"fins inbetween . ",AN265,""))</f>
        <v>Build up the following: pockets B1P6, B1P11, B3P7 and B4P6.</v>
      </c>
      <c r="D74" s="1324"/>
      <c r="E74" s="1324"/>
      <c r="F74" s="1324"/>
      <c r="G74" s="1324"/>
      <c r="H74" s="1324"/>
      <c r="I74" s="1324"/>
      <c r="J74" s="1324"/>
      <c r="K74" s="1324"/>
      <c r="L74" s="1324"/>
      <c r="M74" s="1324"/>
      <c r="N74" s="1324"/>
      <c r="O74" s="1324"/>
      <c r="P74" s="1324"/>
      <c r="Q74" s="1324"/>
      <c r="R74" s="1324"/>
      <c r="S74" s="1324"/>
      <c r="T74" s="1324"/>
      <c r="U74" s="1324"/>
      <c r="V74" s="1324"/>
      <c r="W74" s="1324"/>
      <c r="X74" s="1324"/>
      <c r="Y74" s="1324"/>
      <c r="Z74" s="1324"/>
      <c r="AA74" s="1324"/>
      <c r="AB74" s="1324"/>
      <c r="AC74" s="1324"/>
      <c r="AD74" s="1324"/>
      <c r="AE74" s="1324"/>
      <c r="AF74" s="1325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3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2491</v>
      </c>
      <c r="BB75" s="83" t="s">
        <v>2492</v>
      </c>
      <c r="BC75" s="83" t="s">
        <v>2493</v>
      </c>
      <c r="BD75" s="83" t="s">
        <v>2494</v>
      </c>
      <c r="BE75" s="83" t="s">
        <v>2495</v>
      </c>
      <c r="BF75" s="83" t="s">
        <v>2496</v>
      </c>
      <c r="BG75" s="83" t="s">
        <v>2497</v>
      </c>
      <c r="BH75" s="93"/>
      <c r="BI75" s="83" t="s">
        <v>21</v>
      </c>
    </row>
    <row r="76" spans="1:61" ht="23.25" customHeight="1" x14ac:dyDescent="0.3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8</v>
      </c>
      <c r="AR76" s="83">
        <f t="shared" si="7"/>
        <v>3</v>
      </c>
      <c r="AS76" s="83">
        <f t="shared" si="7"/>
        <v>6</v>
      </c>
      <c r="AT76" s="83">
        <f t="shared" si="7"/>
        <v>0</v>
      </c>
      <c r="AU76" s="83">
        <f t="shared" si="7"/>
        <v>0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17</v>
      </c>
    </row>
    <row r="77" spans="1:61" ht="24" customHeight="1" thickBot="1" x14ac:dyDescent="0.4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3976</v>
      </c>
      <c r="AR77" s="93">
        <f>IFERROR(AR76*Data!$GQ3,0)</f>
        <v>1491</v>
      </c>
      <c r="AS77" s="93">
        <f>IFERROR(AS76*Data!$GQ4,0)</f>
        <v>600</v>
      </c>
      <c r="AT77" s="93">
        <f>IFERROR(AT76*Data!$GQ5,0)</f>
        <v>0</v>
      </c>
      <c r="AU77" s="93">
        <f>IFERROR(AU76*Data!$GQ6,0)</f>
        <v>0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6067</v>
      </c>
    </row>
    <row r="78" spans="1:61" ht="24" customHeight="1" thickBot="1" x14ac:dyDescent="0.4">
      <c r="A78" s="34"/>
      <c r="B78" s="35"/>
      <c r="C78" s="1314" t="s">
        <v>798</v>
      </c>
      <c r="D78" s="1315"/>
      <c r="E78" s="1315"/>
      <c r="F78" s="1315"/>
      <c r="G78" s="1315"/>
      <c r="H78" s="1316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125</v>
      </c>
      <c r="AR78" s="93">
        <f t="shared" si="9"/>
        <v>125</v>
      </c>
      <c r="AS78" s="93">
        <f t="shared" si="9"/>
        <v>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250</v>
      </c>
    </row>
    <row r="79" spans="1:61" ht="24" customHeight="1" thickBot="1" x14ac:dyDescent="0.4">
      <c r="A79" s="34"/>
      <c r="B79" s="35"/>
      <c r="C79" s="1323" t="str">
        <f>IF(C82&gt;24,CONCATENATE("Build up the following: ",AK284,AK305,AK326,IF(AN370&lt;&gt;"fins inbetween . ",AN370,"")),"")</f>
        <v/>
      </c>
      <c r="D79" s="1324"/>
      <c r="E79" s="1324"/>
      <c r="F79" s="1324"/>
      <c r="G79" s="1324"/>
      <c r="H79" s="1324"/>
      <c r="I79" s="1324"/>
      <c r="J79" s="1324"/>
      <c r="K79" s="1324"/>
      <c r="L79" s="1324"/>
      <c r="M79" s="1324"/>
      <c r="N79" s="1324"/>
      <c r="O79" s="1324"/>
      <c r="P79" s="1324"/>
      <c r="Q79" s="1324"/>
      <c r="R79" s="1324"/>
      <c r="S79" s="1324"/>
      <c r="T79" s="1324"/>
      <c r="U79" s="1324"/>
      <c r="V79" s="1324"/>
      <c r="W79" s="1324"/>
      <c r="X79" s="1324"/>
      <c r="Y79" s="1324"/>
      <c r="Z79" s="1324"/>
      <c r="AA79" s="1324"/>
      <c r="AB79" s="1324"/>
      <c r="AC79" s="1324"/>
      <c r="AD79" s="1324"/>
      <c r="AE79" s="1324"/>
      <c r="AF79" s="1325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3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0</v>
      </c>
      <c r="AR80" s="93">
        <f t="shared" ref="AR80:BG80" si="10">SUM(AR58:AR61)</f>
        <v>0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0</v>
      </c>
    </row>
    <row r="81" spans="1:61" ht="10" customHeight="1" thickBot="1" x14ac:dyDescent="0.4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0</v>
      </c>
      <c r="AR81" s="93">
        <f>IFERROR(AR80*Data!$GQ3,0)</f>
        <v>0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0</v>
      </c>
    </row>
    <row r="82" spans="1:61" ht="24" customHeight="1" thickBot="1" x14ac:dyDescent="0.4">
      <c r="A82" s="34"/>
      <c r="B82" s="35"/>
      <c r="C82" s="1328">
        <f>LEN(C83)</f>
        <v>24</v>
      </c>
      <c r="D82" s="1329"/>
      <c r="E82" s="1329"/>
      <c r="F82" s="1329"/>
      <c r="G82" s="1329"/>
      <c r="H82" s="1329"/>
      <c r="I82" s="1329"/>
      <c r="J82" s="1329"/>
      <c r="K82" s="1329"/>
      <c r="L82" s="1329"/>
      <c r="M82" s="1329"/>
      <c r="N82" s="1329"/>
      <c r="O82" s="1329"/>
      <c r="P82" s="1329"/>
      <c r="Q82" s="1329"/>
      <c r="R82" s="1329"/>
      <c r="S82" s="1329"/>
      <c r="T82" s="1329"/>
      <c r="U82" s="1329"/>
      <c r="V82" s="1329"/>
      <c r="W82" s="1329"/>
      <c r="X82" s="1329"/>
      <c r="Y82" s="1329"/>
      <c r="Z82" s="1329"/>
      <c r="AA82" s="1329"/>
      <c r="AB82" s="1329"/>
      <c r="AC82" s="1329"/>
      <c r="AD82" s="1329"/>
      <c r="AE82" s="1329"/>
      <c r="AF82" s="1330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4">
      <c r="A83" s="34"/>
      <c r="B83" s="35"/>
      <c r="C83" s="1323" t="str">
        <f>CONCATENATE("Build up the following: ",AK284,AK305,AK326,IF(AN370&lt;&gt;"fins inbetween . ",AN370,""))</f>
        <v xml:space="preserve">Build up the following: </v>
      </c>
      <c r="D83" s="1324"/>
      <c r="E83" s="1324"/>
      <c r="F83" s="1324"/>
      <c r="G83" s="1324"/>
      <c r="H83" s="1324"/>
      <c r="I83" s="1324"/>
      <c r="J83" s="1324"/>
      <c r="K83" s="1324"/>
      <c r="L83" s="1324"/>
      <c r="M83" s="1324"/>
      <c r="N83" s="1324"/>
      <c r="O83" s="1324"/>
      <c r="P83" s="1324"/>
      <c r="Q83" s="1324"/>
      <c r="R83" s="1324"/>
      <c r="S83" s="1324"/>
      <c r="T83" s="1324"/>
      <c r="U83" s="1324"/>
      <c r="V83" s="1324"/>
      <c r="W83" s="1324"/>
      <c r="X83" s="1324"/>
      <c r="Y83" s="1324"/>
      <c r="Z83" s="1324"/>
      <c r="AA83" s="1324"/>
      <c r="AB83" s="1324"/>
      <c r="AC83" s="1324"/>
      <c r="AD83" s="1324"/>
      <c r="AE83" s="1324"/>
      <c r="AF83" s="1325"/>
      <c r="AG83" s="39"/>
      <c r="AH83" s="39"/>
      <c r="AI83" s="39"/>
      <c r="AN83" s="59" t="s">
        <v>724</v>
      </c>
      <c r="AQ83" s="93">
        <f>AQ62</f>
        <v>0</v>
      </c>
      <c r="AR83" s="93">
        <f t="shared" ref="AR83:BG83" si="11">AR62</f>
        <v>0</v>
      </c>
      <c r="AS83" s="93">
        <f t="shared" si="11"/>
        <v>0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0</v>
      </c>
    </row>
    <row r="84" spans="1:61" ht="23.25" customHeight="1" x14ac:dyDescent="0.3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0</v>
      </c>
      <c r="AR84" s="93">
        <f t="shared" si="12"/>
        <v>0</v>
      </c>
      <c r="AS84" s="93">
        <f t="shared" si="12"/>
        <v>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0</v>
      </c>
    </row>
    <row r="85" spans="1:61" ht="23.25" customHeight="1" x14ac:dyDescent="0.3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3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3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2491</v>
      </c>
      <c r="BB87" s="83" t="s">
        <v>2492</v>
      </c>
      <c r="BC87" s="83" t="s">
        <v>2493</v>
      </c>
      <c r="BD87" s="83" t="s">
        <v>2494</v>
      </c>
      <c r="BE87" s="83" t="s">
        <v>2495</v>
      </c>
      <c r="BF87" s="83" t="s">
        <v>2496</v>
      </c>
      <c r="BG87" s="83" t="s">
        <v>2497</v>
      </c>
      <c r="BH87" s="93"/>
      <c r="BI87" s="83" t="s">
        <v>21</v>
      </c>
    </row>
    <row r="88" spans="1:61" ht="23.25" customHeight="1" x14ac:dyDescent="0.3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3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3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10" customHeight="1" thickBot="1" x14ac:dyDescent="0.4">
      <c r="A91" s="1326" t="s">
        <v>716</v>
      </c>
      <c r="B91" s="1326"/>
      <c r="C91" s="1326"/>
      <c r="D91" s="1326"/>
      <c r="E91" s="1326"/>
      <c r="F91" s="1326"/>
      <c r="G91" s="1326"/>
      <c r="H91" s="1326"/>
      <c r="I91" s="1326"/>
      <c r="J91" s="1326"/>
      <c r="K91" s="1326"/>
      <c r="L91" s="1326"/>
      <c r="M91" s="1326"/>
      <c r="N91" s="1326"/>
      <c r="O91" s="1326"/>
      <c r="P91" s="1326"/>
      <c r="Q91" s="1326"/>
      <c r="R91" s="1326"/>
      <c r="S91" s="1326"/>
      <c r="T91" s="1326"/>
      <c r="U91" s="1326"/>
      <c r="V91" s="1326"/>
      <c r="W91" s="1326"/>
      <c r="X91" s="1326"/>
      <c r="Y91" s="1326"/>
      <c r="Z91" s="1326"/>
      <c r="AA91" s="1326"/>
      <c r="AB91" s="1326"/>
      <c r="AC91" s="1326"/>
      <c r="AD91" s="1326"/>
      <c r="AE91" s="1326"/>
      <c r="AF91" s="1326"/>
      <c r="AG91" s="1326"/>
      <c r="AH91" s="1326"/>
      <c r="AI91" s="1326"/>
    </row>
    <row r="92" spans="1:61" ht="15.75" customHeight="1" thickBot="1" x14ac:dyDescent="0.4">
      <c r="A92" s="1285"/>
      <c r="B92" s="1286"/>
      <c r="C92" s="1327" t="s">
        <v>17</v>
      </c>
      <c r="D92" s="1289"/>
      <c r="E92" s="1289"/>
      <c r="F92" s="1289"/>
      <c r="G92" s="1289"/>
      <c r="H92" s="1289"/>
      <c r="I92" s="1289"/>
      <c r="J92" s="1289"/>
      <c r="K92" s="1289"/>
      <c r="L92" s="1289"/>
      <c r="M92" s="1289"/>
      <c r="N92" s="1289"/>
      <c r="O92" s="1289"/>
      <c r="P92" s="1289"/>
      <c r="Q92" s="1289"/>
      <c r="R92" s="1289"/>
      <c r="S92" s="1289"/>
      <c r="T92" s="1289"/>
      <c r="U92" s="1289"/>
      <c r="V92" s="1290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293" t="s">
        <v>108</v>
      </c>
      <c r="AQ92" s="1293" t="s">
        <v>40</v>
      </c>
      <c r="AR92" s="1293" t="s">
        <v>41</v>
      </c>
      <c r="AS92" s="1293" t="s">
        <v>42</v>
      </c>
      <c r="AT92" s="1292" t="s">
        <v>43</v>
      </c>
      <c r="AU92" s="1292"/>
      <c r="AV92" s="1292" t="s">
        <v>44</v>
      </c>
      <c r="AW92" s="1292"/>
    </row>
    <row r="93" spans="1:61" ht="26.25" customHeight="1" thickBot="1" x14ac:dyDescent="0.4">
      <c r="A93" s="1287"/>
      <c r="B93" s="1288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293"/>
      <c r="AQ93" s="1293"/>
      <c r="AR93" s="1293"/>
      <c r="AS93" s="1293"/>
      <c r="AT93" s="1292"/>
      <c r="AU93" s="1292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4">
      <c r="A94" s="1283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/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/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/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/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/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/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/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/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>
        <f>IF(Data!CX60&gt;0,IF(Data!CX60&lt;&gt;"", Data!CX60, " ")," ")</f>
        <v>1</v>
      </c>
      <c r="AQ94" s="99" t="str">
        <f>IF(AQ58+AQ59+AQ60+AQ61=0,"",AQ58+AQ59+AQ60+AQ61)</f>
        <v/>
      </c>
      <c r="AR94" s="99">
        <f>IF(Data!GK2&gt;0,IF(Data!GK2&lt;&gt;"",Data!GK2," ")," ")</f>
        <v>1613</v>
      </c>
      <c r="AS94" s="99">
        <f>IF(Data!GG2&gt;0,IF(Data!GG2&lt;&gt;"",Data!GG2," ")," ")</f>
        <v>1130198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AU94" s="99" t="str">
        <f>IF(AND(Data!GR2&lt;&gt;"",Data!GR2&lt;&gt;0),Data!GR2,"")</f>
        <v/>
      </c>
      <c r="AV94" s="99" t="str">
        <f>IF(AQ59+AQ61=0,"",AQ59+AQ61)</f>
        <v/>
      </c>
      <c r="AW94" s="99" t="str">
        <f>IF(IFERROR(AQ94-AV94,AQ94)=0,"",IFERROR(AQ94-AV94,AQ94))</f>
        <v/>
      </c>
      <c r="AX94" s="100"/>
    </row>
    <row r="95" spans="1:61" ht="24" customHeight="1" thickBot="1" x14ac:dyDescent="0.4">
      <c r="A95" s="1283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/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/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/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/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/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>
        <f>IF(Data!CX61&gt;0,IF(Data!CX61&lt;&gt;"", Data!CX61, " ")," ")</f>
        <v>2</v>
      </c>
      <c r="AQ95" s="99" t="str">
        <f>IF(AR58+AR59+AR60+AR61=0,"",AR58+AR59+AR60+AR61)</f>
        <v/>
      </c>
      <c r="AR95" s="99">
        <f>IF(Data!GK3&gt;0,IF(Data!GK3&lt;&gt;"",Data!GK3," ")," ")</f>
        <v>1608</v>
      </c>
      <c r="AS95" s="99">
        <f>IF(Data!GG3&gt;0,IF(Data!GG3&lt;&gt;"",Data!GG3," ")," ")</f>
        <v>647435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AU95" s="99" t="str">
        <f>IF(AND(Data!GR3&lt;&gt;"",Data!GR3&lt;&gt;0),Data!GR3,"")</f>
        <v/>
      </c>
      <c r="AV95" s="99" t="str">
        <f>IF(AR59+AR61=0,"",AR59+AR61)</f>
        <v/>
      </c>
      <c r="AW95" s="99" t="str">
        <f t="shared" ref="AW95:AW100" si="13">IF(IFERROR(AQ95-AV95,AQ95)=0,"",IFERROR(AQ95-AV95,AQ95))</f>
        <v/>
      </c>
      <c r="AX95" s="100"/>
    </row>
    <row r="96" spans="1:61" ht="24" customHeight="1" thickBot="1" x14ac:dyDescent="0.4">
      <c r="A96" s="1283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/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/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/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/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/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/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/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>
        <f>IF(Data!CX62&gt;0,IF(Data!CX62&lt;&gt;"", Data!CX62, " ")," ")</f>
        <v>3</v>
      </c>
      <c r="AQ96" s="99" t="str">
        <f>IF(AS58+AS59+AS60+AS61=0,"",AS58+AS59+AS60+AS61)</f>
        <v/>
      </c>
      <c r="AR96" s="99">
        <f>IF(Data!GK4&gt;0,IF(Data!GK4&lt;&gt;"",Data!GK4," ")," ")</f>
        <v>1308</v>
      </c>
      <c r="AS96" s="99">
        <f>IF(Data!GG4&gt;0,IF(Data!GG4&lt;&gt;"",Data!GG4," ")," ")</f>
        <v>418525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4">
      <c r="A97" s="1283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/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/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/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/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/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/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/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/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>
        <f>IF(Data!CX63&gt;0,IF(Data!CX63&lt;&gt;"", Data!CX63, " ")," ")</f>
        <v>4</v>
      </c>
      <c r="AQ97" s="99" t="str">
        <f>IF(AT58+AT59+AT60+AT61=0,"",AT58+AT59+AT60+AT61)</f>
        <v/>
      </c>
      <c r="AR97" s="99" t="str">
        <f>IF(Data!GK5&gt;0,IF(Data!GK5&lt;&gt;"",Data!GK5," ")," ")</f>
        <v xml:space="preserve"> </v>
      </c>
      <c r="AS97" s="99" t="str">
        <f>IF(Data!GG5&gt;0,IF(Data!GG5&lt;&gt;"",Data!GG5," ")," ")</f>
        <v xml:space="preserve"> 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4">
      <c r="A98" s="1283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/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/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/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/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/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>
        <f>IF(Data!CX64&gt;0,IF(Data!CX64&lt;&gt;"", Data!CX64, " ")," ")</f>
        <v>5</v>
      </c>
      <c r="AQ98" s="99" t="str">
        <f>IF(AU58+AU59+AU60+AU61=0,"",AU58+AU59+AU60+AU61)</f>
        <v/>
      </c>
      <c r="AR98" s="99" t="str">
        <f>IF(Data!GK6&gt;0,IF(Data!GK6&lt;&gt;"",Data!GK6," ")," ")</f>
        <v xml:space="preserve"> </v>
      </c>
      <c r="AS98" s="99" t="str">
        <f>IF(Data!GG6&gt;0,IF(Data!GG6&lt;&gt;"",Data!GG6," ")," ")</f>
        <v xml:space="preserve"> 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4">
      <c r="A99" s="1283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>
        <f>IF(Data!CX65&gt;0,IF(Data!CX65&lt;&gt;"", Data!CX65, " ")," ")</f>
        <v>6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4">
      <c r="A100" s="1283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>
        <f>IF(Data!CX66&gt;0,IF(Data!CX66&lt;&gt;"", Data!CX66, " ")," ")</f>
        <v>7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4">
      <c r="A101" s="1283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>
        <f>IF(Data!CX67&gt;0,IF(Data!CX67&lt;&gt;"", Data!CX67, " ")," ")</f>
        <v>8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4">
      <c r="A102" s="1283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4">
      <c r="A103" s="1283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4">
      <c r="A104" s="1283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0</v>
      </c>
      <c r="AR104" s="1294"/>
      <c r="AS104" s="1294"/>
      <c r="AT104" s="1294"/>
      <c r="AU104" s="1294"/>
      <c r="AV104" s="99">
        <f>SUM(AV94:AV103)</f>
        <v>0</v>
      </c>
      <c r="AW104" s="99">
        <f>SUM(AW94:AW103)</f>
        <v>0</v>
      </c>
      <c r="AX104" s="99">
        <f>SUM(AX94:AX103)</f>
        <v>0</v>
      </c>
    </row>
    <row r="105" spans="1:54" ht="24" customHeight="1" thickBot="1" x14ac:dyDescent="0.4">
      <c r="A105" s="1284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3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4">
      <c r="A107" s="1326" t="s">
        <v>134</v>
      </c>
      <c r="B107" s="1326"/>
      <c r="C107" s="1326"/>
      <c r="D107" s="1326"/>
      <c r="E107" s="1326"/>
      <c r="F107" s="1326"/>
      <c r="G107" s="1326"/>
      <c r="H107" s="1326"/>
      <c r="I107" s="1326"/>
      <c r="J107" s="1326"/>
      <c r="K107" s="1326"/>
      <c r="L107" s="1326"/>
      <c r="M107" s="1326"/>
      <c r="N107" s="1326"/>
      <c r="O107" s="1326"/>
      <c r="P107" s="1326"/>
      <c r="Q107" s="1326"/>
      <c r="R107" s="1326"/>
      <c r="S107" s="1326"/>
      <c r="T107" s="1326"/>
      <c r="U107" s="1326"/>
      <c r="V107" s="1326"/>
      <c r="W107" s="1326"/>
      <c r="X107" s="1326"/>
      <c r="Y107" s="1326"/>
      <c r="Z107" s="1326"/>
      <c r="AA107" s="1326"/>
      <c r="AB107" s="1326"/>
      <c r="AC107" s="1326"/>
      <c r="AD107" s="1326"/>
      <c r="AE107" s="1326"/>
      <c r="AF107" s="1326"/>
      <c r="AG107" s="1326"/>
      <c r="AH107" s="1326"/>
      <c r="AI107" s="1326"/>
    </row>
    <row r="108" spans="1:54" ht="24" customHeight="1" thickBot="1" x14ac:dyDescent="0.4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4">
      <c r="A109" s="1285"/>
      <c r="B109" s="1286"/>
      <c r="C109" s="1289" t="s">
        <v>17</v>
      </c>
      <c r="D109" s="1289"/>
      <c r="E109" s="1289"/>
      <c r="F109" s="1289"/>
      <c r="G109" s="1289"/>
      <c r="H109" s="1289"/>
      <c r="I109" s="1289"/>
      <c r="J109" s="1289"/>
      <c r="K109" s="1289"/>
      <c r="L109" s="1289"/>
      <c r="M109" s="1289"/>
      <c r="N109" s="1289"/>
      <c r="O109" s="1289"/>
      <c r="P109" s="1289"/>
      <c r="Q109" s="1289"/>
      <c r="R109" s="1289"/>
      <c r="S109" s="1289"/>
      <c r="T109" s="1289"/>
      <c r="U109" s="1289"/>
      <c r="V109" s="1290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4">
      <c r="A110" s="1287"/>
      <c r="B110" s="1288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291" t="s">
        <v>792</v>
      </c>
      <c r="AS110" s="1291"/>
      <c r="AT110" s="112"/>
    </row>
    <row r="111" spans="1:54" ht="23.25" customHeight="1" thickBot="1" x14ac:dyDescent="0.4">
      <c r="A111" s="1283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/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/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/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/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/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/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/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/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12212</v>
      </c>
      <c r="AT111" s="113"/>
    </row>
    <row r="112" spans="1:54" s="9" customFormat="1" ht="23.25" customHeight="1" thickBot="1" x14ac:dyDescent="0.4">
      <c r="A112" s="1283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/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/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/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/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/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0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5495</v>
      </c>
      <c r="AU112" s="13">
        <f>Data!C53+'ARDT Cutter Entry'!BI84+('ARDT Cutter Entry'!AL62+'ARDT Cutter Entry'!AL63+'ARDT Cutter Entry'!AL64)*100+Data!L8*135+Data!G31+'ARDT Cutter Entry'!BI81</f>
        <v>5495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4">
      <c r="A113" s="1283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/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/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/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/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/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/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/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6145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4">
      <c r="A114" s="1283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/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/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/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/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/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/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/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/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>
        <f>IF(AND(Data!L2&lt;&gt;1,Data!L3&lt;&gt;1,Data!L4&lt;&gt;1),IF(Data!L5&lt;&gt;1,Quotation!Y58,500),550)</f>
        <v>12212</v>
      </c>
      <c r="AT114" s="114"/>
    </row>
    <row r="115" spans="1:54" ht="23.25" customHeight="1" x14ac:dyDescent="0.35">
      <c r="A115" s="1283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/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/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/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/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/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35">
      <c r="A116" s="1283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35">
      <c r="A117" s="1283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35">
      <c r="A118" s="1283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35">
      <c r="A119" s="1283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35">
      <c r="A120" s="1283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35">
      <c r="A121" s="1283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4">
      <c r="A122" s="1284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35"/>
    <row r="124" spans="1:54" ht="21" customHeight="1" thickBot="1" x14ac:dyDescent="0.4">
      <c r="A124" s="1331" t="s">
        <v>19</v>
      </c>
      <c r="B124" s="1331"/>
      <c r="C124" s="1331"/>
      <c r="D124" s="1332"/>
      <c r="E124" s="1332"/>
      <c r="F124" s="1332"/>
      <c r="G124" s="1332"/>
      <c r="H124" s="1332"/>
      <c r="I124" s="1332"/>
      <c r="J124" s="1332"/>
      <c r="K124" s="1332"/>
      <c r="L124" s="1332"/>
      <c r="M124" s="1332"/>
      <c r="N124" s="1332"/>
      <c r="O124" s="1332"/>
      <c r="P124" s="1332"/>
      <c r="Q124" s="1332"/>
      <c r="R124" s="1332"/>
      <c r="S124" s="1332"/>
      <c r="T124" s="1332"/>
      <c r="U124" s="1332"/>
      <c r="V124" s="1332"/>
      <c r="W124" s="1332"/>
      <c r="X124" s="1332"/>
      <c r="Y124" s="1332"/>
      <c r="Z124" s="1332"/>
      <c r="AA124" s="1332"/>
      <c r="AB124" s="1332"/>
      <c r="AC124" s="1332"/>
      <c r="AD124" s="1332"/>
      <c r="AE124" s="1332"/>
      <c r="AF124" s="1332"/>
      <c r="AG124" s="1332"/>
      <c r="AH124" s="1332"/>
      <c r="AI124" s="1332"/>
    </row>
    <row r="125" spans="1:54" ht="15" customHeight="1" x14ac:dyDescent="0.35"/>
    <row r="126" spans="1:54" ht="20.25" customHeight="1" thickBot="1" x14ac:dyDescent="0.4">
      <c r="A126" s="1326" t="s">
        <v>134</v>
      </c>
      <c r="B126" s="1326"/>
      <c r="C126" s="1326"/>
      <c r="D126" s="1326"/>
      <c r="E126" s="1326"/>
      <c r="F126" s="1326"/>
      <c r="G126" s="1326"/>
      <c r="H126" s="1326"/>
      <c r="I126" s="1326"/>
      <c r="J126" s="1326"/>
      <c r="K126" s="1326"/>
      <c r="L126" s="1326"/>
      <c r="M126" s="1326"/>
      <c r="N126" s="1326"/>
      <c r="O126" s="1326"/>
      <c r="P126" s="1326"/>
      <c r="Q126" s="1326"/>
      <c r="R126" s="1326"/>
      <c r="S126" s="1326"/>
      <c r="T126" s="1326"/>
      <c r="U126" s="1326"/>
      <c r="V126" s="1326"/>
      <c r="W126" s="1326"/>
      <c r="X126" s="1326"/>
      <c r="Y126" s="1326"/>
      <c r="Z126" s="1326"/>
      <c r="AA126" s="1326"/>
      <c r="AB126" s="1326"/>
      <c r="AC126" s="1326"/>
      <c r="AD126" s="1326"/>
      <c r="AE126" s="1326"/>
      <c r="AF126" s="1326"/>
      <c r="AG126" s="1326"/>
      <c r="AH126" s="1326"/>
      <c r="AI126" s="1326"/>
    </row>
    <row r="127" spans="1:54" ht="24" customHeight="1" thickBot="1" x14ac:dyDescent="0.4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4">
      <c r="A128" s="1285"/>
      <c r="B128" s="1286"/>
      <c r="C128" s="1289" t="s">
        <v>17</v>
      </c>
      <c r="D128" s="1289"/>
      <c r="E128" s="1289"/>
      <c r="F128" s="1289"/>
      <c r="G128" s="1289"/>
      <c r="H128" s="1289"/>
      <c r="I128" s="1289"/>
      <c r="J128" s="1289"/>
      <c r="K128" s="1289"/>
      <c r="L128" s="1289"/>
      <c r="M128" s="1289"/>
      <c r="N128" s="1289"/>
      <c r="O128" s="1289"/>
      <c r="P128" s="1289"/>
      <c r="Q128" s="1289"/>
      <c r="R128" s="1289"/>
      <c r="S128" s="1289"/>
      <c r="T128" s="1289"/>
      <c r="U128" s="1289"/>
      <c r="V128" s="1290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4">
      <c r="A129" s="1287"/>
      <c r="B129" s="1288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291" t="s">
        <v>792</v>
      </c>
      <c r="AS129" s="1291"/>
      <c r="AT129" s="112"/>
    </row>
    <row r="130" spans="1:54" ht="23.25" customHeight="1" thickBot="1" x14ac:dyDescent="0.4">
      <c r="A130" s="1283" t="s">
        <v>18</v>
      </c>
      <c r="B130" s="21">
        <v>1</v>
      </c>
      <c r="C130" s="1122" t="e" cm="1">
        <f t="array" ref="C130">--_xlfn.TEXTJOIN(
    "",
    TRUE,
    IF(ISNUMBER(--MID(C61,ROW($1:$20),1)),
       MID(C61,ROW($1:$20),1),
       ""
    )
)</f>
        <v>#VALUE!</v>
      </c>
      <c r="D130" s="1122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2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2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2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2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2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2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2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2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2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2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2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2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2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2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2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2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2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2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2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2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2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2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2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2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2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2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2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2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2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2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2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4">
      <c r="A131" s="1283"/>
      <c r="B131" s="22">
        <v>2</v>
      </c>
      <c r="C131" s="1122" t="e" cm="1">
        <f t="array" ref="C131">--_xlfn.TEXTJOIN(
    "",
    TRUE,
    IF(ISNUMBER(--MID(C62,ROW($1:$20),1)),
       MID(C62,ROW($1:$20),1),
       ""
    )
)</f>
        <v>#VALUE!</v>
      </c>
      <c r="D131" s="1122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2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2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2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2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2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2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2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2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2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2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2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2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2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2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2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2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2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2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2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2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2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2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2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2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2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2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2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2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2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2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2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 t="e">
        <f>IF('Eng. Cutter Entry'!C23&lt;&gt;"",AT131,IF(AT131&lt;&gt;Data!C72,AT131,0))</f>
        <v>#VALUE!</v>
      </c>
      <c r="AT131" s="113" t="e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#VALUE!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4">
      <c r="A132" s="1283"/>
      <c r="B132" s="22">
        <v>3</v>
      </c>
      <c r="C132" s="1122" t="e" cm="1">
        <f t="array" ref="C132">--_xlfn.TEXTJOIN(
    "",
    TRUE,
    IF(ISNUMBER(--MID(C63,ROW($1:$20),1)),
       MID(C63,ROW($1:$20),1),
       ""
    )
)</f>
        <v>#VALUE!</v>
      </c>
      <c r="D132" s="1122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/>
      </c>
      <c r="E132" s="1122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2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2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2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2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2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2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2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2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2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2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2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2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2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2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2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2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2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2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2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2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2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2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2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2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2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2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2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2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2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2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4">
      <c r="A133" s="1283"/>
      <c r="B133" s="22">
        <v>4</v>
      </c>
      <c r="C133" s="1122" t="e" cm="1">
        <f t="array" ref="C133">--_xlfn.TEXTJOIN(
    "",
    TRUE,
    IF(ISNUMBER(--MID(C64,ROW($1:$20),1)),
       MID(C64,ROW($1:$20),1),
       ""
    )
)</f>
        <v>#VALUE!</v>
      </c>
      <c r="D133" s="1122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2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/>
      </c>
      <c r="F133" s="1122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/>
      </c>
      <c r="G133" s="1122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2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2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2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2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2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2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2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2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2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2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2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2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2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2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2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2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2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2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2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2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2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2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2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2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2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2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2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2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35">
      <c r="A134" s="1283"/>
      <c r="B134" s="22">
        <v>5</v>
      </c>
      <c r="C134" s="1122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2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2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/>
      </c>
      <c r="F134" s="1122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2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2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2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2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2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2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2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2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2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2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2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2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2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2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2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2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2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2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2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2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2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2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2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2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2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2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2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2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2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35">
      <c r="A135" s="1283"/>
      <c r="B135" s="22">
        <v>6</v>
      </c>
      <c r="C135" s="1122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2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2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2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2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2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2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2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2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2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2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2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2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2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2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2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2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2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2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2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2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2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2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2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2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2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2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2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2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2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2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2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2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35">
      <c r="A136" s="1283"/>
      <c r="B136" s="22">
        <v>7</v>
      </c>
      <c r="C136" s="1122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2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2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2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2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2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2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2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2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2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2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2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2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2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2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2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2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2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2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2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2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2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2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2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2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2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2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2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2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2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2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2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2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35">
      <c r="A137" s="1283"/>
      <c r="B137" s="22">
        <v>8</v>
      </c>
      <c r="C137" s="1122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2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2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2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2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2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2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2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2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2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2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2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2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2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2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2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2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2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2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2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2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2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2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2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2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2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2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2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2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2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2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2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2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35">
      <c r="A138" s="1283"/>
      <c r="B138" s="22">
        <v>9</v>
      </c>
      <c r="C138" s="1122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2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2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2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2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2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2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2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2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2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2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2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2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2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2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2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2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2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2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2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2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2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2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2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2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2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2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2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2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2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2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2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2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35">
      <c r="A139" s="1283"/>
      <c r="B139" s="22">
        <v>10</v>
      </c>
      <c r="C139" s="1122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2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2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2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2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2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2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2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2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2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2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2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2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2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2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2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2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2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2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2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2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2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2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2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2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2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2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2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2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2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2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2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2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35">
      <c r="A140" s="1283"/>
      <c r="B140" s="22">
        <v>11</v>
      </c>
      <c r="C140" s="1122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2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2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2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2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2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2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2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2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2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2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2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2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2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2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2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2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2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2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2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2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2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2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2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2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2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2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2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2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2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2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2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2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4">
      <c r="A141" s="1284"/>
      <c r="B141" s="23">
        <v>12</v>
      </c>
      <c r="C141" s="1122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2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2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2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2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2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2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2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2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2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2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2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2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2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2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2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2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2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2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2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2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2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2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2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2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2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2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2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2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2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2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2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2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35"/>
    <row r="143" spans="1:54" ht="21" customHeight="1" thickBot="1" x14ac:dyDescent="0.4">
      <c r="A143" s="1331" t="s">
        <v>19</v>
      </c>
      <c r="B143" s="1331"/>
      <c r="C143" s="1331"/>
      <c r="D143" s="1332"/>
      <c r="E143" s="1332"/>
      <c r="F143" s="1332"/>
      <c r="G143" s="1332"/>
      <c r="H143" s="1332"/>
      <c r="I143" s="1332"/>
      <c r="J143" s="1332"/>
      <c r="K143" s="1332"/>
      <c r="L143" s="1332"/>
      <c r="M143" s="1332"/>
      <c r="N143" s="1332"/>
      <c r="O143" s="1332"/>
      <c r="P143" s="1332"/>
      <c r="Q143" s="1332"/>
      <c r="R143" s="1332"/>
      <c r="S143" s="1332"/>
      <c r="T143" s="1332"/>
      <c r="U143" s="1332"/>
      <c r="V143" s="1332"/>
      <c r="W143" s="1332"/>
      <c r="X143" s="1332"/>
      <c r="Y143" s="1332"/>
      <c r="Z143" s="1332"/>
      <c r="AA143" s="1332"/>
      <c r="AB143" s="1332"/>
      <c r="AC143" s="1332"/>
      <c r="AD143" s="1332"/>
      <c r="AE143" s="1332"/>
      <c r="AF143" s="1332"/>
      <c r="AG143" s="1332"/>
      <c r="AH143" s="1332"/>
      <c r="AI143" s="1332"/>
    </row>
    <row r="144" spans="1:54" ht="15" customHeight="1" x14ac:dyDescent="0.35"/>
    <row r="145" spans="1:36" ht="15.75" customHeight="1" thickBot="1" x14ac:dyDescent="0.4"/>
    <row r="146" spans="1:36" ht="15" customHeight="1" x14ac:dyDescent="0.35">
      <c r="A146" s="1285"/>
      <c r="B146" s="1286"/>
      <c r="C146" s="1289" t="s">
        <v>17</v>
      </c>
      <c r="D146" s="1289"/>
      <c r="E146" s="1289"/>
      <c r="F146" s="1289"/>
      <c r="G146" s="1289"/>
      <c r="H146" s="1289"/>
      <c r="I146" s="1289"/>
      <c r="J146" s="1289"/>
      <c r="K146" s="1289"/>
      <c r="L146" s="1289"/>
      <c r="M146" s="1289"/>
      <c r="N146" s="1289"/>
      <c r="O146" s="1289"/>
      <c r="P146" s="1289"/>
      <c r="Q146" s="1289"/>
      <c r="R146" s="1289"/>
      <c r="S146" s="1289"/>
      <c r="T146" s="1289"/>
      <c r="U146" s="1289"/>
      <c r="V146" s="1290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4">
      <c r="A147" s="1287"/>
      <c r="B147" s="1288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35">
      <c r="A148" s="1283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35">
      <c r="A149" s="1283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35">
      <c r="A150" s="1283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35">
      <c r="A151" s="1283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35">
      <c r="A152" s="1283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35">
      <c r="A153" s="1283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35">
      <c r="A154" s="1283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35">
      <c r="A155" s="1283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35">
      <c r="A156" s="1283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35">
      <c r="A157" s="1283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35">
      <c r="A158" s="1283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4">
      <c r="A159" s="1284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35"/>
    <row r="161" spans="1:37" ht="15.75" customHeight="1" thickBot="1" x14ac:dyDescent="0.4">
      <c r="C161" s="1333" t="s">
        <v>306</v>
      </c>
      <c r="D161" s="1333"/>
      <c r="E161" s="1333"/>
      <c r="F161" s="1333"/>
      <c r="G161" s="1333"/>
      <c r="H161" s="1333"/>
      <c r="I161" s="1333"/>
      <c r="J161" s="1333"/>
      <c r="K161" s="1333"/>
      <c r="L161" s="1333"/>
      <c r="M161" s="1333"/>
      <c r="N161" s="1333"/>
      <c r="O161" s="1333"/>
      <c r="P161" s="1333"/>
      <c r="Q161" s="1333"/>
      <c r="R161" s="1333"/>
      <c r="S161" s="1333"/>
      <c r="T161" s="1333"/>
      <c r="U161" s="1333"/>
      <c r="V161" s="1333"/>
      <c r="W161" s="1333"/>
      <c r="X161" s="1333"/>
      <c r="Y161" s="1333"/>
      <c r="Z161" s="1333"/>
      <c r="AA161" s="1333"/>
      <c r="AB161" s="1333"/>
      <c r="AC161" s="1333"/>
      <c r="AD161" s="1333"/>
      <c r="AE161" s="1333"/>
      <c r="AF161" s="1333"/>
      <c r="AG161" s="1333"/>
      <c r="AH161" s="1333"/>
      <c r="AI161" s="1333"/>
    </row>
    <row r="162" spans="1:37" ht="15" customHeight="1" x14ac:dyDescent="0.35">
      <c r="A162" s="1285"/>
      <c r="B162" s="1286"/>
      <c r="C162" s="1289" t="s">
        <v>17</v>
      </c>
      <c r="D162" s="1289"/>
      <c r="E162" s="1289"/>
      <c r="F162" s="1289"/>
      <c r="G162" s="1289"/>
      <c r="H162" s="1289"/>
      <c r="I162" s="1289"/>
      <c r="J162" s="1289"/>
      <c r="K162" s="1289"/>
      <c r="L162" s="1289"/>
      <c r="M162" s="1289"/>
      <c r="N162" s="1289"/>
      <c r="O162" s="1289"/>
      <c r="P162" s="1289"/>
      <c r="Q162" s="1289"/>
      <c r="R162" s="1289"/>
      <c r="S162" s="1289"/>
      <c r="T162" s="1289"/>
      <c r="U162" s="1289"/>
      <c r="V162" s="1290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4">
      <c r="A163" s="1287"/>
      <c r="B163" s="1288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4">
      <c r="A164" s="1283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 xml:space="preserve">B1P6, </v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 xml:space="preserve">B1P11, </v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 xml:space="preserve">B1P6, B1P11, </v>
      </c>
    </row>
    <row r="165" spans="1:37" ht="15" customHeight="1" thickBot="1" x14ac:dyDescent="0.4">
      <c r="A165" s="1283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/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/>
      </c>
    </row>
    <row r="166" spans="1:37" ht="15" customHeight="1" thickBot="1" x14ac:dyDescent="0.4">
      <c r="A166" s="1283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 xml:space="preserve">B3P7, </v>
      </c>
      <c r="J166" s="40" t="str" cm="1">
        <f t="array" ref="J166">IF(COUNTIF(J6,"*P*"),
   INDEX($C$150:$AJ$150,
     COUNTIFS($C$6:J6, "*")
   ),
"")</f>
        <v/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/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 xml:space="preserve">B3P7, </v>
      </c>
    </row>
    <row r="167" spans="1:37" ht="15" customHeight="1" thickBot="1" x14ac:dyDescent="0.4">
      <c r="A167" s="1283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 xml:space="preserve">B4P6, </v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/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 xml:space="preserve">B4P6, </v>
      </c>
    </row>
    <row r="168" spans="1:37" ht="15" customHeight="1" thickBot="1" x14ac:dyDescent="0.4">
      <c r="A168" s="1283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/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/>
      </c>
    </row>
    <row r="169" spans="1:37" ht="15" customHeight="1" thickBot="1" x14ac:dyDescent="0.4">
      <c r="A169" s="1283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/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/>
      </c>
    </row>
    <row r="170" spans="1:37" ht="15" customHeight="1" thickBot="1" x14ac:dyDescent="0.4">
      <c r="A170" s="1283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4">
      <c r="A171" s="1283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4">
      <c r="A172" s="1283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4">
      <c r="A173" s="1283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4">
      <c r="A174" s="1283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4">
      <c r="A175" s="1284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35">
      <c r="AK176" s="63" t="str">
        <f>CONCATENATE(AK164,AK165,AK166,AK167,AK168,AK169,AK170,AK171,AK172,AK173,AK174,AK175)</f>
        <v xml:space="preserve">B1P6, B1P11, B3P7, B4P6, </v>
      </c>
    </row>
    <row r="177" spans="1:37" ht="15" customHeight="1" x14ac:dyDescent="0.35">
      <c r="AK177" s="63" t="s">
        <v>712</v>
      </c>
    </row>
    <row r="178" spans="1:37" ht="15" customHeight="1" x14ac:dyDescent="0.35">
      <c r="AK178" s="63" t="s">
        <v>713</v>
      </c>
    </row>
    <row r="179" spans="1:37" ht="15.75" customHeight="1" thickBot="1" x14ac:dyDescent="0.4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>pockets B1P6, B1P11, B3P7 and B4P6.</v>
      </c>
    </row>
    <row r="180" spans="1:37" ht="10" customHeight="1" x14ac:dyDescent="0.35"/>
    <row r="181" spans="1:37" ht="15" customHeight="1" x14ac:dyDescent="0.35"/>
    <row r="182" spans="1:37" ht="15.75" customHeight="1" thickBot="1" x14ac:dyDescent="0.4">
      <c r="C182" s="1333" t="s">
        <v>709</v>
      </c>
      <c r="D182" s="1333"/>
      <c r="E182" s="1333"/>
      <c r="F182" s="1333"/>
      <c r="G182" s="1333"/>
      <c r="H182" s="1333"/>
      <c r="I182" s="1333"/>
      <c r="J182" s="1333"/>
      <c r="K182" s="1333"/>
      <c r="L182" s="1333"/>
      <c r="M182" s="1333"/>
      <c r="N182" s="1333"/>
      <c r="O182" s="1333"/>
      <c r="P182" s="1333"/>
      <c r="Q182" s="1333"/>
      <c r="R182" s="1333"/>
      <c r="S182" s="1333"/>
      <c r="T182" s="1333"/>
      <c r="U182" s="1333"/>
      <c r="V182" s="1333"/>
      <c r="W182" s="1333"/>
      <c r="X182" s="1333"/>
      <c r="Y182" s="1333"/>
      <c r="Z182" s="1333"/>
      <c r="AA182" s="1333"/>
      <c r="AB182" s="1333"/>
      <c r="AC182" s="1333"/>
      <c r="AD182" s="1333"/>
      <c r="AE182" s="1333"/>
      <c r="AF182" s="1333"/>
      <c r="AG182" s="1333"/>
      <c r="AH182" s="1333"/>
      <c r="AI182" s="1333"/>
    </row>
    <row r="183" spans="1:37" ht="15" customHeight="1" x14ac:dyDescent="0.35">
      <c r="A183" s="1285"/>
      <c r="B183" s="1286"/>
      <c r="C183" s="1289" t="s">
        <v>17</v>
      </c>
      <c r="D183" s="1289"/>
      <c r="E183" s="1289"/>
      <c r="F183" s="1289"/>
      <c r="G183" s="1289"/>
      <c r="H183" s="1289"/>
      <c r="I183" s="1289"/>
      <c r="J183" s="1289"/>
      <c r="K183" s="1289"/>
      <c r="L183" s="1289"/>
      <c r="M183" s="1289"/>
      <c r="N183" s="1289"/>
      <c r="O183" s="1289"/>
      <c r="P183" s="1289"/>
      <c r="Q183" s="1289"/>
      <c r="R183" s="1289"/>
      <c r="S183" s="1289"/>
      <c r="T183" s="1289"/>
      <c r="U183" s="1289"/>
      <c r="V183" s="1290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4">
      <c r="A184" s="1287"/>
      <c r="B184" s="1288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4">
      <c r="A185" s="1283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4">
      <c r="A186" s="1283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4">
      <c r="A187" s="1283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4">
      <c r="A188" s="1283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4">
      <c r="A189" s="1283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4">
      <c r="A190" s="1283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4">
      <c r="A191" s="1283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4">
      <c r="A192" s="1283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4">
      <c r="A193" s="1283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4">
      <c r="A194" s="1283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4">
      <c r="A195" s="1283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4">
      <c r="A196" s="1284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35">
      <c r="AK197" s="63" t="str">
        <f>SUBSTITUTE(CONCATENATE(AK185,AK186,AK187,AK188,AK189,AK190,AK191,AK192,AK193,AK194,AK195,AK196),"P","I")</f>
        <v/>
      </c>
    </row>
    <row r="198" spans="1:37" ht="15" customHeight="1" x14ac:dyDescent="0.35">
      <c r="AK198" s="63" t="s">
        <v>714</v>
      </c>
    </row>
    <row r="199" spans="1:37" ht="15" customHeight="1" x14ac:dyDescent="0.35">
      <c r="AK199" s="63" t="s">
        <v>714</v>
      </c>
    </row>
    <row r="200" spans="1:37" ht="15.75" customHeight="1" thickBot="1" x14ac:dyDescent="0.4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35"/>
    <row r="202" spans="1:37" ht="15" customHeight="1" x14ac:dyDescent="0.35"/>
    <row r="203" spans="1:37" ht="15.75" customHeight="1" thickBot="1" x14ac:dyDescent="0.4">
      <c r="C203" s="1333" t="s">
        <v>710</v>
      </c>
      <c r="D203" s="1333"/>
      <c r="E203" s="1333"/>
      <c r="F203" s="1333"/>
      <c r="G203" s="1333"/>
      <c r="H203" s="1333"/>
      <c r="I203" s="1333"/>
      <c r="J203" s="1333"/>
      <c r="K203" s="1333"/>
      <c r="L203" s="1333"/>
      <c r="M203" s="1333"/>
      <c r="N203" s="1333"/>
      <c r="O203" s="1333"/>
      <c r="P203" s="1333"/>
      <c r="Q203" s="1333"/>
      <c r="R203" s="1333"/>
      <c r="S203" s="1333"/>
      <c r="T203" s="1333"/>
      <c r="U203" s="1333"/>
      <c r="V203" s="1333"/>
      <c r="W203" s="1333"/>
      <c r="X203" s="1333"/>
      <c r="Y203" s="1333"/>
      <c r="Z203" s="1333"/>
      <c r="AA203" s="1333"/>
      <c r="AB203" s="1333"/>
      <c r="AC203" s="1333"/>
      <c r="AD203" s="1333"/>
      <c r="AE203" s="1333"/>
      <c r="AF203" s="1333"/>
      <c r="AG203" s="1333"/>
      <c r="AH203" s="1333"/>
      <c r="AI203" s="1333"/>
    </row>
    <row r="204" spans="1:37" ht="15" customHeight="1" x14ac:dyDescent="0.35">
      <c r="A204" s="1285"/>
      <c r="B204" s="1286"/>
      <c r="C204" s="1289" t="s">
        <v>17</v>
      </c>
      <c r="D204" s="1289"/>
      <c r="E204" s="1289"/>
      <c r="F204" s="1289"/>
      <c r="G204" s="1289"/>
      <c r="H204" s="1289"/>
      <c r="I204" s="1289"/>
      <c r="J204" s="1289"/>
      <c r="K204" s="1289"/>
      <c r="L204" s="1289"/>
      <c r="M204" s="1289"/>
      <c r="N204" s="1289"/>
      <c r="O204" s="1289"/>
      <c r="P204" s="1289"/>
      <c r="Q204" s="1289"/>
      <c r="R204" s="1289"/>
      <c r="S204" s="1289"/>
      <c r="T204" s="1289"/>
      <c r="U204" s="1289"/>
      <c r="V204" s="1290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4">
      <c r="A205" s="1287"/>
      <c r="B205" s="1288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4">
      <c r="A206" s="1283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4">
      <c r="A207" s="1283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4">
      <c r="A208" s="1283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4">
      <c r="A209" s="1283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4">
      <c r="A210" s="1283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4">
      <c r="A211" s="1283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4">
      <c r="A212" s="1283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4">
      <c r="A213" s="1283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4">
      <c r="A214" s="1283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4">
      <c r="A215" s="1283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4">
      <c r="A216" s="1283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4">
      <c r="A217" s="1284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35">
      <c r="AK218" s="63" t="str">
        <f>CONCATENATE(AK206,AK207,AK208,AK209,AK210,AK211,AK212,AK213,AK214,AK215,AK216,AK217)</f>
        <v/>
      </c>
    </row>
    <row r="219" spans="1:37" ht="15" customHeight="1" x14ac:dyDescent="0.35">
      <c r="AK219" s="63" t="s">
        <v>715</v>
      </c>
    </row>
    <row r="220" spans="1:37" ht="15" customHeight="1" x14ac:dyDescent="0.35">
      <c r="AK220" s="63" t="s">
        <v>715</v>
      </c>
    </row>
    <row r="221" spans="1:37" ht="15.75" customHeight="1" thickBot="1" x14ac:dyDescent="0.4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35"/>
    <row r="223" spans="1:37" ht="15" customHeight="1" x14ac:dyDescent="0.35"/>
    <row r="224" spans="1:37" ht="15.75" customHeight="1" thickBot="1" x14ac:dyDescent="0.4">
      <c r="D224" s="1333" t="s">
        <v>711</v>
      </c>
      <c r="E224" s="1333"/>
      <c r="F224" s="1333"/>
      <c r="G224" s="1333"/>
      <c r="H224" s="1333"/>
      <c r="I224" s="1333"/>
      <c r="J224" s="1333"/>
      <c r="K224" s="1333"/>
      <c r="L224" s="1333"/>
      <c r="M224" s="1333"/>
      <c r="N224" s="1333"/>
      <c r="O224" s="1333"/>
      <c r="P224" s="1333"/>
      <c r="Q224" s="1333"/>
      <c r="R224" s="1333"/>
      <c r="S224" s="1333"/>
      <c r="T224" s="1333"/>
      <c r="U224" s="1333"/>
      <c r="V224" s="1333"/>
      <c r="W224" s="1333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35">
      <c r="A225" s="1285"/>
      <c r="B225" s="1286"/>
      <c r="D225" s="1327" t="s">
        <v>17</v>
      </c>
      <c r="E225" s="1289"/>
      <c r="F225" s="1289"/>
      <c r="G225" s="1289"/>
      <c r="H225" s="1289"/>
      <c r="I225" s="1289"/>
      <c r="J225" s="1289"/>
      <c r="K225" s="1289"/>
      <c r="L225" s="1289"/>
      <c r="M225" s="1289"/>
      <c r="N225" s="1289"/>
      <c r="O225" s="1289"/>
      <c r="P225" s="1289"/>
      <c r="Q225" s="1289"/>
      <c r="R225" s="1289"/>
      <c r="S225" s="1289"/>
      <c r="T225" s="1289"/>
      <c r="U225" s="1289"/>
      <c r="V225" s="1289"/>
      <c r="W225" s="1290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4">
      <c r="A226" s="1287"/>
      <c r="B226" s="1288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35">
      <c r="A227" s="1283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35">
      <c r="A228" s="1283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35">
      <c r="A229" s="1283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35">
      <c r="A230" s="1283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35">
      <c r="A231" s="1283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35">
      <c r="A232" s="1283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35">
      <c r="A233" s="1283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10" customHeight="1" x14ac:dyDescent="0.35">
      <c r="A234" s="1283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35">
      <c r="A235" s="1283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35">
      <c r="A236" s="1283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35">
      <c r="A237" s="1283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4">
      <c r="A238" s="1284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10" customHeight="1" x14ac:dyDescent="0.35"/>
    <row r="240" spans="1:37" ht="10" customHeight="1" x14ac:dyDescent="0.35">
      <c r="G240" s="65"/>
    </row>
    <row r="241" spans="1:40" ht="10" customHeight="1" x14ac:dyDescent="0.35"/>
    <row r="242" spans="1:40" ht="10" customHeight="1" x14ac:dyDescent="0.35"/>
    <row r="243" spans="1:40" ht="10" customHeight="1" x14ac:dyDescent="0.35"/>
    <row r="244" spans="1:40" ht="10" customHeight="1" x14ac:dyDescent="0.3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4">
      <c r="D245" s="1333" t="s">
        <v>822</v>
      </c>
      <c r="E245" s="1333"/>
      <c r="F245" s="1333"/>
      <c r="G245" s="1333"/>
      <c r="H245" s="1333"/>
      <c r="I245" s="1333"/>
      <c r="J245" s="1333"/>
      <c r="K245" s="1333"/>
      <c r="L245" s="1333"/>
      <c r="M245" s="1333"/>
      <c r="N245" s="1333"/>
      <c r="O245" s="1333"/>
      <c r="P245" s="1333"/>
      <c r="Q245" s="1333"/>
      <c r="R245" s="1333"/>
      <c r="S245" s="1333"/>
      <c r="T245" s="1333"/>
      <c r="U245" s="1333"/>
      <c r="V245" s="1333"/>
      <c r="W245" s="1333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35">
      <c r="A246" s="1285"/>
      <c r="B246" s="1286"/>
      <c r="D246" s="1327" t="s">
        <v>17</v>
      </c>
      <c r="E246" s="1289"/>
      <c r="F246" s="1289"/>
      <c r="G246" s="1289"/>
      <c r="H246" s="1289"/>
      <c r="I246" s="1289"/>
      <c r="J246" s="1289"/>
      <c r="K246" s="1289"/>
      <c r="L246" s="1289"/>
      <c r="M246" s="1289"/>
      <c r="N246" s="1289"/>
      <c r="O246" s="1289"/>
      <c r="P246" s="1289"/>
      <c r="Q246" s="1289"/>
      <c r="R246" s="1289"/>
      <c r="S246" s="1289"/>
      <c r="T246" s="1289"/>
      <c r="U246" s="1289"/>
      <c r="V246" s="1289"/>
      <c r="W246" s="1290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4">
      <c r="A247" s="1287"/>
      <c r="B247" s="1288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4">
      <c r="A248" s="1283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4">
      <c r="A249" s="1283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4">
      <c r="A250" s="1283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4">
      <c r="A251" s="1283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4">
      <c r="A252" s="1283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4">
      <c r="A253" s="1283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4">
      <c r="A254" s="1283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10" customHeight="1" thickBot="1" x14ac:dyDescent="0.4">
      <c r="A255" s="1283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4">
      <c r="A256" s="1283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4">
      <c r="A257" s="1283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4">
      <c r="A258" s="1283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4">
      <c r="A259" s="1284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35">
      <c r="AN260" s="113" t="str">
        <f>CONCATENATE(AN248,AN249,AN250,AN251,AN252,AN253,AN254,AN255,AN256,AN257,AN258,AN259)</f>
        <v/>
      </c>
    </row>
    <row r="261" spans="1:40" ht="15" customHeight="1" x14ac:dyDescent="0.3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35">
      <c r="AN262" s="113"/>
    </row>
    <row r="263" spans="1:40" ht="15" customHeight="1" x14ac:dyDescent="0.35">
      <c r="AN263" s="113" t="s">
        <v>820</v>
      </c>
    </row>
    <row r="264" spans="1:40" ht="15" customHeight="1" x14ac:dyDescent="0.35">
      <c r="AN264" s="113" t="s">
        <v>821</v>
      </c>
    </row>
    <row r="265" spans="1:40" ht="10" customHeight="1" thickBot="1" x14ac:dyDescent="0.4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4">
      <c r="C266" s="1333" t="s">
        <v>306</v>
      </c>
      <c r="D266" s="1333"/>
      <c r="E266" s="1333"/>
      <c r="F266" s="1333"/>
      <c r="G266" s="1333"/>
      <c r="H266" s="1333"/>
      <c r="I266" s="1333"/>
      <c r="J266" s="1333"/>
      <c r="K266" s="1333"/>
      <c r="L266" s="1333"/>
      <c r="M266" s="1333"/>
      <c r="N266" s="1333"/>
      <c r="O266" s="1333"/>
      <c r="P266" s="1333"/>
      <c r="Q266" s="1333"/>
      <c r="R266" s="1333"/>
      <c r="S266" s="1333"/>
      <c r="T266" s="1333"/>
      <c r="U266" s="1333"/>
      <c r="V266" s="1333"/>
      <c r="W266" s="1333"/>
      <c r="X266" s="1333"/>
      <c r="Y266" s="1333"/>
      <c r="Z266" s="1333"/>
      <c r="AA266" s="1333"/>
      <c r="AB266" s="1333"/>
      <c r="AC266" s="1333"/>
      <c r="AD266" s="1333"/>
      <c r="AE266" s="1333"/>
      <c r="AF266" s="1333"/>
      <c r="AG266" s="1333"/>
      <c r="AH266" s="1333"/>
      <c r="AI266" s="1333"/>
    </row>
    <row r="267" spans="1:40" ht="15" customHeight="1" x14ac:dyDescent="0.35">
      <c r="A267" s="1285"/>
      <c r="B267" s="1286"/>
      <c r="C267" s="1289" t="s">
        <v>17</v>
      </c>
      <c r="D267" s="1289"/>
      <c r="E267" s="1289"/>
      <c r="F267" s="1289"/>
      <c r="G267" s="1289"/>
      <c r="H267" s="1289"/>
      <c r="I267" s="1289"/>
      <c r="J267" s="1289"/>
      <c r="K267" s="1289"/>
      <c r="L267" s="1289"/>
      <c r="M267" s="1289"/>
      <c r="N267" s="1289"/>
      <c r="O267" s="1289"/>
      <c r="P267" s="1289"/>
      <c r="Q267" s="1289"/>
      <c r="R267" s="1289"/>
      <c r="S267" s="1289"/>
      <c r="T267" s="1289"/>
      <c r="U267" s="1289"/>
      <c r="V267" s="1290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4">
      <c r="A268" s="1287"/>
      <c r="B268" s="1288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4">
      <c r="A269" s="1283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4">
      <c r="A270" s="1283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4">
      <c r="A271" s="1283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4">
      <c r="A272" s="1283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4">
      <c r="A273" s="1283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4">
      <c r="A274" s="1283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4">
      <c r="A275" s="1283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4">
      <c r="A276" s="1283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4">
      <c r="A277" s="1283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4">
      <c r="A278" s="1283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4">
      <c r="A279" s="1283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4">
      <c r="A280" s="1284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35">
      <c r="AK281" s="63" t="str">
        <f>CONCATENATE(AK269,AK270,AK271,AK272,AK273,AK274,AK275,AK276,AK277,AK278,AK279,AK280)</f>
        <v/>
      </c>
    </row>
    <row r="282" spans="1:37" ht="15" customHeight="1" x14ac:dyDescent="0.35">
      <c r="AK282" s="63" t="s">
        <v>712</v>
      </c>
    </row>
    <row r="283" spans="1:37" ht="15" customHeight="1" x14ac:dyDescent="0.35">
      <c r="AK283" s="63" t="s">
        <v>713</v>
      </c>
    </row>
    <row r="284" spans="1:37" ht="15.75" customHeight="1" thickBot="1" x14ac:dyDescent="0.4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10" customHeight="1" x14ac:dyDescent="0.35"/>
    <row r="286" spans="1:37" ht="15" customHeight="1" x14ac:dyDescent="0.35"/>
    <row r="287" spans="1:37" ht="15.75" customHeight="1" thickBot="1" x14ac:dyDescent="0.4">
      <c r="C287" s="1333" t="s">
        <v>709</v>
      </c>
      <c r="D287" s="1333"/>
      <c r="E287" s="1333"/>
      <c r="F287" s="1333"/>
      <c r="G287" s="1333"/>
      <c r="H287" s="1333"/>
      <c r="I287" s="1333"/>
      <c r="J287" s="1333"/>
      <c r="K287" s="1333"/>
      <c r="L287" s="1333"/>
      <c r="M287" s="1333"/>
      <c r="N287" s="1333"/>
      <c r="O287" s="1333"/>
      <c r="P287" s="1333"/>
      <c r="Q287" s="1333"/>
      <c r="R287" s="1333"/>
      <c r="S287" s="1333"/>
      <c r="T287" s="1333"/>
      <c r="U287" s="1333"/>
      <c r="V287" s="1333"/>
      <c r="W287" s="1333"/>
      <c r="X287" s="1333"/>
      <c r="Y287" s="1333"/>
      <c r="Z287" s="1333"/>
      <c r="AA287" s="1333"/>
      <c r="AB287" s="1333"/>
      <c r="AC287" s="1333"/>
      <c r="AD287" s="1333"/>
      <c r="AE287" s="1333"/>
      <c r="AF287" s="1333"/>
      <c r="AG287" s="1333"/>
      <c r="AH287" s="1333"/>
      <c r="AI287" s="1333"/>
    </row>
    <row r="288" spans="1:37" ht="15" customHeight="1" x14ac:dyDescent="0.35">
      <c r="A288" s="1285"/>
      <c r="B288" s="1286"/>
      <c r="C288" s="1289" t="s">
        <v>17</v>
      </c>
      <c r="D288" s="1289"/>
      <c r="E288" s="1289"/>
      <c r="F288" s="1289"/>
      <c r="G288" s="1289"/>
      <c r="H288" s="1289"/>
      <c r="I288" s="1289"/>
      <c r="J288" s="1289"/>
      <c r="K288" s="1289"/>
      <c r="L288" s="1289"/>
      <c r="M288" s="1289"/>
      <c r="N288" s="1289"/>
      <c r="O288" s="1289"/>
      <c r="P288" s="1289"/>
      <c r="Q288" s="1289"/>
      <c r="R288" s="1289"/>
      <c r="S288" s="1289"/>
      <c r="T288" s="1289"/>
      <c r="U288" s="1289"/>
      <c r="V288" s="1290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4">
      <c r="A289" s="1287"/>
      <c r="B289" s="1288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4">
      <c r="A290" s="1283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4">
      <c r="A291" s="1283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4">
      <c r="A292" s="1283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4">
      <c r="A293" s="1283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4">
      <c r="A294" s="1283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4">
      <c r="A295" s="1283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4">
      <c r="A296" s="1283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4">
      <c r="A297" s="1283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4">
      <c r="A298" s="1283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4">
      <c r="A299" s="1283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4">
      <c r="A300" s="1283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4">
      <c r="A301" s="1284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35">
      <c r="AK302" s="63" t="str">
        <f>SUBSTITUTE(CONCATENATE(AK290,AK291,AK292,AK293,AK294,AK295,AK296,AK297,AK298,AK299,AK300,AK301),"P","I")</f>
        <v/>
      </c>
    </row>
    <row r="303" spans="1:37" ht="15" customHeight="1" x14ac:dyDescent="0.35">
      <c r="AK303" s="63" t="s">
        <v>714</v>
      </c>
    </row>
    <row r="304" spans="1:37" ht="15" customHeight="1" x14ac:dyDescent="0.35">
      <c r="AK304" s="63" t="s">
        <v>714</v>
      </c>
    </row>
    <row r="305" spans="1:37" ht="15.75" customHeight="1" thickBot="1" x14ac:dyDescent="0.4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35"/>
    <row r="307" spans="1:37" ht="15" customHeight="1" x14ac:dyDescent="0.35"/>
    <row r="308" spans="1:37" ht="15.75" customHeight="1" thickBot="1" x14ac:dyDescent="0.4">
      <c r="C308" s="1333" t="s">
        <v>710</v>
      </c>
      <c r="D308" s="1333"/>
      <c r="E308" s="1333"/>
      <c r="F308" s="1333"/>
      <c r="G308" s="1333"/>
      <c r="H308" s="1333"/>
      <c r="I308" s="1333"/>
      <c r="J308" s="1333"/>
      <c r="K308" s="1333"/>
      <c r="L308" s="1333"/>
      <c r="M308" s="1333"/>
      <c r="N308" s="1333"/>
      <c r="O308" s="1333"/>
      <c r="P308" s="1333"/>
      <c r="Q308" s="1333"/>
      <c r="R308" s="1333"/>
      <c r="S308" s="1333"/>
      <c r="T308" s="1333"/>
      <c r="U308" s="1333"/>
      <c r="V308" s="1333"/>
      <c r="W308" s="1333"/>
      <c r="X308" s="1333"/>
      <c r="Y308" s="1333"/>
      <c r="Z308" s="1333"/>
      <c r="AA308" s="1333"/>
      <c r="AB308" s="1333"/>
      <c r="AC308" s="1333"/>
      <c r="AD308" s="1333"/>
      <c r="AE308" s="1333"/>
      <c r="AF308" s="1333"/>
      <c r="AG308" s="1333"/>
      <c r="AH308" s="1333"/>
      <c r="AI308" s="1333"/>
    </row>
    <row r="309" spans="1:37" ht="15" customHeight="1" x14ac:dyDescent="0.35">
      <c r="A309" s="1285"/>
      <c r="B309" s="1286"/>
      <c r="C309" s="1289" t="s">
        <v>17</v>
      </c>
      <c r="D309" s="1289"/>
      <c r="E309" s="1289"/>
      <c r="F309" s="1289"/>
      <c r="G309" s="1289"/>
      <c r="H309" s="1289"/>
      <c r="I309" s="1289"/>
      <c r="J309" s="1289"/>
      <c r="K309" s="1289"/>
      <c r="L309" s="1289"/>
      <c r="M309" s="1289"/>
      <c r="N309" s="1289"/>
      <c r="O309" s="1289"/>
      <c r="P309" s="1289"/>
      <c r="Q309" s="1289"/>
      <c r="R309" s="1289"/>
      <c r="S309" s="1289"/>
      <c r="T309" s="1289"/>
      <c r="U309" s="1289"/>
      <c r="V309" s="1290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4">
      <c r="A310" s="1287"/>
      <c r="B310" s="1288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4">
      <c r="A311" s="1283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4">
      <c r="A312" s="1283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4">
      <c r="A313" s="1283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4">
      <c r="A314" s="1283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4">
      <c r="A315" s="1283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4">
      <c r="A316" s="1283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4">
      <c r="A317" s="1283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4">
      <c r="A318" s="1283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4">
      <c r="A319" s="1283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4">
      <c r="A320" s="1283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4">
      <c r="A321" s="1283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4">
      <c r="A322" s="1284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35">
      <c r="AK323" s="63" t="str">
        <f>CONCATENATE(AK311,AK312,AK313,AK314,AK315,AK316,AK317,AK318,AK319,AK320,AK321,AK322)</f>
        <v/>
      </c>
    </row>
    <row r="324" spans="1:37" ht="15" customHeight="1" x14ac:dyDescent="0.35">
      <c r="AK324" s="63" t="s">
        <v>715</v>
      </c>
    </row>
    <row r="325" spans="1:37" ht="15" customHeight="1" x14ac:dyDescent="0.35">
      <c r="AK325" s="63" t="s">
        <v>715</v>
      </c>
    </row>
    <row r="326" spans="1:37" ht="15.75" customHeight="1" thickBot="1" x14ac:dyDescent="0.4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35"/>
    <row r="328" spans="1:37" ht="15" customHeight="1" x14ac:dyDescent="0.35"/>
    <row r="329" spans="1:37" ht="15.75" customHeight="1" thickBot="1" x14ac:dyDescent="0.4">
      <c r="D329" s="1333" t="s">
        <v>711</v>
      </c>
      <c r="E329" s="1333"/>
      <c r="F329" s="1333"/>
      <c r="G329" s="1333"/>
      <c r="H329" s="1333"/>
      <c r="I329" s="1333"/>
      <c r="J329" s="1333"/>
      <c r="K329" s="1333"/>
      <c r="L329" s="1333"/>
      <c r="M329" s="1333"/>
      <c r="N329" s="1333"/>
      <c r="O329" s="1333"/>
      <c r="P329" s="1333"/>
      <c r="Q329" s="1333"/>
      <c r="R329" s="1333"/>
      <c r="S329" s="1333"/>
      <c r="T329" s="1333"/>
      <c r="U329" s="1333"/>
      <c r="V329" s="1333"/>
      <c r="W329" s="1333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35">
      <c r="A330" s="1285"/>
      <c r="B330" s="1286"/>
      <c r="D330" s="1327" t="s">
        <v>17</v>
      </c>
      <c r="E330" s="1289"/>
      <c r="F330" s="1289"/>
      <c r="G330" s="1289"/>
      <c r="H330" s="1289"/>
      <c r="I330" s="1289"/>
      <c r="J330" s="1289"/>
      <c r="K330" s="1289"/>
      <c r="L330" s="1289"/>
      <c r="M330" s="1289"/>
      <c r="N330" s="1289"/>
      <c r="O330" s="1289"/>
      <c r="P330" s="1289"/>
      <c r="Q330" s="1289"/>
      <c r="R330" s="1289"/>
      <c r="S330" s="1289"/>
      <c r="T330" s="1289"/>
      <c r="U330" s="1289"/>
      <c r="V330" s="1289"/>
      <c r="W330" s="1290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4">
      <c r="A331" s="1287"/>
      <c r="B331" s="1288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35">
      <c r="A332" s="1283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35">
      <c r="A333" s="1283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35">
      <c r="A334" s="1283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35">
      <c r="A335" s="1283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35">
      <c r="A336" s="1283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35">
      <c r="A337" s="1283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35">
      <c r="A338" s="1283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10" customHeight="1" x14ac:dyDescent="0.35">
      <c r="A339" s="1283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35">
      <c r="A340" s="1283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35">
      <c r="A341" s="1283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35">
      <c r="A342" s="1283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4">
      <c r="A343" s="1284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10" customHeight="1" x14ac:dyDescent="0.35"/>
    <row r="345" spans="1:37" ht="10" customHeight="1" x14ac:dyDescent="0.35"/>
    <row r="346" spans="1:37" ht="10" customHeight="1" x14ac:dyDescent="0.35"/>
    <row r="347" spans="1:37" ht="10" customHeight="1" x14ac:dyDescent="0.35"/>
    <row r="348" spans="1:37" ht="10" customHeight="1" x14ac:dyDescent="0.35"/>
    <row r="349" spans="1:37" ht="10" customHeight="1" x14ac:dyDescent="0.35"/>
    <row r="350" spans="1:37" ht="15.75" customHeight="1" thickBot="1" x14ac:dyDescent="0.4">
      <c r="D350" s="1333" t="s">
        <v>823</v>
      </c>
      <c r="E350" s="1333"/>
      <c r="F350" s="1333"/>
      <c r="G350" s="1333"/>
      <c r="H350" s="1333"/>
      <c r="I350" s="1333"/>
      <c r="J350" s="1333"/>
      <c r="K350" s="1333"/>
      <c r="L350" s="1333"/>
      <c r="M350" s="1333"/>
      <c r="N350" s="1333"/>
      <c r="O350" s="1333"/>
      <c r="P350" s="1333"/>
      <c r="Q350" s="1333"/>
      <c r="R350" s="1333"/>
      <c r="S350" s="1333"/>
      <c r="T350" s="1333"/>
      <c r="U350" s="1333"/>
      <c r="V350" s="1333"/>
      <c r="W350" s="1333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35">
      <c r="A351" s="1285"/>
      <c r="B351" s="1286"/>
      <c r="D351" s="1327" t="s">
        <v>17</v>
      </c>
      <c r="E351" s="1289"/>
      <c r="F351" s="1289"/>
      <c r="G351" s="1289"/>
      <c r="H351" s="1289"/>
      <c r="I351" s="1289"/>
      <c r="J351" s="1289"/>
      <c r="K351" s="1289"/>
      <c r="L351" s="1289"/>
      <c r="M351" s="1289"/>
      <c r="N351" s="1289"/>
      <c r="O351" s="1289"/>
      <c r="P351" s="1289"/>
      <c r="Q351" s="1289"/>
      <c r="R351" s="1289"/>
      <c r="S351" s="1289"/>
      <c r="T351" s="1289"/>
      <c r="U351" s="1289"/>
      <c r="V351" s="1289"/>
      <c r="W351" s="1290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4">
      <c r="A352" s="1287"/>
      <c r="B352" s="1288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4">
      <c r="A353" s="1283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4">
      <c r="A354" s="1283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4">
      <c r="A355" s="1283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4">
      <c r="A356" s="1283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4">
      <c r="A357" s="1283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4">
      <c r="A358" s="1283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4">
      <c r="A359" s="1283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10" customHeight="1" thickBot="1" x14ac:dyDescent="0.4">
      <c r="A360" s="1283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4">
      <c r="A361" s="1283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4">
      <c r="A362" s="1283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4">
      <c r="A363" s="1283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4">
      <c r="A364" s="1284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35">
      <c r="AN365" s="113" t="str">
        <f>CONCATENATE(AN353,AN354,AN355,AN356,AN357,AN358,AN359,AN360,AN361,AN362,AN363,AN364)</f>
        <v/>
      </c>
    </row>
    <row r="366" spans="1:40" ht="15" customHeight="1" thickBot="1" x14ac:dyDescent="0.4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35">
      <c r="A367" s="1285"/>
      <c r="B367" s="1286"/>
      <c r="C367" s="1289" t="s">
        <v>17</v>
      </c>
      <c r="D367" s="1289"/>
      <c r="E367" s="1289"/>
      <c r="F367" s="1289"/>
      <c r="G367" s="1289"/>
      <c r="H367" s="1289"/>
      <c r="I367" s="1289"/>
      <c r="J367" s="1289"/>
      <c r="K367" s="1289"/>
      <c r="L367" s="1289"/>
      <c r="M367" s="1289"/>
      <c r="N367" s="1289"/>
      <c r="O367" s="1289"/>
      <c r="P367" s="1289"/>
      <c r="Q367" s="1289"/>
      <c r="R367" s="1289"/>
      <c r="S367" s="1289"/>
      <c r="T367" s="1289"/>
      <c r="U367" s="1289"/>
      <c r="V367" s="1290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4">
      <c r="A368" s="1287"/>
      <c r="B368" s="1288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35">
      <c r="A369" s="1283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4">
      <c r="A370" s="1283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35">
      <c r="A371" s="1283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35">
      <c r="A372" s="1283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35">
      <c r="A373" s="1283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35">
      <c r="A374" s="1283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35">
      <c r="A375" s="1283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35">
      <c r="A376" s="1283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35">
      <c r="A377" s="1283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35">
      <c r="A378" s="1283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35">
      <c r="A379" s="1283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4">
      <c r="A380" s="1284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4">
      <c r="AN381" s="113"/>
    </row>
    <row r="382" spans="1:40" ht="15" customHeight="1" x14ac:dyDescent="0.35">
      <c r="A382" s="1285"/>
      <c r="B382" s="1286"/>
      <c r="C382" s="1289" t="s">
        <v>17</v>
      </c>
      <c r="D382" s="1289"/>
      <c r="E382" s="1289"/>
      <c r="F382" s="1289"/>
      <c r="G382" s="1289"/>
      <c r="H382" s="1289"/>
      <c r="I382" s="1289"/>
      <c r="J382" s="1289"/>
      <c r="K382" s="1289"/>
      <c r="L382" s="1289"/>
      <c r="M382" s="1289"/>
      <c r="N382" s="1289"/>
      <c r="O382" s="1289"/>
      <c r="P382" s="1289"/>
      <c r="Q382" s="1289"/>
      <c r="R382" s="1289"/>
      <c r="S382" s="1289"/>
      <c r="T382" s="1289"/>
      <c r="U382" s="1289"/>
      <c r="V382" s="1290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4">
      <c r="A383" s="1287"/>
      <c r="B383" s="1288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35">
      <c r="A384" s="1283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35">
      <c r="A385" s="1283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35">
      <c r="A386" s="1283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35">
      <c r="A387" s="1283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35">
      <c r="A388" s="1283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35">
      <c r="A389" s="1283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35">
      <c r="A390" s="1283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35">
      <c r="A391" s="1283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35">
      <c r="A392" s="1283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35">
      <c r="A393" s="1283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35">
      <c r="A394" s="1283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4">
      <c r="A395" s="1284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35"/>
    <row r="397" spans="1:37" ht="15" customHeight="1" x14ac:dyDescent="0.35"/>
    <row r="399" spans="1:37" ht="10" customHeight="1" thickBot="1" x14ac:dyDescent="0.4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35">
      <c r="A400" s="1285"/>
      <c r="B400" s="1286"/>
      <c r="C400" s="1289" t="s">
        <v>17</v>
      </c>
      <c r="D400" s="1289"/>
      <c r="E400" s="1289"/>
      <c r="F400" s="1289"/>
      <c r="G400" s="1289"/>
      <c r="H400" s="1289"/>
      <c r="I400" s="1289"/>
      <c r="J400" s="1289"/>
      <c r="K400" s="1289"/>
      <c r="L400" s="1289"/>
      <c r="M400" s="1289"/>
      <c r="N400" s="1289"/>
      <c r="O400" s="1289"/>
      <c r="P400" s="1289"/>
      <c r="Q400" s="1289"/>
      <c r="R400" s="1289"/>
      <c r="S400" s="1289"/>
      <c r="T400" s="1289"/>
      <c r="U400" s="1289"/>
      <c r="V400" s="1290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" thickBot="1" x14ac:dyDescent="0.4">
      <c r="A401" s="1287"/>
      <c r="B401" s="1288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35">
      <c r="A402" s="1283" t="s">
        <v>18</v>
      </c>
      <c r="B402" s="21">
        <v>1</v>
      </c>
      <c r="C402" s="40" t="str">
        <f t="shared" ref="C402:AI409" si="93">IF(COUNTIF(C$3,"*b*"),"b",IF(COUNTIF(C$3,"0a*"),"0a",IF(COUNTIF(C$3,"*a*"),"a")))</f>
        <v>a</v>
      </c>
      <c r="D402" s="40" t="str">
        <f t="shared" si="93"/>
        <v>a</v>
      </c>
      <c r="E402" s="40" t="str">
        <f t="shared" si="93"/>
        <v>a</v>
      </c>
      <c r="F402" s="40" t="str">
        <f t="shared" si="93"/>
        <v>a</v>
      </c>
      <c r="G402" s="40" t="str">
        <f t="shared" si="93"/>
        <v>a</v>
      </c>
      <c r="H402" s="40" t="str">
        <f t="shared" si="93"/>
        <v>a</v>
      </c>
      <c r="I402" s="40" t="str">
        <f t="shared" si="93"/>
        <v>a</v>
      </c>
      <c r="J402" s="40" t="str">
        <f t="shared" si="93"/>
        <v>a</v>
      </c>
      <c r="K402" s="40" t="str">
        <f t="shared" si="93"/>
        <v>0a</v>
      </c>
      <c r="L402" s="40" t="str">
        <f t="shared" si="93"/>
        <v>b</v>
      </c>
      <c r="M402" s="40" t="str">
        <f t="shared" si="93"/>
        <v>b</v>
      </c>
      <c r="N402" s="40" t="str">
        <f t="shared" si="93"/>
        <v>b</v>
      </c>
      <c r="O402" s="40" t="str">
        <f t="shared" si="93"/>
        <v>b</v>
      </c>
      <c r="P402" s="40" t="str">
        <f t="shared" si="93"/>
        <v>0a</v>
      </c>
      <c r="Q402" s="40" t="str">
        <f t="shared" si="93"/>
        <v>0a</v>
      </c>
      <c r="R402" s="40" t="str">
        <f t="shared" si="93"/>
        <v>0a</v>
      </c>
      <c r="S402" s="40" t="str">
        <f>IF(COUNTIF(S$3,"*b*"),"b",IF(COUNTIF(S$3,"0a*"),"0a",IF(COUNTIF(S$3,"*a*"),"a")))</f>
        <v>0a</v>
      </c>
      <c r="T402" s="40" t="str">
        <f t="shared" si="93"/>
        <v>0a</v>
      </c>
      <c r="U402" s="40" t="str">
        <f t="shared" si="93"/>
        <v>0a</v>
      </c>
      <c r="V402" s="40" t="str">
        <f t="shared" si="93"/>
        <v>0a</v>
      </c>
      <c r="W402" s="40" t="str">
        <f t="shared" si="93"/>
        <v>0a</v>
      </c>
      <c r="X402" s="40" t="str">
        <f t="shared" si="93"/>
        <v>0a</v>
      </c>
      <c r="Y402" s="40" t="str">
        <f t="shared" si="93"/>
        <v>0a</v>
      </c>
      <c r="Z402" s="40" t="str">
        <f t="shared" si="93"/>
        <v>0a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35">
      <c r="A403" s="1283"/>
      <c r="B403" s="22">
        <v>2</v>
      </c>
      <c r="C403" s="40" t="str">
        <f t="shared" si="93"/>
        <v>a</v>
      </c>
      <c r="D403" s="40" t="str">
        <f t="shared" si="93"/>
        <v>a</v>
      </c>
      <c r="E403" s="40" t="str">
        <f t="shared" si="93"/>
        <v>a</v>
      </c>
      <c r="F403" s="40" t="str">
        <f t="shared" si="93"/>
        <v>a</v>
      </c>
      <c r="G403" s="40" t="str">
        <f t="shared" si="93"/>
        <v>a</v>
      </c>
      <c r="H403" s="40" t="str">
        <f t="shared" si="93"/>
        <v>a</v>
      </c>
      <c r="I403" s="40" t="str">
        <f t="shared" si="93"/>
        <v>a</v>
      </c>
      <c r="J403" s="40" t="str">
        <f t="shared" si="93"/>
        <v>a</v>
      </c>
      <c r="K403" s="40" t="str">
        <f t="shared" si="93"/>
        <v>0a</v>
      </c>
      <c r="L403" s="40" t="str">
        <f t="shared" si="93"/>
        <v>b</v>
      </c>
      <c r="M403" s="40" t="str">
        <f t="shared" si="93"/>
        <v>b</v>
      </c>
      <c r="N403" s="40" t="str">
        <f t="shared" si="93"/>
        <v>b</v>
      </c>
      <c r="O403" s="40" t="str">
        <f t="shared" si="93"/>
        <v>b</v>
      </c>
      <c r="P403" s="40" t="str">
        <f t="shared" si="93"/>
        <v>0a</v>
      </c>
      <c r="Q403" s="40" t="str">
        <f t="shared" si="93"/>
        <v>0a</v>
      </c>
      <c r="R403" s="40" t="str">
        <f t="shared" si="93"/>
        <v>0a</v>
      </c>
      <c r="S403" s="40" t="str">
        <f t="shared" si="93"/>
        <v>0a</v>
      </c>
      <c r="T403" s="40" t="str">
        <f t="shared" si="93"/>
        <v>0a</v>
      </c>
      <c r="U403" s="40" t="str">
        <f t="shared" si="93"/>
        <v>0a</v>
      </c>
      <c r="V403" s="40" t="str">
        <f t="shared" si="93"/>
        <v>0a</v>
      </c>
      <c r="W403" s="40" t="str">
        <f t="shared" si="93"/>
        <v>0a</v>
      </c>
      <c r="X403" s="40" t="str">
        <f t="shared" si="93"/>
        <v>0a</v>
      </c>
      <c r="Y403" s="40" t="str">
        <f t="shared" si="93"/>
        <v>0a</v>
      </c>
      <c r="Z403" s="40" t="str">
        <f t="shared" si="93"/>
        <v>0a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35">
      <c r="A404" s="1283"/>
      <c r="B404" s="22">
        <v>3</v>
      </c>
      <c r="C404" s="40" t="str">
        <f t="shared" si="93"/>
        <v>a</v>
      </c>
      <c r="D404" s="40" t="str">
        <f t="shared" si="93"/>
        <v>a</v>
      </c>
      <c r="E404" s="40" t="str">
        <f t="shared" si="93"/>
        <v>a</v>
      </c>
      <c r="F404" s="40" t="str">
        <f t="shared" si="93"/>
        <v>a</v>
      </c>
      <c r="G404" s="40" t="str">
        <f t="shared" si="93"/>
        <v>a</v>
      </c>
      <c r="H404" s="40" t="str">
        <f t="shared" si="93"/>
        <v>a</v>
      </c>
      <c r="I404" s="40" t="str">
        <f t="shared" si="93"/>
        <v>a</v>
      </c>
      <c r="J404" s="40" t="str">
        <f t="shared" si="93"/>
        <v>a</v>
      </c>
      <c r="K404" s="40" t="str">
        <f t="shared" si="93"/>
        <v>0a</v>
      </c>
      <c r="L404" s="40" t="str">
        <f t="shared" si="93"/>
        <v>b</v>
      </c>
      <c r="M404" s="40" t="str">
        <f t="shared" si="93"/>
        <v>b</v>
      </c>
      <c r="N404" s="40" t="str">
        <f t="shared" si="93"/>
        <v>b</v>
      </c>
      <c r="O404" s="40" t="str">
        <f t="shared" si="93"/>
        <v>b</v>
      </c>
      <c r="P404" s="40" t="str">
        <f t="shared" si="93"/>
        <v>0a</v>
      </c>
      <c r="Q404" s="40" t="str">
        <f t="shared" si="93"/>
        <v>0a</v>
      </c>
      <c r="R404" s="40" t="str">
        <f t="shared" si="93"/>
        <v>0a</v>
      </c>
      <c r="S404" s="40" t="str">
        <f t="shared" si="93"/>
        <v>0a</v>
      </c>
      <c r="T404" s="40" t="str">
        <f t="shared" si="93"/>
        <v>0a</v>
      </c>
      <c r="U404" s="40" t="str">
        <f t="shared" si="93"/>
        <v>0a</v>
      </c>
      <c r="V404" s="40" t="str">
        <f t="shared" si="93"/>
        <v>0a</v>
      </c>
      <c r="W404" s="40" t="str">
        <f t="shared" si="93"/>
        <v>0a</v>
      </c>
      <c r="X404" s="40" t="str">
        <f t="shared" si="93"/>
        <v>0a</v>
      </c>
      <c r="Y404" s="40" t="str">
        <f t="shared" si="93"/>
        <v>0a</v>
      </c>
      <c r="Z404" s="40" t="str">
        <f t="shared" si="93"/>
        <v>0a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35">
      <c r="A405" s="1283"/>
      <c r="B405" s="22">
        <v>4</v>
      </c>
      <c r="C405" s="40" t="str">
        <f t="shared" si="93"/>
        <v>a</v>
      </c>
      <c r="D405" s="40" t="str">
        <f t="shared" si="93"/>
        <v>a</v>
      </c>
      <c r="E405" s="40" t="str">
        <f t="shared" si="93"/>
        <v>a</v>
      </c>
      <c r="F405" s="40" t="str">
        <f t="shared" si="93"/>
        <v>a</v>
      </c>
      <c r="G405" s="40" t="str">
        <f t="shared" si="93"/>
        <v>a</v>
      </c>
      <c r="H405" s="40" t="str">
        <f t="shared" si="93"/>
        <v>a</v>
      </c>
      <c r="I405" s="40" t="str">
        <f t="shared" si="93"/>
        <v>a</v>
      </c>
      <c r="J405" s="40" t="str">
        <f t="shared" si="93"/>
        <v>a</v>
      </c>
      <c r="K405" s="40" t="str">
        <f t="shared" si="93"/>
        <v>0a</v>
      </c>
      <c r="L405" s="40" t="str">
        <f t="shared" si="93"/>
        <v>b</v>
      </c>
      <c r="M405" s="40" t="str">
        <f t="shared" si="93"/>
        <v>b</v>
      </c>
      <c r="N405" s="40" t="str">
        <f t="shared" si="93"/>
        <v>b</v>
      </c>
      <c r="O405" s="40" t="str">
        <f t="shared" si="93"/>
        <v>b</v>
      </c>
      <c r="P405" s="40" t="str">
        <f t="shared" si="93"/>
        <v>0a</v>
      </c>
      <c r="Q405" s="40" t="str">
        <f t="shared" si="93"/>
        <v>0a</v>
      </c>
      <c r="R405" s="40" t="str">
        <f t="shared" si="93"/>
        <v>0a</v>
      </c>
      <c r="S405" s="40" t="str">
        <f t="shared" si="93"/>
        <v>0a</v>
      </c>
      <c r="T405" s="40" t="str">
        <f t="shared" si="93"/>
        <v>0a</v>
      </c>
      <c r="U405" s="40" t="str">
        <f t="shared" si="93"/>
        <v>0a</v>
      </c>
      <c r="V405" s="40" t="str">
        <f t="shared" si="93"/>
        <v>0a</v>
      </c>
      <c r="W405" s="40" t="str">
        <f t="shared" si="93"/>
        <v>0a</v>
      </c>
      <c r="X405" s="40" t="str">
        <f t="shared" si="93"/>
        <v>0a</v>
      </c>
      <c r="Y405" s="40" t="str">
        <f t="shared" si="93"/>
        <v>0a</v>
      </c>
      <c r="Z405" s="40" t="str">
        <f t="shared" si="93"/>
        <v>0a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35">
      <c r="A406" s="1283"/>
      <c r="B406" s="22">
        <v>5</v>
      </c>
      <c r="C406" s="40" t="str">
        <f t="shared" si="93"/>
        <v>a</v>
      </c>
      <c r="D406" s="40" t="str">
        <f t="shared" si="93"/>
        <v>a</v>
      </c>
      <c r="E406" s="40" t="str">
        <f t="shared" si="93"/>
        <v>a</v>
      </c>
      <c r="F406" s="40" t="str">
        <f t="shared" si="93"/>
        <v>a</v>
      </c>
      <c r="G406" s="40" t="str">
        <f t="shared" si="93"/>
        <v>a</v>
      </c>
      <c r="H406" s="40" t="str">
        <f t="shared" si="93"/>
        <v>a</v>
      </c>
      <c r="I406" s="40" t="str">
        <f t="shared" si="93"/>
        <v>a</v>
      </c>
      <c r="J406" s="40" t="str">
        <f t="shared" si="93"/>
        <v>a</v>
      </c>
      <c r="K406" s="40" t="str">
        <f t="shared" si="93"/>
        <v>0a</v>
      </c>
      <c r="L406" s="40" t="str">
        <f t="shared" si="93"/>
        <v>b</v>
      </c>
      <c r="M406" s="40" t="str">
        <f t="shared" si="93"/>
        <v>b</v>
      </c>
      <c r="N406" s="40" t="str">
        <f t="shared" si="93"/>
        <v>b</v>
      </c>
      <c r="O406" s="40" t="str">
        <f t="shared" si="93"/>
        <v>b</v>
      </c>
      <c r="P406" s="40" t="str">
        <f t="shared" si="93"/>
        <v>0a</v>
      </c>
      <c r="Q406" s="40" t="str">
        <f t="shared" si="93"/>
        <v>0a</v>
      </c>
      <c r="R406" s="40" t="str">
        <f t="shared" si="93"/>
        <v>0a</v>
      </c>
      <c r="S406" s="40" t="str">
        <f t="shared" si="93"/>
        <v>0a</v>
      </c>
      <c r="T406" s="40" t="str">
        <f t="shared" si="93"/>
        <v>0a</v>
      </c>
      <c r="U406" s="40" t="str">
        <f t="shared" si="93"/>
        <v>0a</v>
      </c>
      <c r="V406" s="40" t="str">
        <f t="shared" si="93"/>
        <v>0a</v>
      </c>
      <c r="W406" s="40" t="str">
        <f t="shared" si="93"/>
        <v>0a</v>
      </c>
      <c r="X406" s="40" t="str">
        <f t="shared" si="93"/>
        <v>0a</v>
      </c>
      <c r="Y406" s="40" t="str">
        <f t="shared" si="93"/>
        <v>0a</v>
      </c>
      <c r="Z406" s="40" t="str">
        <f t="shared" si="93"/>
        <v>0a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35">
      <c r="A407" s="1283"/>
      <c r="B407" s="22">
        <v>6</v>
      </c>
      <c r="C407" s="40" t="str">
        <f t="shared" si="93"/>
        <v>a</v>
      </c>
      <c r="D407" s="40" t="str">
        <f t="shared" si="93"/>
        <v>a</v>
      </c>
      <c r="E407" s="40" t="str">
        <f t="shared" si="93"/>
        <v>a</v>
      </c>
      <c r="F407" s="40" t="str">
        <f t="shared" si="93"/>
        <v>a</v>
      </c>
      <c r="G407" s="40" t="str">
        <f t="shared" si="93"/>
        <v>a</v>
      </c>
      <c r="H407" s="40" t="str">
        <f t="shared" si="93"/>
        <v>a</v>
      </c>
      <c r="I407" s="40" t="str">
        <f t="shared" si="93"/>
        <v>a</v>
      </c>
      <c r="J407" s="40" t="str">
        <f t="shared" si="93"/>
        <v>a</v>
      </c>
      <c r="K407" s="40" t="str">
        <f t="shared" si="93"/>
        <v>0a</v>
      </c>
      <c r="L407" s="40" t="str">
        <f t="shared" si="93"/>
        <v>b</v>
      </c>
      <c r="M407" s="40" t="str">
        <f t="shared" si="93"/>
        <v>b</v>
      </c>
      <c r="N407" s="40" t="str">
        <f t="shared" si="93"/>
        <v>b</v>
      </c>
      <c r="O407" s="40" t="str">
        <f t="shared" si="93"/>
        <v>b</v>
      </c>
      <c r="P407" s="40" t="str">
        <f t="shared" si="93"/>
        <v>0a</v>
      </c>
      <c r="Q407" s="40" t="str">
        <f t="shared" si="93"/>
        <v>0a</v>
      </c>
      <c r="R407" s="40" t="str">
        <f t="shared" si="93"/>
        <v>0a</v>
      </c>
      <c r="S407" s="40" t="str">
        <f t="shared" si="93"/>
        <v>0a</v>
      </c>
      <c r="T407" s="40" t="str">
        <f t="shared" si="93"/>
        <v>0a</v>
      </c>
      <c r="U407" s="40" t="str">
        <f t="shared" si="93"/>
        <v>0a</v>
      </c>
      <c r="V407" s="40" t="str">
        <f t="shared" si="93"/>
        <v>0a</v>
      </c>
      <c r="W407" s="40" t="str">
        <f t="shared" si="93"/>
        <v>0a</v>
      </c>
      <c r="X407" s="40" t="str">
        <f t="shared" si="93"/>
        <v>0a</v>
      </c>
      <c r="Y407" s="40" t="str">
        <f t="shared" si="93"/>
        <v>0a</v>
      </c>
      <c r="Z407" s="40" t="str">
        <f t="shared" si="93"/>
        <v>0a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35">
      <c r="A408" s="1283"/>
      <c r="B408" s="22">
        <v>7</v>
      </c>
      <c r="C408" s="40" t="str">
        <f t="shared" si="93"/>
        <v>a</v>
      </c>
      <c r="D408" s="40" t="str">
        <f t="shared" si="93"/>
        <v>a</v>
      </c>
      <c r="E408" s="40" t="str">
        <f t="shared" si="93"/>
        <v>a</v>
      </c>
      <c r="F408" s="40" t="str">
        <f t="shared" si="93"/>
        <v>a</v>
      </c>
      <c r="G408" s="40" t="str">
        <f t="shared" si="93"/>
        <v>a</v>
      </c>
      <c r="H408" s="40" t="str">
        <f t="shared" si="93"/>
        <v>a</v>
      </c>
      <c r="I408" s="40" t="str">
        <f t="shared" si="93"/>
        <v>a</v>
      </c>
      <c r="J408" s="40" t="str">
        <f t="shared" si="93"/>
        <v>a</v>
      </c>
      <c r="K408" s="40" t="str">
        <f t="shared" si="93"/>
        <v>0a</v>
      </c>
      <c r="L408" s="40" t="str">
        <f t="shared" si="93"/>
        <v>b</v>
      </c>
      <c r="M408" s="40" t="str">
        <f t="shared" si="93"/>
        <v>b</v>
      </c>
      <c r="N408" s="40" t="str">
        <f t="shared" si="93"/>
        <v>b</v>
      </c>
      <c r="O408" s="40" t="str">
        <f t="shared" si="93"/>
        <v>b</v>
      </c>
      <c r="P408" s="40" t="str">
        <f t="shared" si="93"/>
        <v>0a</v>
      </c>
      <c r="Q408" s="40" t="str">
        <f t="shared" si="93"/>
        <v>0a</v>
      </c>
      <c r="R408" s="40" t="str">
        <f t="shared" si="93"/>
        <v>0a</v>
      </c>
      <c r="S408" s="40" t="str">
        <f t="shared" si="93"/>
        <v>0a</v>
      </c>
      <c r="T408" s="40" t="str">
        <f t="shared" si="93"/>
        <v>0a</v>
      </c>
      <c r="U408" s="40" t="str">
        <f t="shared" si="93"/>
        <v>0a</v>
      </c>
      <c r="V408" s="40" t="str">
        <f t="shared" si="93"/>
        <v>0a</v>
      </c>
      <c r="W408" s="40" t="str">
        <f t="shared" si="93"/>
        <v>0a</v>
      </c>
      <c r="X408" s="40" t="str">
        <f t="shared" si="93"/>
        <v>0a</v>
      </c>
      <c r="Y408" s="40" t="str">
        <f t="shared" si="93"/>
        <v>0a</v>
      </c>
      <c r="Z408" s="40" t="str">
        <f t="shared" si="93"/>
        <v>0a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35">
      <c r="A409" s="1283"/>
      <c r="B409" s="22">
        <v>8</v>
      </c>
      <c r="C409" s="40" t="str">
        <f t="shared" si="93"/>
        <v>a</v>
      </c>
      <c r="D409" s="40" t="str">
        <f t="shared" si="93"/>
        <v>a</v>
      </c>
      <c r="E409" s="40" t="str">
        <f t="shared" si="93"/>
        <v>a</v>
      </c>
      <c r="F409" s="40" t="str">
        <f t="shared" si="93"/>
        <v>a</v>
      </c>
      <c r="G409" s="40" t="str">
        <f t="shared" si="93"/>
        <v>a</v>
      </c>
      <c r="H409" s="40" t="str">
        <f t="shared" si="93"/>
        <v>a</v>
      </c>
      <c r="I409" s="40" t="str">
        <f t="shared" si="93"/>
        <v>a</v>
      </c>
      <c r="J409" s="40" t="str">
        <f t="shared" si="93"/>
        <v>a</v>
      </c>
      <c r="K409" s="40" t="str">
        <f t="shared" si="93"/>
        <v>0a</v>
      </c>
      <c r="L409" s="40" t="str">
        <f t="shared" si="93"/>
        <v>b</v>
      </c>
      <c r="M409" s="40" t="str">
        <f t="shared" si="93"/>
        <v>b</v>
      </c>
      <c r="N409" s="40" t="str">
        <f t="shared" si="93"/>
        <v>b</v>
      </c>
      <c r="O409" s="40" t="str">
        <f t="shared" si="93"/>
        <v>b</v>
      </c>
      <c r="P409" s="40" t="str">
        <f t="shared" si="93"/>
        <v>0a</v>
      </c>
      <c r="Q409" s="40" t="str">
        <f t="shared" si="93"/>
        <v>0a</v>
      </c>
      <c r="R409" s="40" t="str">
        <f t="shared" si="93"/>
        <v>0a</v>
      </c>
      <c r="S409" s="40" t="str">
        <f t="shared" si="93"/>
        <v>0a</v>
      </c>
      <c r="T409" s="40" t="str">
        <f t="shared" si="93"/>
        <v>0a</v>
      </c>
      <c r="U409" s="40" t="str">
        <f t="shared" si="93"/>
        <v>0a</v>
      </c>
      <c r="V409" s="40" t="str">
        <f t="shared" si="93"/>
        <v>0a</v>
      </c>
      <c r="W409" s="40" t="str">
        <f t="shared" si="93"/>
        <v>0a</v>
      </c>
      <c r="X409" s="40" t="str">
        <f t="shared" si="93"/>
        <v>0a</v>
      </c>
      <c r="Y409" s="40" t="str">
        <f t="shared" si="93"/>
        <v>0a</v>
      </c>
      <c r="Z409" s="40" t="str">
        <f t="shared" si="93"/>
        <v>0a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35">
      <c r="A410" s="1283"/>
      <c r="B410" s="22">
        <v>9</v>
      </c>
      <c r="C410" s="40" t="str">
        <f t="shared" ref="C410:R413" si="95">IF(COUNTIF(C$3,"*b*"),"b",IF(COUNTIF(C$3,"0a*"),"0a",IF(COUNTIF(C$3,"*a*"),"a")))</f>
        <v>a</v>
      </c>
      <c r="D410" s="40" t="str">
        <f t="shared" si="95"/>
        <v>a</v>
      </c>
      <c r="E410" s="40" t="str">
        <f t="shared" si="95"/>
        <v>a</v>
      </c>
      <c r="F410" s="40" t="str">
        <f t="shared" si="95"/>
        <v>a</v>
      </c>
      <c r="G410" s="40" t="str">
        <f t="shared" si="95"/>
        <v>a</v>
      </c>
      <c r="H410" s="40" t="str">
        <f t="shared" si="95"/>
        <v>a</v>
      </c>
      <c r="I410" s="40" t="str">
        <f t="shared" si="95"/>
        <v>a</v>
      </c>
      <c r="J410" s="40" t="str">
        <f t="shared" si="95"/>
        <v>a</v>
      </c>
      <c r="K410" s="40" t="str">
        <f t="shared" si="95"/>
        <v>0a</v>
      </c>
      <c r="L410" s="40" t="str">
        <f t="shared" si="95"/>
        <v>b</v>
      </c>
      <c r="M410" s="40" t="str">
        <f t="shared" si="95"/>
        <v>b</v>
      </c>
      <c r="N410" s="40" t="str">
        <f t="shared" si="95"/>
        <v>b</v>
      </c>
      <c r="O410" s="40" t="str">
        <f t="shared" si="95"/>
        <v>b</v>
      </c>
      <c r="P410" s="40" t="str">
        <f t="shared" si="95"/>
        <v>0a</v>
      </c>
      <c r="Q410" s="40" t="str">
        <f t="shared" si="95"/>
        <v>0a</v>
      </c>
      <c r="R410" s="40" t="str">
        <f t="shared" si="95"/>
        <v>0a</v>
      </c>
      <c r="S410" s="40" t="str">
        <f t="shared" ref="S410:AH413" si="96">IF(COUNTIF(S$3,"*b*"),"b",IF(COUNTIF(S$3,"0a*"),"0a",IF(COUNTIF(S$3,"*a*"),"a")))</f>
        <v>0a</v>
      </c>
      <c r="T410" s="40" t="str">
        <f t="shared" si="96"/>
        <v>0a</v>
      </c>
      <c r="U410" s="40" t="str">
        <f t="shared" si="96"/>
        <v>0a</v>
      </c>
      <c r="V410" s="40" t="str">
        <f t="shared" si="96"/>
        <v>0a</v>
      </c>
      <c r="W410" s="40" t="str">
        <f t="shared" si="96"/>
        <v>0a</v>
      </c>
      <c r="X410" s="40" t="str">
        <f t="shared" si="96"/>
        <v>0a</v>
      </c>
      <c r="Y410" s="40" t="str">
        <f t="shared" si="96"/>
        <v>0a</v>
      </c>
      <c r="Z410" s="40" t="str">
        <f t="shared" si="96"/>
        <v>0a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35">
      <c r="A411" s="1283"/>
      <c r="B411" s="22">
        <v>10</v>
      </c>
      <c r="C411" s="40" t="str">
        <f t="shared" si="95"/>
        <v>a</v>
      </c>
      <c r="D411" s="40" t="str">
        <f t="shared" si="95"/>
        <v>a</v>
      </c>
      <c r="E411" s="40" t="str">
        <f t="shared" si="95"/>
        <v>a</v>
      </c>
      <c r="F411" s="40" t="str">
        <f t="shared" si="95"/>
        <v>a</v>
      </c>
      <c r="G411" s="40" t="str">
        <f t="shared" si="95"/>
        <v>a</v>
      </c>
      <c r="H411" s="40" t="str">
        <f t="shared" si="95"/>
        <v>a</v>
      </c>
      <c r="I411" s="40" t="str">
        <f t="shared" si="95"/>
        <v>a</v>
      </c>
      <c r="J411" s="40" t="str">
        <f t="shared" si="95"/>
        <v>a</v>
      </c>
      <c r="K411" s="40" t="str">
        <f t="shared" si="95"/>
        <v>0a</v>
      </c>
      <c r="L411" s="40" t="str">
        <f t="shared" si="95"/>
        <v>b</v>
      </c>
      <c r="M411" s="40" t="str">
        <f t="shared" si="95"/>
        <v>b</v>
      </c>
      <c r="N411" s="40" t="str">
        <f t="shared" si="95"/>
        <v>b</v>
      </c>
      <c r="O411" s="40" t="str">
        <f t="shared" si="95"/>
        <v>b</v>
      </c>
      <c r="P411" s="40" t="str">
        <f t="shared" si="95"/>
        <v>0a</v>
      </c>
      <c r="Q411" s="40" t="str">
        <f t="shared" si="95"/>
        <v>0a</v>
      </c>
      <c r="R411" s="40" t="str">
        <f t="shared" si="95"/>
        <v>0a</v>
      </c>
      <c r="S411" s="40" t="str">
        <f t="shared" si="96"/>
        <v>0a</v>
      </c>
      <c r="T411" s="40" t="str">
        <f t="shared" si="96"/>
        <v>0a</v>
      </c>
      <c r="U411" s="40" t="str">
        <f t="shared" si="96"/>
        <v>0a</v>
      </c>
      <c r="V411" s="40" t="str">
        <f t="shared" si="96"/>
        <v>0a</v>
      </c>
      <c r="W411" s="40" t="str">
        <f t="shared" si="96"/>
        <v>0a</v>
      </c>
      <c r="X411" s="40" t="str">
        <f t="shared" si="96"/>
        <v>0a</v>
      </c>
      <c r="Y411" s="40" t="str">
        <f t="shared" si="96"/>
        <v>0a</v>
      </c>
      <c r="Z411" s="40" t="str">
        <f t="shared" si="96"/>
        <v>0a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35">
      <c r="A412" s="1283"/>
      <c r="B412" s="22">
        <v>11</v>
      </c>
      <c r="C412" s="40" t="str">
        <f t="shared" si="95"/>
        <v>a</v>
      </c>
      <c r="D412" s="40" t="str">
        <f t="shared" si="95"/>
        <v>a</v>
      </c>
      <c r="E412" s="40" t="str">
        <f t="shared" si="95"/>
        <v>a</v>
      </c>
      <c r="F412" s="40" t="str">
        <f t="shared" si="95"/>
        <v>a</v>
      </c>
      <c r="G412" s="40" t="str">
        <f t="shared" si="95"/>
        <v>a</v>
      </c>
      <c r="H412" s="40" t="str">
        <f t="shared" si="95"/>
        <v>a</v>
      </c>
      <c r="I412" s="40" t="str">
        <f t="shared" si="95"/>
        <v>a</v>
      </c>
      <c r="J412" s="40" t="str">
        <f t="shared" si="95"/>
        <v>a</v>
      </c>
      <c r="K412" s="40" t="str">
        <f t="shared" si="95"/>
        <v>0a</v>
      </c>
      <c r="L412" s="40" t="str">
        <f t="shared" si="95"/>
        <v>b</v>
      </c>
      <c r="M412" s="40" t="str">
        <f t="shared" si="95"/>
        <v>b</v>
      </c>
      <c r="N412" s="40" t="str">
        <f t="shared" si="95"/>
        <v>b</v>
      </c>
      <c r="O412" s="40" t="str">
        <f t="shared" si="95"/>
        <v>b</v>
      </c>
      <c r="P412" s="40" t="str">
        <f t="shared" si="95"/>
        <v>0a</v>
      </c>
      <c r="Q412" s="40" t="str">
        <f t="shared" si="95"/>
        <v>0a</v>
      </c>
      <c r="R412" s="40" t="str">
        <f t="shared" si="95"/>
        <v>0a</v>
      </c>
      <c r="S412" s="40" t="str">
        <f t="shared" si="96"/>
        <v>0a</v>
      </c>
      <c r="T412" s="40" t="str">
        <f t="shared" si="96"/>
        <v>0a</v>
      </c>
      <c r="U412" s="40" t="str">
        <f t="shared" si="96"/>
        <v>0a</v>
      </c>
      <c r="V412" s="40" t="str">
        <f t="shared" si="96"/>
        <v>0a</v>
      </c>
      <c r="W412" s="40" t="str">
        <f t="shared" si="96"/>
        <v>0a</v>
      </c>
      <c r="X412" s="40" t="str">
        <f t="shared" si="96"/>
        <v>0a</v>
      </c>
      <c r="Y412" s="40" t="str">
        <f t="shared" si="96"/>
        <v>0a</v>
      </c>
      <c r="Z412" s="40" t="str">
        <f t="shared" si="96"/>
        <v>0a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" thickBot="1" x14ac:dyDescent="0.4">
      <c r="A413" s="1284"/>
      <c r="B413" s="23">
        <v>12</v>
      </c>
      <c r="C413" s="40" t="str">
        <f t="shared" si="95"/>
        <v>a</v>
      </c>
      <c r="D413" s="40" t="str">
        <f t="shared" si="95"/>
        <v>a</v>
      </c>
      <c r="E413" s="40" t="str">
        <f t="shared" si="95"/>
        <v>a</v>
      </c>
      <c r="F413" s="40" t="str">
        <f t="shared" si="95"/>
        <v>a</v>
      </c>
      <c r="G413" s="40" t="str">
        <f t="shared" si="95"/>
        <v>a</v>
      </c>
      <c r="H413" s="40" t="str">
        <f t="shared" si="95"/>
        <v>a</v>
      </c>
      <c r="I413" s="40" t="str">
        <f t="shared" si="95"/>
        <v>a</v>
      </c>
      <c r="J413" s="40" t="str">
        <f t="shared" si="95"/>
        <v>a</v>
      </c>
      <c r="K413" s="40" t="str">
        <f t="shared" si="95"/>
        <v>0a</v>
      </c>
      <c r="L413" s="40" t="str">
        <f t="shared" si="95"/>
        <v>b</v>
      </c>
      <c r="M413" s="40" t="str">
        <f t="shared" si="95"/>
        <v>b</v>
      </c>
      <c r="N413" s="40" t="str">
        <f t="shared" si="95"/>
        <v>b</v>
      </c>
      <c r="O413" s="40" t="str">
        <f t="shared" si="95"/>
        <v>b</v>
      </c>
      <c r="P413" s="40" t="str">
        <f t="shared" si="95"/>
        <v>0a</v>
      </c>
      <c r="Q413" s="40" t="str">
        <f t="shared" si="95"/>
        <v>0a</v>
      </c>
      <c r="R413" s="40" t="str">
        <f t="shared" si="95"/>
        <v>0a</v>
      </c>
      <c r="S413" s="40" t="str">
        <f t="shared" si="96"/>
        <v>0a</v>
      </c>
      <c r="T413" s="40" t="str">
        <f t="shared" si="96"/>
        <v>0a</v>
      </c>
      <c r="U413" s="40" t="str">
        <f t="shared" si="96"/>
        <v>0a</v>
      </c>
      <c r="V413" s="40" t="str">
        <f t="shared" si="96"/>
        <v>0a</v>
      </c>
      <c r="W413" s="40" t="str">
        <f t="shared" si="96"/>
        <v>0a</v>
      </c>
      <c r="X413" s="40" t="str">
        <f t="shared" si="96"/>
        <v>0a</v>
      </c>
      <c r="Y413" s="40" t="str">
        <f t="shared" si="96"/>
        <v>0a</v>
      </c>
      <c r="Z413" s="40" t="str">
        <f t="shared" si="96"/>
        <v>0a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" thickBot="1" x14ac:dyDescent="0.4"/>
    <row r="416" spans="1:63" x14ac:dyDescent="0.35">
      <c r="A416" s="1285"/>
      <c r="B416" s="1286"/>
      <c r="C416" s="1289" t="s">
        <v>17</v>
      </c>
      <c r="D416" s="1289"/>
      <c r="E416" s="1289"/>
      <c r="F416" s="1289"/>
      <c r="G416" s="1289"/>
      <c r="H416" s="1289"/>
      <c r="I416" s="1289"/>
      <c r="J416" s="1289"/>
      <c r="K416" s="1289"/>
      <c r="L416" s="1289"/>
      <c r="M416" s="1289"/>
      <c r="N416" s="1289"/>
      <c r="O416" s="1289"/>
      <c r="P416" s="1289"/>
      <c r="Q416" s="1289"/>
      <c r="R416" s="1289"/>
      <c r="S416" s="1289"/>
      <c r="T416" s="1289"/>
      <c r="U416" s="1289"/>
      <c r="V416" s="1290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" thickBot="1" x14ac:dyDescent="0.4">
      <c r="A417" s="1287"/>
      <c r="B417" s="1288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35">
      <c r="A418" s="1283" t="s">
        <v>18</v>
      </c>
      <c r="B418" s="21">
        <v>1</v>
      </c>
      <c r="C418" s="40">
        <f>IFERROR(INDEX(Data!$BI$46:$BJ$56,MATCH(Data!BR46,Data!$BI$46:$BI$56,0),2),"")</f>
        <v>1130198</v>
      </c>
      <c r="D418" s="40">
        <f>IFERROR(INDEX(Data!$BI$46:$BJ$56,MATCH(Data!BS46,Data!$BI$46:$BI$56,0),2),"")</f>
        <v>1130198</v>
      </c>
      <c r="E418" s="40">
        <f>IFERROR(INDEX(Data!$BI$46:$BJ$56,MATCH(Data!BT46,Data!$BI$46:$BI$56,0),2),"")</f>
        <v>1130198</v>
      </c>
      <c r="F418" s="40">
        <f>IFERROR(INDEX(Data!$BI$46:$BJ$56,MATCH(Data!BU46,Data!$BI$46:$BI$56,0),2),"")</f>
        <v>1130198</v>
      </c>
      <c r="G418" s="40">
        <f>IFERROR(INDEX(Data!$BI$46:$BJ$56,MATCH(Data!BV46,Data!$BI$46:$BI$56,0),2),"")</f>
        <v>1130198</v>
      </c>
      <c r="H418" s="40">
        <f>IFERROR(INDEX(Data!$BI$46:$BJ$56,MATCH(Data!BW46,Data!$BI$46:$BI$56,0),2),"")</f>
        <v>1130198</v>
      </c>
      <c r="I418" s="40">
        <f>IFERROR(INDEX(Data!$BI$46:$BJ$56,MATCH(Data!BX46,Data!$BI$46:$BI$56,0),2),"")</f>
        <v>1130198</v>
      </c>
      <c r="J418" s="40">
        <f>IFERROR(INDEX(Data!$BI$46:$BJ$56,MATCH(Data!BY46,Data!$BI$46:$BI$56,0),2),"")</f>
        <v>418525</v>
      </c>
      <c r="K418" s="40">
        <f>IFERROR(INDEX(Data!$BI$46:$BJ$56,MATCH(Data!BZ46,Data!$BI$46:$BI$56,0),2),"")</f>
        <v>0</v>
      </c>
      <c r="L418" s="40">
        <f>IFERROR(INDEX(Data!$BI$46:$BJ$56,MATCH(Data!CA46,Data!$BI$46:$BI$56,0),2),"")</f>
        <v>647435</v>
      </c>
      <c r="M418" s="40">
        <f>IFERROR(INDEX(Data!$BI$46:$BJ$56,MATCH(Data!CB46,Data!$BI$46:$BI$56,0),2),"")</f>
        <v>647435</v>
      </c>
      <c r="N418" s="40">
        <f>IFERROR(INDEX(Data!$BI$46:$BJ$56,MATCH(Data!CC46,Data!$BI$46:$BI$56,0),2),"")</f>
        <v>647435</v>
      </c>
      <c r="O418" s="40">
        <f>IFERROR(INDEX(Data!$BI$46:$BJ$56,MATCH(Data!CD46,Data!$BI$46:$BI$56,0),2),"")</f>
        <v>647435</v>
      </c>
      <c r="P418" s="40">
        <f>IFERROR(INDEX(Data!$BI$46:$BJ$56,MATCH(Data!CE46,Data!$BI$46:$BI$56,0),2),"")</f>
        <v>0</v>
      </c>
      <c r="Q418" s="40">
        <f>IFERROR(INDEX(Data!$BI$46:$BJ$56,MATCH(Data!CF46,Data!$BI$46:$BI$56,0),2),"")</f>
        <v>0</v>
      </c>
      <c r="R418" s="40">
        <f>IFERROR(INDEX(Data!$BI$46:$BJ$56,MATCH(Data!CG46,Data!$BI$46:$BI$56,0),2),"")</f>
        <v>0</v>
      </c>
      <c r="S418" s="40">
        <f>IFERROR(INDEX(Data!$BI$46:$BJ$56,MATCH(Data!CH46,Data!$BI$46:$BI$56,0),2),"")</f>
        <v>0</v>
      </c>
      <c r="T418" s="40">
        <f>IFERROR(INDEX(Data!$BI$46:$BJ$56,MATCH(Data!CI46,Data!$BI$46:$BI$56,0),2),"")</f>
        <v>0</v>
      </c>
      <c r="U418" s="40">
        <f>IFERROR(INDEX(Data!$BI$46:$BJ$56,MATCH(Data!CJ46,Data!$BI$46:$BI$56,0),2),"")</f>
        <v>0</v>
      </c>
      <c r="V418" s="40">
        <f>IFERROR(INDEX(Data!$BI$46:$BJ$56,MATCH(Data!CK46,Data!$BI$46:$BI$56,0),2),"")</f>
        <v>0</v>
      </c>
      <c r="W418" s="40">
        <f>IFERROR(INDEX(Data!$BI$46:$BJ$56,MATCH(Data!CL46,Data!$BI$46:$BI$56,0),2),"")</f>
        <v>0</v>
      </c>
      <c r="X418" s="40">
        <f>IFERROR(INDEX(Data!$BI$46:$BJ$56,MATCH(Data!CM46,Data!$BI$46:$BI$56,0),2),"")</f>
        <v>0</v>
      </c>
      <c r="Y418" s="40">
        <f>IFERROR(INDEX(Data!$BI$46:$BJ$56,MATCH(Data!CN46,Data!$BI$46:$BI$56,0),2),"")</f>
        <v>0</v>
      </c>
      <c r="Z418" s="40">
        <f>IFERROR(INDEX(Data!$BI$46:$BJ$56,MATCH(Data!CO46,Data!$BI$46:$BI$56,0),2),"")</f>
        <v>0</v>
      </c>
      <c r="AA418" s="40">
        <f>IFERROR(INDEX(Data!$BI$46:$BJ$56,MATCH(Data!CP46,Data!$BI$46:$BI$56,0),2),"")</f>
        <v>0</v>
      </c>
      <c r="AB418" s="40">
        <f>IFERROR(INDEX(Data!$BI$46:$BJ$56,MATCH(Data!CQ46,Data!$BI$46:$BI$56,0),2),"")</f>
        <v>0</v>
      </c>
      <c r="AC418" s="40">
        <f>IFERROR(INDEX(Data!$BI$46:$BJ$56,MATCH(Data!CR46,Data!$BI$46:$BI$56,0),2),"")</f>
        <v>0</v>
      </c>
      <c r="AD418" s="40">
        <f>IFERROR(INDEX(Data!$BI$46:$BJ$56,MATCH(Data!CS46,Data!$BI$46:$BI$56,0),2),"")</f>
        <v>0</v>
      </c>
      <c r="AE418" s="40">
        <f>IFERROR(INDEX(Data!$BI$46:$BJ$56,MATCH(Data!CT46,Data!$BI$46:$BI$56,0),2),"")</f>
        <v>0</v>
      </c>
      <c r="AF418" s="40">
        <f>IFERROR(INDEX(Data!$BI$46:$BJ$56,MATCH(Data!CU46,Data!$BI$46:$BI$56,0),2),"")</f>
        <v>0</v>
      </c>
      <c r="AG418" s="40">
        <f>IFERROR(INDEX(Data!$BI$46:$BJ$56,MATCH(Data!CV46,Data!$BI$46:$BI$56,0),2),"")</f>
        <v>0</v>
      </c>
      <c r="AH418" s="40">
        <f>IFERROR(INDEX(Data!$BI$46:$BJ$56,MATCH(Data!CW46,Data!$BI$46:$BI$56,0),2),"")</f>
        <v>0</v>
      </c>
      <c r="AI418" s="40">
        <f>IFERROR(INDEX(Data!$BI$46:$BJ$56,MATCH(Data!CX46,Data!$BI$46:$BI$56,0),2),"")</f>
        <v>0</v>
      </c>
    </row>
    <row r="419" spans="1:35" x14ac:dyDescent="0.35">
      <c r="A419" s="1283"/>
      <c r="B419" s="22">
        <v>2</v>
      </c>
      <c r="C419" s="40">
        <f>IFERROR(INDEX(Data!$BI$46:$BJ$56,MATCH(Data!BR47,Data!$BI$46:$BI$56,0),2),"")</f>
        <v>1130198</v>
      </c>
      <c r="D419" s="40">
        <f>IFERROR(INDEX(Data!$BI$46:$BJ$56,MATCH(Data!BS47,Data!$BI$46:$BI$56,0),2),"")</f>
        <v>1130198</v>
      </c>
      <c r="E419" s="40">
        <f>IFERROR(INDEX(Data!$BI$46:$BJ$56,MATCH(Data!BT47,Data!$BI$46:$BI$56,0),2),"")</f>
        <v>1130198</v>
      </c>
      <c r="F419" s="40">
        <f>IFERROR(INDEX(Data!$BI$46:$BJ$56,MATCH(Data!BU47,Data!$BI$46:$BI$56,0),2),"")</f>
        <v>1130198</v>
      </c>
      <c r="G419" s="40">
        <f>IFERROR(INDEX(Data!$BI$46:$BJ$56,MATCH(Data!BV47,Data!$BI$46:$BI$56,0),2),"")</f>
        <v>418525</v>
      </c>
      <c r="H419" s="40">
        <f>IFERROR(INDEX(Data!$BI$46:$BJ$56,MATCH(Data!BW47,Data!$BI$46:$BI$56,0),2),"")</f>
        <v>0</v>
      </c>
      <c r="I419" s="40">
        <f>IFERROR(INDEX(Data!$BI$46:$BJ$56,MATCH(Data!BX47,Data!$BI$46:$BI$56,0),2),"")</f>
        <v>0</v>
      </c>
      <c r="J419" s="40">
        <f>IFERROR(INDEX(Data!$BI$46:$BJ$56,MATCH(Data!BY47,Data!$BI$46:$BI$56,0),2),"")</f>
        <v>0</v>
      </c>
      <c r="K419" s="40">
        <f>IFERROR(INDEX(Data!$BI$46:$BJ$56,MATCH(Data!BZ47,Data!$BI$46:$BI$56,0),2),"")</f>
        <v>0</v>
      </c>
      <c r="L419" s="40">
        <f>IFERROR(INDEX(Data!$BI$46:$BJ$56,MATCH(Data!CA47,Data!$BI$46:$BI$56,0),2),"")</f>
        <v>647435</v>
      </c>
      <c r="M419" s="40">
        <f>IFERROR(INDEX(Data!$BI$46:$BJ$56,MATCH(Data!CB47,Data!$BI$46:$BI$56,0),2),"")</f>
        <v>647435</v>
      </c>
      <c r="N419" s="40">
        <f>IFERROR(INDEX(Data!$BI$46:$BJ$56,MATCH(Data!CC47,Data!$BI$46:$BI$56,0),2),"")</f>
        <v>647435</v>
      </c>
      <c r="O419" s="40">
        <f>IFERROR(INDEX(Data!$BI$46:$BJ$56,MATCH(Data!CD47,Data!$BI$46:$BI$56,0),2),"")</f>
        <v>647435</v>
      </c>
      <c r="P419" s="40">
        <f>IFERROR(INDEX(Data!$BI$46:$BJ$56,MATCH(Data!CE47,Data!$BI$46:$BI$56,0),2),"")</f>
        <v>0</v>
      </c>
      <c r="Q419" s="40">
        <f>IFERROR(INDEX(Data!$BI$46:$BJ$56,MATCH(Data!CF47,Data!$BI$46:$BI$56,0),2),"")</f>
        <v>0</v>
      </c>
      <c r="R419" s="40">
        <f>IFERROR(INDEX(Data!$BI$46:$BJ$56,MATCH(Data!CG47,Data!$BI$46:$BI$56,0),2),"")</f>
        <v>0</v>
      </c>
      <c r="S419" s="40">
        <f>IFERROR(INDEX(Data!$BI$46:$BJ$56,MATCH(Data!CH47,Data!$BI$46:$BI$56,0),2),"")</f>
        <v>0</v>
      </c>
      <c r="T419" s="40">
        <f>IFERROR(INDEX(Data!$BI$46:$BJ$56,MATCH(Data!CI47,Data!$BI$46:$BI$56,0),2),"")</f>
        <v>0</v>
      </c>
      <c r="U419" s="40">
        <f>IFERROR(INDEX(Data!$BI$46:$BJ$56,MATCH(Data!CJ47,Data!$BI$46:$BI$56,0),2),"")</f>
        <v>0</v>
      </c>
      <c r="V419" s="40">
        <f>IFERROR(INDEX(Data!$BI$46:$BJ$56,MATCH(Data!CK47,Data!$BI$46:$BI$56,0),2),"")</f>
        <v>0</v>
      </c>
      <c r="W419" s="40">
        <f>IFERROR(INDEX(Data!$BI$46:$BJ$56,MATCH(Data!CL47,Data!$BI$46:$BI$56,0),2),"")</f>
        <v>0</v>
      </c>
      <c r="X419" s="40">
        <f>IFERROR(INDEX(Data!$BI$46:$BJ$56,MATCH(Data!CM47,Data!$BI$46:$BI$56,0),2),"")</f>
        <v>0</v>
      </c>
      <c r="Y419" s="40">
        <f>IFERROR(INDEX(Data!$BI$46:$BJ$56,MATCH(Data!CN47,Data!$BI$46:$BI$56,0),2),"")</f>
        <v>0</v>
      </c>
      <c r="Z419" s="40">
        <f>IFERROR(INDEX(Data!$BI$46:$BJ$56,MATCH(Data!CO47,Data!$BI$46:$BI$56,0),2),"")</f>
        <v>0</v>
      </c>
      <c r="AA419" s="40">
        <f>IFERROR(INDEX(Data!$BI$46:$BJ$56,MATCH(Data!CP47,Data!$BI$46:$BI$56,0),2),"")</f>
        <v>0</v>
      </c>
      <c r="AB419" s="40">
        <f>IFERROR(INDEX(Data!$BI$46:$BJ$56,MATCH(Data!CQ47,Data!$BI$46:$BI$56,0),2),"")</f>
        <v>0</v>
      </c>
      <c r="AC419" s="40">
        <f>IFERROR(INDEX(Data!$BI$46:$BJ$56,MATCH(Data!CR47,Data!$BI$46:$BI$56,0),2),"")</f>
        <v>0</v>
      </c>
      <c r="AD419" s="40">
        <f>IFERROR(INDEX(Data!$BI$46:$BJ$56,MATCH(Data!CS47,Data!$BI$46:$BI$56,0),2),"")</f>
        <v>0</v>
      </c>
      <c r="AE419" s="40">
        <f>IFERROR(INDEX(Data!$BI$46:$BJ$56,MATCH(Data!CT47,Data!$BI$46:$BI$56,0),2),"")</f>
        <v>0</v>
      </c>
      <c r="AF419" s="40">
        <f>IFERROR(INDEX(Data!$BI$46:$BJ$56,MATCH(Data!CU47,Data!$BI$46:$BI$56,0),2),"")</f>
        <v>0</v>
      </c>
      <c r="AG419" s="40">
        <f>IFERROR(INDEX(Data!$BI$46:$BJ$56,MATCH(Data!CV47,Data!$BI$46:$BI$56,0),2),"")</f>
        <v>0</v>
      </c>
      <c r="AH419" s="40">
        <f>IFERROR(INDEX(Data!$BI$46:$BJ$56,MATCH(Data!CW47,Data!$BI$46:$BI$56,0),2),"")</f>
        <v>0</v>
      </c>
      <c r="AI419" s="40">
        <f>IFERROR(INDEX(Data!$BI$46:$BJ$56,MATCH(Data!CX47,Data!$BI$46:$BI$56,0),2),"")</f>
        <v>0</v>
      </c>
    </row>
    <row r="420" spans="1:35" x14ac:dyDescent="0.35">
      <c r="A420" s="1283"/>
      <c r="B420" s="22">
        <v>3</v>
      </c>
      <c r="C420" s="40">
        <f>IFERROR(INDEX(Data!$BI$46:$BJ$56,MATCH(Data!BR48,Data!$BI$46:$BI$56,0),2),"")</f>
        <v>1130198</v>
      </c>
      <c r="D420" s="40">
        <f>IFERROR(INDEX(Data!$BI$46:$BJ$56,MATCH(Data!BS48,Data!$BI$46:$BI$56,0),2),"")</f>
        <v>1130198</v>
      </c>
      <c r="E420" s="40">
        <f>IFERROR(INDEX(Data!$BI$46:$BJ$56,MATCH(Data!BT48,Data!$BI$46:$BI$56,0),2),"")</f>
        <v>1130198</v>
      </c>
      <c r="F420" s="40">
        <f>IFERROR(INDEX(Data!$BI$46:$BJ$56,MATCH(Data!BU48,Data!$BI$46:$BI$56,0),2),"")</f>
        <v>1130198</v>
      </c>
      <c r="G420" s="40">
        <f>IFERROR(INDEX(Data!$BI$46:$BJ$56,MATCH(Data!BV48,Data!$BI$46:$BI$56,0),2),"")</f>
        <v>1130198</v>
      </c>
      <c r="H420" s="40">
        <f>IFERROR(INDEX(Data!$BI$46:$BJ$56,MATCH(Data!BW48,Data!$BI$46:$BI$56,0),2),"")</f>
        <v>1130198</v>
      </c>
      <c r="I420" s="40">
        <f>IFERROR(INDEX(Data!$BI$46:$BJ$56,MATCH(Data!BX48,Data!$BI$46:$BI$56,0),2),"")</f>
        <v>418525</v>
      </c>
      <c r="J420" s="40">
        <f>IFERROR(INDEX(Data!$BI$46:$BJ$56,MATCH(Data!BY48,Data!$BI$46:$BI$56,0),2),"")</f>
        <v>0</v>
      </c>
      <c r="K420" s="40">
        <f>IFERROR(INDEX(Data!$BI$46:$BJ$56,MATCH(Data!BZ48,Data!$BI$46:$BI$56,0),2),"")</f>
        <v>0</v>
      </c>
      <c r="L420" s="40">
        <f>IFERROR(INDEX(Data!$BI$46:$BJ$56,MATCH(Data!CA48,Data!$BI$46:$BI$56,0),2),"")</f>
        <v>647435</v>
      </c>
      <c r="M420" s="40">
        <f>IFERROR(INDEX(Data!$BI$46:$BJ$56,MATCH(Data!CB48,Data!$BI$46:$BI$56,0),2),"")</f>
        <v>647435</v>
      </c>
      <c r="N420" s="40">
        <f>IFERROR(INDEX(Data!$BI$46:$BJ$56,MATCH(Data!CC48,Data!$BI$46:$BI$56,0),2),"")</f>
        <v>647435</v>
      </c>
      <c r="O420" s="40">
        <f>IFERROR(INDEX(Data!$BI$46:$BJ$56,MATCH(Data!CD48,Data!$BI$46:$BI$56,0),2),"")</f>
        <v>0</v>
      </c>
      <c r="P420" s="40">
        <f>IFERROR(INDEX(Data!$BI$46:$BJ$56,MATCH(Data!CE48,Data!$BI$46:$BI$56,0),2),"")</f>
        <v>0</v>
      </c>
      <c r="Q420" s="40">
        <f>IFERROR(INDEX(Data!$BI$46:$BJ$56,MATCH(Data!CF48,Data!$BI$46:$BI$56,0),2),"")</f>
        <v>0</v>
      </c>
      <c r="R420" s="40">
        <f>IFERROR(INDEX(Data!$BI$46:$BJ$56,MATCH(Data!CG48,Data!$BI$46:$BI$56,0),2),"")</f>
        <v>0</v>
      </c>
      <c r="S420" s="40">
        <f>IFERROR(INDEX(Data!$BI$46:$BJ$56,MATCH(Data!CH48,Data!$BI$46:$BI$56,0),2),"")</f>
        <v>0</v>
      </c>
      <c r="T420" s="40">
        <f>IFERROR(INDEX(Data!$BI$46:$BJ$56,MATCH(Data!CI48,Data!$BI$46:$BI$56,0),2),"")</f>
        <v>0</v>
      </c>
      <c r="U420" s="40">
        <f>IFERROR(INDEX(Data!$BI$46:$BJ$56,MATCH(Data!CJ48,Data!$BI$46:$BI$56,0),2),"")</f>
        <v>0</v>
      </c>
      <c r="V420" s="40">
        <f>IFERROR(INDEX(Data!$BI$46:$BJ$56,MATCH(Data!CK48,Data!$BI$46:$BI$56,0),2),"")</f>
        <v>0</v>
      </c>
      <c r="W420" s="40">
        <f>IFERROR(INDEX(Data!$BI$46:$BJ$56,MATCH(Data!CL48,Data!$BI$46:$BI$56,0),2),"")</f>
        <v>0</v>
      </c>
      <c r="X420" s="40">
        <f>IFERROR(INDEX(Data!$BI$46:$BJ$56,MATCH(Data!CM48,Data!$BI$46:$BI$56,0),2),"")</f>
        <v>0</v>
      </c>
      <c r="Y420" s="40">
        <f>IFERROR(INDEX(Data!$BI$46:$BJ$56,MATCH(Data!CN48,Data!$BI$46:$BI$56,0),2),"")</f>
        <v>0</v>
      </c>
      <c r="Z420" s="40">
        <f>IFERROR(INDEX(Data!$BI$46:$BJ$56,MATCH(Data!CO48,Data!$BI$46:$BI$56,0),2),"")</f>
        <v>0</v>
      </c>
      <c r="AA420" s="40">
        <f>IFERROR(INDEX(Data!$BI$46:$BJ$56,MATCH(Data!CP48,Data!$BI$46:$BI$56,0),2),"")</f>
        <v>0</v>
      </c>
      <c r="AB420" s="40">
        <f>IFERROR(INDEX(Data!$BI$46:$BJ$56,MATCH(Data!CQ48,Data!$BI$46:$BI$56,0),2),"")</f>
        <v>0</v>
      </c>
      <c r="AC420" s="40">
        <f>IFERROR(INDEX(Data!$BI$46:$BJ$56,MATCH(Data!CR48,Data!$BI$46:$BI$56,0),2),"")</f>
        <v>0</v>
      </c>
      <c r="AD420" s="40">
        <f>IFERROR(INDEX(Data!$BI$46:$BJ$56,MATCH(Data!CS48,Data!$BI$46:$BI$56,0),2),"")</f>
        <v>0</v>
      </c>
      <c r="AE420" s="40">
        <f>IFERROR(INDEX(Data!$BI$46:$BJ$56,MATCH(Data!CT48,Data!$BI$46:$BI$56,0),2),"")</f>
        <v>0</v>
      </c>
      <c r="AF420" s="40">
        <f>IFERROR(INDEX(Data!$BI$46:$BJ$56,MATCH(Data!CU48,Data!$BI$46:$BI$56,0),2),"")</f>
        <v>0</v>
      </c>
      <c r="AG420" s="40">
        <f>IFERROR(INDEX(Data!$BI$46:$BJ$56,MATCH(Data!CV48,Data!$BI$46:$BI$56,0),2),"")</f>
        <v>0</v>
      </c>
      <c r="AH420" s="40">
        <f>IFERROR(INDEX(Data!$BI$46:$BJ$56,MATCH(Data!CW48,Data!$BI$46:$BI$56,0),2),"")</f>
        <v>0</v>
      </c>
      <c r="AI420" s="40">
        <f>IFERROR(INDEX(Data!$BI$46:$BJ$56,MATCH(Data!CX48,Data!$BI$46:$BI$56,0),2),"")</f>
        <v>0</v>
      </c>
    </row>
    <row r="421" spans="1:35" x14ac:dyDescent="0.35">
      <c r="A421" s="1283"/>
      <c r="B421" s="22">
        <v>4</v>
      </c>
      <c r="C421" s="40">
        <f>IFERROR(INDEX(Data!$BI$46:$BJ$56,MATCH(Data!BR49,Data!$BI$46:$BI$56,0),2),"")</f>
        <v>1130198</v>
      </c>
      <c r="D421" s="40">
        <f>IFERROR(INDEX(Data!$BI$46:$BJ$56,MATCH(Data!BS49,Data!$BI$46:$BI$56,0),2),"")</f>
        <v>1130198</v>
      </c>
      <c r="E421" s="40">
        <f>IFERROR(INDEX(Data!$BI$46:$BJ$56,MATCH(Data!BT49,Data!$BI$46:$BI$56,0),2),"")</f>
        <v>1130198</v>
      </c>
      <c r="F421" s="40">
        <f>IFERROR(INDEX(Data!$BI$46:$BJ$56,MATCH(Data!BU49,Data!$BI$46:$BI$56,0),2),"")</f>
        <v>1130198</v>
      </c>
      <c r="G421" s="40">
        <f>IFERROR(INDEX(Data!$BI$46:$BJ$56,MATCH(Data!BV49,Data!$BI$46:$BI$56,0),2),"")</f>
        <v>1130198</v>
      </c>
      <c r="H421" s="40">
        <f>IFERROR(INDEX(Data!$BI$46:$BJ$56,MATCH(Data!BW49,Data!$BI$46:$BI$56,0),2),"")</f>
        <v>418525</v>
      </c>
      <c r="I421" s="40">
        <f>IFERROR(INDEX(Data!$BI$46:$BJ$56,MATCH(Data!BX49,Data!$BI$46:$BI$56,0),2),"")</f>
        <v>0</v>
      </c>
      <c r="J421" s="40">
        <f>IFERROR(INDEX(Data!$BI$46:$BJ$56,MATCH(Data!BY49,Data!$BI$46:$BI$56,0),2),"")</f>
        <v>0</v>
      </c>
      <c r="K421" s="40">
        <f>IFERROR(INDEX(Data!$BI$46:$BJ$56,MATCH(Data!BZ49,Data!$BI$46:$BI$56,0),2),"")</f>
        <v>0</v>
      </c>
      <c r="L421" s="40">
        <f>IFERROR(INDEX(Data!$BI$46:$BJ$56,MATCH(Data!CA49,Data!$BI$46:$BI$56,0),2),"")</f>
        <v>647435</v>
      </c>
      <c r="M421" s="40">
        <f>IFERROR(INDEX(Data!$BI$46:$BJ$56,MATCH(Data!CB49,Data!$BI$46:$BI$56,0),2),"")</f>
        <v>647435</v>
      </c>
      <c r="N421" s="40">
        <f>IFERROR(INDEX(Data!$BI$46:$BJ$56,MATCH(Data!CC49,Data!$BI$46:$BI$56,0),2),"")</f>
        <v>647435</v>
      </c>
      <c r="O421" s="40">
        <f>IFERROR(INDEX(Data!$BI$46:$BJ$56,MATCH(Data!CD49,Data!$BI$46:$BI$56,0),2),"")</f>
        <v>647435</v>
      </c>
      <c r="P421" s="40">
        <f>IFERROR(INDEX(Data!$BI$46:$BJ$56,MATCH(Data!CE49,Data!$BI$46:$BI$56,0),2),"")</f>
        <v>0</v>
      </c>
      <c r="Q421" s="40">
        <f>IFERROR(INDEX(Data!$BI$46:$BJ$56,MATCH(Data!CF49,Data!$BI$46:$BI$56,0),2),"")</f>
        <v>0</v>
      </c>
      <c r="R421" s="40">
        <f>IFERROR(INDEX(Data!$BI$46:$BJ$56,MATCH(Data!CG49,Data!$BI$46:$BI$56,0),2),"")</f>
        <v>0</v>
      </c>
      <c r="S421" s="40">
        <f>IFERROR(INDEX(Data!$BI$46:$BJ$56,MATCH(Data!CH49,Data!$BI$46:$BI$56,0),2),"")</f>
        <v>0</v>
      </c>
      <c r="T421" s="40">
        <f>IFERROR(INDEX(Data!$BI$46:$BJ$56,MATCH(Data!CI49,Data!$BI$46:$BI$56,0),2),"")</f>
        <v>0</v>
      </c>
      <c r="U421" s="40">
        <f>IFERROR(INDEX(Data!$BI$46:$BJ$56,MATCH(Data!CJ49,Data!$BI$46:$BI$56,0),2),"")</f>
        <v>0</v>
      </c>
      <c r="V421" s="40">
        <f>IFERROR(INDEX(Data!$BI$46:$BJ$56,MATCH(Data!CK49,Data!$BI$46:$BI$56,0),2),"")</f>
        <v>0</v>
      </c>
      <c r="W421" s="40">
        <f>IFERROR(INDEX(Data!$BI$46:$BJ$56,MATCH(Data!CL49,Data!$BI$46:$BI$56,0),2),"")</f>
        <v>0</v>
      </c>
      <c r="X421" s="40">
        <f>IFERROR(INDEX(Data!$BI$46:$BJ$56,MATCH(Data!CM49,Data!$BI$46:$BI$56,0),2),"")</f>
        <v>0</v>
      </c>
      <c r="Y421" s="40">
        <f>IFERROR(INDEX(Data!$BI$46:$BJ$56,MATCH(Data!CN49,Data!$BI$46:$BI$56,0),2),"")</f>
        <v>0</v>
      </c>
      <c r="Z421" s="40">
        <f>IFERROR(INDEX(Data!$BI$46:$BJ$56,MATCH(Data!CO49,Data!$BI$46:$BI$56,0),2),"")</f>
        <v>0</v>
      </c>
      <c r="AA421" s="40">
        <f>IFERROR(INDEX(Data!$BI$46:$BJ$56,MATCH(Data!CP49,Data!$BI$46:$BI$56,0),2),"")</f>
        <v>0</v>
      </c>
      <c r="AB421" s="40">
        <f>IFERROR(INDEX(Data!$BI$46:$BJ$56,MATCH(Data!CQ49,Data!$BI$46:$BI$56,0),2),"")</f>
        <v>0</v>
      </c>
      <c r="AC421" s="40">
        <f>IFERROR(INDEX(Data!$BI$46:$BJ$56,MATCH(Data!CR49,Data!$BI$46:$BI$56,0),2),"")</f>
        <v>0</v>
      </c>
      <c r="AD421" s="40">
        <f>IFERROR(INDEX(Data!$BI$46:$BJ$56,MATCH(Data!CS49,Data!$BI$46:$BI$56,0),2),"")</f>
        <v>0</v>
      </c>
      <c r="AE421" s="40">
        <f>IFERROR(INDEX(Data!$BI$46:$BJ$56,MATCH(Data!CT49,Data!$BI$46:$BI$56,0),2),"")</f>
        <v>0</v>
      </c>
      <c r="AF421" s="40">
        <f>IFERROR(INDEX(Data!$BI$46:$BJ$56,MATCH(Data!CU49,Data!$BI$46:$BI$56,0),2),"")</f>
        <v>0</v>
      </c>
      <c r="AG421" s="40">
        <f>IFERROR(INDEX(Data!$BI$46:$BJ$56,MATCH(Data!CV49,Data!$BI$46:$BI$56,0),2),"")</f>
        <v>0</v>
      </c>
      <c r="AH421" s="40">
        <f>IFERROR(INDEX(Data!$BI$46:$BJ$56,MATCH(Data!CW49,Data!$BI$46:$BI$56,0),2),"")</f>
        <v>0</v>
      </c>
      <c r="AI421" s="40">
        <f>IFERROR(INDEX(Data!$BI$46:$BJ$56,MATCH(Data!CX49,Data!$BI$46:$BI$56,0),2),"")</f>
        <v>0</v>
      </c>
    </row>
    <row r="422" spans="1:35" x14ac:dyDescent="0.35">
      <c r="A422" s="1283"/>
      <c r="B422" s="22">
        <v>5</v>
      </c>
      <c r="C422" s="40">
        <f>IFERROR(INDEX(Data!$BI$46:$BJ$56,MATCH(Data!BR50,Data!$BI$46:$BI$56,0),2),"")</f>
        <v>1130198</v>
      </c>
      <c r="D422" s="40">
        <f>IFERROR(INDEX(Data!$BI$46:$BJ$56,MATCH(Data!BS50,Data!$BI$46:$BI$56,0),2),"")</f>
        <v>1130198</v>
      </c>
      <c r="E422" s="40">
        <f>IFERROR(INDEX(Data!$BI$46:$BJ$56,MATCH(Data!BT50,Data!$BI$46:$BI$56,0),2),"")</f>
        <v>1130198</v>
      </c>
      <c r="F422" s="40">
        <f>IFERROR(INDEX(Data!$BI$46:$BJ$56,MATCH(Data!BU50,Data!$BI$46:$BI$56,0),2),"")</f>
        <v>1130198</v>
      </c>
      <c r="G422" s="40">
        <f>IFERROR(INDEX(Data!$BI$46:$BJ$56,MATCH(Data!BV50,Data!$BI$46:$BI$56,0),2),"")</f>
        <v>1130198</v>
      </c>
      <c r="H422" s="40">
        <f>IFERROR(INDEX(Data!$BI$46:$BJ$56,MATCH(Data!BW50,Data!$BI$46:$BI$56,0),2),"")</f>
        <v>1130198</v>
      </c>
      <c r="I422" s="40">
        <f>IFERROR(INDEX(Data!$BI$46:$BJ$56,MATCH(Data!BX50,Data!$BI$46:$BI$56,0),2),"")</f>
        <v>1130198</v>
      </c>
      <c r="J422" s="40">
        <f>IFERROR(INDEX(Data!$BI$46:$BJ$56,MATCH(Data!BY50,Data!$BI$46:$BI$56,0),2),"")</f>
        <v>418525</v>
      </c>
      <c r="K422" s="40">
        <f>IFERROR(INDEX(Data!$BI$46:$BJ$56,MATCH(Data!BZ50,Data!$BI$46:$BI$56,0),2),"")</f>
        <v>0</v>
      </c>
      <c r="L422" s="40">
        <f>IFERROR(INDEX(Data!$BI$46:$BJ$56,MATCH(Data!CA50,Data!$BI$46:$BI$56,0),2),"")</f>
        <v>647435</v>
      </c>
      <c r="M422" s="40">
        <f>IFERROR(INDEX(Data!$BI$46:$BJ$56,MATCH(Data!CB50,Data!$BI$46:$BI$56,0),2),"")</f>
        <v>647435</v>
      </c>
      <c r="N422" s="40">
        <f>IFERROR(INDEX(Data!$BI$46:$BJ$56,MATCH(Data!CC50,Data!$BI$46:$BI$56,0),2),"")</f>
        <v>647435</v>
      </c>
      <c r="O422" s="40">
        <f>IFERROR(INDEX(Data!$BI$46:$BJ$56,MATCH(Data!CD50,Data!$BI$46:$BI$56,0),2),"")</f>
        <v>647435</v>
      </c>
      <c r="P422" s="40">
        <f>IFERROR(INDEX(Data!$BI$46:$BJ$56,MATCH(Data!CE50,Data!$BI$46:$BI$56,0),2),"")</f>
        <v>0</v>
      </c>
      <c r="Q422" s="40">
        <f>IFERROR(INDEX(Data!$BI$46:$BJ$56,MATCH(Data!CF50,Data!$BI$46:$BI$56,0),2),"")</f>
        <v>0</v>
      </c>
      <c r="R422" s="40">
        <f>IFERROR(INDEX(Data!$BI$46:$BJ$56,MATCH(Data!CG50,Data!$BI$46:$BI$56,0),2),"")</f>
        <v>0</v>
      </c>
      <c r="S422" s="40">
        <f>IFERROR(INDEX(Data!$BI$46:$BJ$56,MATCH(Data!CH50,Data!$BI$46:$BI$56,0),2),"")</f>
        <v>0</v>
      </c>
      <c r="T422" s="40">
        <f>IFERROR(INDEX(Data!$BI$46:$BJ$56,MATCH(Data!CI50,Data!$BI$46:$BI$56,0),2),"")</f>
        <v>0</v>
      </c>
      <c r="U422" s="40">
        <f>IFERROR(INDEX(Data!$BI$46:$BJ$56,MATCH(Data!CJ50,Data!$BI$46:$BI$56,0),2),"")</f>
        <v>0</v>
      </c>
      <c r="V422" s="40">
        <f>IFERROR(INDEX(Data!$BI$46:$BJ$56,MATCH(Data!CK50,Data!$BI$46:$BI$56,0),2),"")</f>
        <v>0</v>
      </c>
      <c r="W422" s="40">
        <f>IFERROR(INDEX(Data!$BI$46:$BJ$56,MATCH(Data!CL50,Data!$BI$46:$BI$56,0),2),"")</f>
        <v>0</v>
      </c>
      <c r="X422" s="40">
        <f>IFERROR(INDEX(Data!$BI$46:$BJ$56,MATCH(Data!CM50,Data!$BI$46:$BI$56,0),2),"")</f>
        <v>0</v>
      </c>
      <c r="Y422" s="40">
        <f>IFERROR(INDEX(Data!$BI$46:$BJ$56,MATCH(Data!CN50,Data!$BI$46:$BI$56,0),2),"")</f>
        <v>0</v>
      </c>
      <c r="Z422" s="40">
        <f>IFERROR(INDEX(Data!$BI$46:$BJ$56,MATCH(Data!CO50,Data!$BI$46:$BI$56,0),2),"")</f>
        <v>0</v>
      </c>
      <c r="AA422" s="40">
        <f>IFERROR(INDEX(Data!$BI$46:$BJ$56,MATCH(Data!CP50,Data!$BI$46:$BI$56,0),2),"")</f>
        <v>0</v>
      </c>
      <c r="AB422" s="40">
        <f>IFERROR(INDEX(Data!$BI$46:$BJ$56,MATCH(Data!CQ50,Data!$BI$46:$BI$56,0),2),"")</f>
        <v>0</v>
      </c>
      <c r="AC422" s="40">
        <f>IFERROR(INDEX(Data!$BI$46:$BJ$56,MATCH(Data!CR50,Data!$BI$46:$BI$56,0),2),"")</f>
        <v>0</v>
      </c>
      <c r="AD422" s="40">
        <f>IFERROR(INDEX(Data!$BI$46:$BJ$56,MATCH(Data!CS50,Data!$BI$46:$BI$56,0),2),"")</f>
        <v>0</v>
      </c>
      <c r="AE422" s="40">
        <f>IFERROR(INDEX(Data!$BI$46:$BJ$56,MATCH(Data!CT50,Data!$BI$46:$BI$56,0),2),"")</f>
        <v>0</v>
      </c>
      <c r="AF422" s="40">
        <f>IFERROR(INDEX(Data!$BI$46:$BJ$56,MATCH(Data!CU50,Data!$BI$46:$BI$56,0),2),"")</f>
        <v>0</v>
      </c>
      <c r="AG422" s="40">
        <f>IFERROR(INDEX(Data!$BI$46:$BJ$56,MATCH(Data!CV50,Data!$BI$46:$BI$56,0),2),"")</f>
        <v>0</v>
      </c>
      <c r="AH422" s="40">
        <f>IFERROR(INDEX(Data!$BI$46:$BJ$56,MATCH(Data!CW50,Data!$BI$46:$BI$56,0),2),"")</f>
        <v>0</v>
      </c>
      <c r="AI422" s="40">
        <f>IFERROR(INDEX(Data!$BI$46:$BJ$56,MATCH(Data!CX50,Data!$BI$46:$BI$56,0),2),"")</f>
        <v>0</v>
      </c>
    </row>
    <row r="423" spans="1:35" x14ac:dyDescent="0.35">
      <c r="A423" s="1283"/>
      <c r="B423" s="22">
        <v>6</v>
      </c>
      <c r="C423" s="40">
        <f>IFERROR(INDEX(Data!$BI$46:$BJ$56,MATCH(Data!BR51,Data!$BI$46:$BI$56,0),2),"")</f>
        <v>1130198</v>
      </c>
      <c r="D423" s="40">
        <f>IFERROR(INDEX(Data!$BI$46:$BJ$56,MATCH(Data!BS51,Data!$BI$46:$BI$56,0),2),"")</f>
        <v>1130198</v>
      </c>
      <c r="E423" s="40">
        <f>IFERROR(INDEX(Data!$BI$46:$BJ$56,MATCH(Data!BT51,Data!$BI$46:$BI$56,0),2),"")</f>
        <v>1130198</v>
      </c>
      <c r="F423" s="40">
        <f>IFERROR(INDEX(Data!$BI$46:$BJ$56,MATCH(Data!BU51,Data!$BI$46:$BI$56,0),2),"")</f>
        <v>1130198</v>
      </c>
      <c r="G423" s="40">
        <f>IFERROR(INDEX(Data!$BI$46:$BJ$56,MATCH(Data!BV51,Data!$BI$46:$BI$56,0),2),"")</f>
        <v>418525</v>
      </c>
      <c r="H423" s="40">
        <f>IFERROR(INDEX(Data!$BI$46:$BJ$56,MATCH(Data!BW51,Data!$BI$46:$BI$56,0),2),"")</f>
        <v>0</v>
      </c>
      <c r="I423" s="40">
        <f>IFERROR(INDEX(Data!$BI$46:$BJ$56,MATCH(Data!BX51,Data!$BI$46:$BI$56,0),2),"")</f>
        <v>0</v>
      </c>
      <c r="J423" s="40">
        <f>IFERROR(INDEX(Data!$BI$46:$BJ$56,MATCH(Data!BY51,Data!$BI$46:$BI$56,0),2),"")</f>
        <v>0</v>
      </c>
      <c r="K423" s="40">
        <f>IFERROR(INDEX(Data!$BI$46:$BJ$56,MATCH(Data!BZ51,Data!$BI$46:$BI$56,0),2),"")</f>
        <v>0</v>
      </c>
      <c r="L423" s="40">
        <f>IFERROR(INDEX(Data!$BI$46:$BJ$56,MATCH(Data!CA51,Data!$BI$46:$BI$56,0),2),"")</f>
        <v>647435</v>
      </c>
      <c r="M423" s="40">
        <f>IFERROR(INDEX(Data!$BI$46:$BJ$56,MATCH(Data!CB51,Data!$BI$46:$BI$56,0),2),"")</f>
        <v>647435</v>
      </c>
      <c r="N423" s="40">
        <f>IFERROR(INDEX(Data!$BI$46:$BJ$56,MATCH(Data!CC51,Data!$BI$46:$BI$56,0),2),"")</f>
        <v>647435</v>
      </c>
      <c r="O423" s="40">
        <f>IFERROR(INDEX(Data!$BI$46:$BJ$56,MATCH(Data!CD51,Data!$BI$46:$BI$56,0),2),"")</f>
        <v>647435</v>
      </c>
      <c r="P423" s="40">
        <f>IFERROR(INDEX(Data!$BI$46:$BJ$56,MATCH(Data!CE51,Data!$BI$46:$BI$56,0),2),"")</f>
        <v>0</v>
      </c>
      <c r="Q423" s="40">
        <f>IFERROR(INDEX(Data!$BI$46:$BJ$56,MATCH(Data!CF51,Data!$BI$46:$BI$56,0),2),"")</f>
        <v>0</v>
      </c>
      <c r="R423" s="40">
        <f>IFERROR(INDEX(Data!$BI$46:$BJ$56,MATCH(Data!CG51,Data!$BI$46:$BI$56,0),2),"")</f>
        <v>0</v>
      </c>
      <c r="S423" s="40">
        <f>IFERROR(INDEX(Data!$BI$46:$BJ$56,MATCH(Data!CH51,Data!$BI$46:$BI$56,0),2),"")</f>
        <v>0</v>
      </c>
      <c r="T423" s="40">
        <f>IFERROR(INDEX(Data!$BI$46:$BJ$56,MATCH(Data!CI51,Data!$BI$46:$BI$56,0),2),"")</f>
        <v>0</v>
      </c>
      <c r="U423" s="40">
        <f>IFERROR(INDEX(Data!$BI$46:$BJ$56,MATCH(Data!CJ51,Data!$BI$46:$BI$56,0),2),"")</f>
        <v>0</v>
      </c>
      <c r="V423" s="40">
        <f>IFERROR(INDEX(Data!$BI$46:$BJ$56,MATCH(Data!CK51,Data!$BI$46:$BI$56,0),2),"")</f>
        <v>0</v>
      </c>
      <c r="W423" s="40">
        <f>IFERROR(INDEX(Data!$BI$46:$BJ$56,MATCH(Data!CL51,Data!$BI$46:$BI$56,0),2),"")</f>
        <v>0</v>
      </c>
      <c r="X423" s="40">
        <f>IFERROR(INDEX(Data!$BI$46:$BJ$56,MATCH(Data!CM51,Data!$BI$46:$BI$56,0),2),"")</f>
        <v>0</v>
      </c>
      <c r="Y423" s="40">
        <f>IFERROR(INDEX(Data!$BI$46:$BJ$56,MATCH(Data!CN51,Data!$BI$46:$BI$56,0),2),"")</f>
        <v>0</v>
      </c>
      <c r="Z423" s="40">
        <f>IFERROR(INDEX(Data!$BI$46:$BJ$56,MATCH(Data!CO51,Data!$BI$46:$BI$56,0),2),"")</f>
        <v>0</v>
      </c>
      <c r="AA423" s="40">
        <f>IFERROR(INDEX(Data!$BI$46:$BJ$56,MATCH(Data!CP51,Data!$BI$46:$BI$56,0),2),"")</f>
        <v>0</v>
      </c>
      <c r="AB423" s="40">
        <f>IFERROR(INDEX(Data!$BI$46:$BJ$56,MATCH(Data!CQ51,Data!$BI$46:$BI$56,0),2),"")</f>
        <v>0</v>
      </c>
      <c r="AC423" s="40">
        <f>IFERROR(INDEX(Data!$BI$46:$BJ$56,MATCH(Data!CR51,Data!$BI$46:$BI$56,0),2),"")</f>
        <v>0</v>
      </c>
      <c r="AD423" s="40">
        <f>IFERROR(INDEX(Data!$BI$46:$BJ$56,MATCH(Data!CS51,Data!$BI$46:$BI$56,0),2),"")</f>
        <v>0</v>
      </c>
      <c r="AE423" s="40">
        <f>IFERROR(INDEX(Data!$BI$46:$BJ$56,MATCH(Data!CT51,Data!$BI$46:$BI$56,0),2),"")</f>
        <v>0</v>
      </c>
      <c r="AF423" s="40">
        <f>IFERROR(INDEX(Data!$BI$46:$BJ$56,MATCH(Data!CU51,Data!$BI$46:$BI$56,0),2),"")</f>
        <v>0</v>
      </c>
      <c r="AG423" s="40">
        <f>IFERROR(INDEX(Data!$BI$46:$BJ$56,MATCH(Data!CV51,Data!$BI$46:$BI$56,0),2),"")</f>
        <v>0</v>
      </c>
      <c r="AH423" s="40">
        <f>IFERROR(INDEX(Data!$BI$46:$BJ$56,MATCH(Data!CW51,Data!$BI$46:$BI$56,0),2),"")</f>
        <v>0</v>
      </c>
      <c r="AI423" s="40">
        <f>IFERROR(INDEX(Data!$BI$46:$BJ$56,MATCH(Data!CX51,Data!$BI$46:$BI$56,0),2),"")</f>
        <v>0</v>
      </c>
    </row>
    <row r="424" spans="1:35" x14ac:dyDescent="0.35">
      <c r="A424" s="1283"/>
      <c r="B424" s="22">
        <v>7</v>
      </c>
      <c r="C424" s="40" t="str">
        <f>IFERROR(INDEX(Data!$BI$46:$BJ$56,MATCH(Data!BR52,Data!$BI$46:$BI$56,0),2),"")</f>
        <v/>
      </c>
      <c r="D424" s="40" t="str">
        <f>IFERROR(INDEX(Data!$BI$46:$BJ$56,MATCH(Data!BS52,Data!$BI$46:$BI$56,0),2),"")</f>
        <v/>
      </c>
      <c r="E424" s="40" t="str">
        <f>IFERROR(INDEX(Data!$BI$46:$BJ$56,MATCH(Data!BT52,Data!$BI$46:$BI$56,0),2),"")</f>
        <v/>
      </c>
      <c r="F424" s="40" t="str">
        <f>IFERROR(INDEX(Data!$BI$46:$BJ$56,MATCH(Data!BU52,Data!$BI$46:$BI$56,0),2),"")</f>
        <v/>
      </c>
      <c r="G424" s="40" t="str">
        <f>IFERROR(INDEX(Data!$BI$46:$BJ$56,MATCH(Data!BV52,Data!$BI$46:$BI$56,0),2),"")</f>
        <v/>
      </c>
      <c r="H424" s="40" t="str">
        <f>IFERROR(INDEX(Data!$BI$46:$BJ$56,MATCH(Data!BW52,Data!$BI$46:$BI$56,0),2),"")</f>
        <v/>
      </c>
      <c r="I424" s="40" t="str">
        <f>IFERROR(INDEX(Data!$BI$46:$BJ$56,MATCH(Data!BX52,Data!$BI$46:$BI$56,0),2),"")</f>
        <v/>
      </c>
      <c r="J424" s="40" t="str">
        <f>IFERROR(INDEX(Data!$BI$46:$BJ$56,MATCH(Data!BY52,Data!$BI$46:$BI$56,0),2),"")</f>
        <v/>
      </c>
      <c r="K424" s="40" t="str">
        <f>IFERROR(INDEX(Data!$BI$46:$BJ$56,MATCH(Data!BZ52,Data!$BI$46:$BI$56,0),2),"")</f>
        <v/>
      </c>
      <c r="L424" s="40" t="str">
        <f>IFERROR(INDEX(Data!$BI$46:$BJ$56,MATCH(Data!CA52,Data!$BI$46:$BI$56,0),2),"")</f>
        <v/>
      </c>
      <c r="M424" s="40" t="str">
        <f>IFERROR(INDEX(Data!$BI$46:$BJ$56,MATCH(Data!CB52,Data!$BI$46:$BI$56,0),2),"")</f>
        <v/>
      </c>
      <c r="N424" s="40" t="str">
        <f>IFERROR(INDEX(Data!$BI$46:$BJ$56,MATCH(Data!CC52,Data!$BI$46:$BI$56,0),2),"")</f>
        <v/>
      </c>
      <c r="O424" s="40" t="str">
        <f>IFERROR(INDEX(Data!$BI$46:$BJ$56,MATCH(Data!CD52,Data!$BI$46:$BI$56,0),2),"")</f>
        <v/>
      </c>
      <c r="P424" s="40" t="str">
        <f>IFERROR(INDEX(Data!$BI$46:$BJ$56,MATCH(Data!CE52,Data!$BI$46:$BI$56,0),2),"")</f>
        <v/>
      </c>
      <c r="Q424" s="40" t="str">
        <f>IFERROR(INDEX(Data!$BI$46:$BJ$56,MATCH(Data!CF52,Data!$BI$46:$BI$56,0),2),"")</f>
        <v/>
      </c>
      <c r="R424" s="40" t="str">
        <f>IFERROR(INDEX(Data!$BI$46:$BJ$56,MATCH(Data!CG52,Data!$BI$46:$BI$56,0),2),"")</f>
        <v/>
      </c>
      <c r="S424" s="40" t="str">
        <f>IFERROR(INDEX(Data!$BI$46:$BJ$56,MATCH(Data!CH52,Data!$BI$46:$BI$56,0),2),"")</f>
        <v/>
      </c>
      <c r="T424" s="40" t="str">
        <f>IFERROR(INDEX(Data!$BI$46:$BJ$56,MATCH(Data!CI52,Data!$BI$46:$BI$56,0),2),"")</f>
        <v/>
      </c>
      <c r="U424" s="40" t="str">
        <f>IFERROR(INDEX(Data!$BI$46:$BJ$56,MATCH(Data!CJ52,Data!$BI$46:$BI$56,0),2),"")</f>
        <v/>
      </c>
      <c r="V424" s="40" t="str">
        <f>IFERROR(INDEX(Data!$BI$46:$BJ$56,MATCH(Data!CK52,Data!$BI$46:$BI$56,0),2),"")</f>
        <v/>
      </c>
      <c r="W424" s="40" t="str">
        <f>IFERROR(INDEX(Data!$BI$46:$BJ$56,MATCH(Data!CL52,Data!$BI$46:$BI$56,0),2),"")</f>
        <v/>
      </c>
      <c r="X424" s="40" t="str">
        <f>IFERROR(INDEX(Data!$BI$46:$BJ$56,MATCH(Data!CM52,Data!$BI$46:$BI$56,0),2),"")</f>
        <v/>
      </c>
      <c r="Y424" s="40" t="str">
        <f>IFERROR(INDEX(Data!$BI$46:$BJ$56,MATCH(Data!CN52,Data!$BI$46:$BI$56,0),2),"")</f>
        <v/>
      </c>
      <c r="Z424" s="40" t="str">
        <f>IFERROR(INDEX(Data!$BI$46:$BJ$56,MATCH(Data!CO52,Data!$BI$46:$BI$56,0),2),"")</f>
        <v/>
      </c>
      <c r="AA424" s="40" t="str">
        <f>IFERROR(INDEX(Data!$BI$46:$BJ$56,MATCH(Data!CP52,Data!$BI$46:$BI$56,0),2),"")</f>
        <v/>
      </c>
      <c r="AB424" s="40" t="str">
        <f>IFERROR(INDEX(Data!$BI$46:$BJ$56,MATCH(Data!CQ52,Data!$BI$46:$BI$56,0),2),"")</f>
        <v/>
      </c>
      <c r="AC424" s="40" t="str">
        <f>IFERROR(INDEX(Data!$BI$46:$BJ$56,MATCH(Data!CR52,Data!$BI$46:$BI$56,0),2),"")</f>
        <v/>
      </c>
      <c r="AD424" s="40" t="str">
        <f>IFERROR(INDEX(Data!$BI$46:$BJ$56,MATCH(Data!CS52,Data!$BI$46:$BI$56,0),2),"")</f>
        <v/>
      </c>
      <c r="AE424" s="40" t="str">
        <f>IFERROR(INDEX(Data!$BI$46:$BJ$56,MATCH(Data!CT52,Data!$BI$46:$BI$56,0),2),"")</f>
        <v/>
      </c>
      <c r="AF424" s="40" t="str">
        <f>IFERROR(INDEX(Data!$BI$46:$BJ$56,MATCH(Data!CU52,Data!$BI$46:$BI$56,0),2),"")</f>
        <v/>
      </c>
      <c r="AG424" s="40" t="str">
        <f>IFERROR(INDEX(Data!$BI$46:$BJ$56,MATCH(Data!CV52,Data!$BI$46:$BI$56,0),2),"")</f>
        <v/>
      </c>
      <c r="AH424" s="40" t="str">
        <f>IFERROR(INDEX(Data!$BI$46:$BJ$56,MATCH(Data!CW52,Data!$BI$46:$BI$56,0),2),"")</f>
        <v/>
      </c>
      <c r="AI424" s="40" t="str">
        <f>IFERROR(INDEX(Data!$BI$46:$BJ$56,MATCH(Data!CX52,Data!$BI$46:$BI$56,0),2),"")</f>
        <v/>
      </c>
    </row>
    <row r="425" spans="1:35" x14ac:dyDescent="0.35">
      <c r="A425" s="1283"/>
      <c r="B425" s="22">
        <v>8</v>
      </c>
      <c r="C425" s="40" t="str">
        <f>IFERROR(INDEX(Data!$BI$46:$BJ$56,MATCH(Data!BR53,Data!$BI$46:$BI$56,0),2),"")</f>
        <v/>
      </c>
      <c r="D425" s="40" t="str">
        <f>IFERROR(INDEX(Data!$BI$46:$BJ$56,MATCH(Data!BS53,Data!$BI$46:$BI$56,0),2),"")</f>
        <v/>
      </c>
      <c r="E425" s="40" t="str">
        <f>IFERROR(INDEX(Data!$BI$46:$BJ$56,MATCH(Data!BT53,Data!$BI$46:$BI$56,0),2),"")</f>
        <v/>
      </c>
      <c r="F425" s="40" t="str">
        <f>IFERROR(INDEX(Data!$BI$46:$BJ$56,MATCH(Data!BU53,Data!$BI$46:$BI$56,0),2),"")</f>
        <v/>
      </c>
      <c r="G425" s="40" t="str">
        <f>IFERROR(INDEX(Data!$BI$46:$BJ$56,MATCH(Data!BV53,Data!$BI$46:$BI$56,0),2),"")</f>
        <v/>
      </c>
      <c r="H425" s="40" t="str">
        <f>IFERROR(INDEX(Data!$BI$46:$BJ$56,MATCH(Data!BW53,Data!$BI$46:$BI$56,0),2),"")</f>
        <v/>
      </c>
      <c r="I425" s="40" t="str">
        <f>IFERROR(INDEX(Data!$BI$46:$BJ$56,MATCH(Data!BX53,Data!$BI$46:$BI$56,0),2),"")</f>
        <v/>
      </c>
      <c r="J425" s="40" t="str">
        <f>IFERROR(INDEX(Data!$BI$46:$BJ$56,MATCH(Data!BY53,Data!$BI$46:$BI$56,0),2),"")</f>
        <v/>
      </c>
      <c r="K425" s="40" t="str">
        <f>IFERROR(INDEX(Data!$BI$46:$BJ$56,MATCH(Data!BZ53,Data!$BI$46:$BI$56,0),2),"")</f>
        <v/>
      </c>
      <c r="L425" s="40" t="str">
        <f>IFERROR(INDEX(Data!$BI$46:$BJ$56,MATCH(Data!CA53,Data!$BI$46:$BI$56,0),2),"")</f>
        <v/>
      </c>
      <c r="M425" s="40" t="str">
        <f>IFERROR(INDEX(Data!$BI$46:$BJ$56,MATCH(Data!CB53,Data!$BI$46:$BI$56,0),2),"")</f>
        <v/>
      </c>
      <c r="N425" s="40" t="str">
        <f>IFERROR(INDEX(Data!$BI$46:$BJ$56,MATCH(Data!CC53,Data!$BI$46:$BI$56,0),2),"")</f>
        <v/>
      </c>
      <c r="O425" s="40" t="str">
        <f>IFERROR(INDEX(Data!$BI$46:$BJ$56,MATCH(Data!CD53,Data!$BI$46:$BI$56,0),2),"")</f>
        <v/>
      </c>
      <c r="P425" s="40" t="str">
        <f>IFERROR(INDEX(Data!$BI$46:$BJ$56,MATCH(Data!CE53,Data!$BI$46:$BI$56,0),2),"")</f>
        <v/>
      </c>
      <c r="Q425" s="40" t="str">
        <f>IFERROR(INDEX(Data!$BI$46:$BJ$56,MATCH(Data!CF53,Data!$BI$46:$BI$56,0),2),"")</f>
        <v/>
      </c>
      <c r="R425" s="40" t="str">
        <f>IFERROR(INDEX(Data!$BI$46:$BJ$56,MATCH(Data!CG53,Data!$BI$46:$BI$56,0),2),"")</f>
        <v/>
      </c>
      <c r="S425" s="40" t="str">
        <f>IFERROR(INDEX(Data!$BI$46:$BJ$56,MATCH(Data!CH53,Data!$BI$46:$BI$56,0),2),"")</f>
        <v/>
      </c>
      <c r="T425" s="40" t="str">
        <f>IFERROR(INDEX(Data!$BI$46:$BJ$56,MATCH(Data!CI53,Data!$BI$46:$BI$56,0),2),"")</f>
        <v/>
      </c>
      <c r="U425" s="40" t="str">
        <f>IFERROR(INDEX(Data!$BI$46:$BJ$56,MATCH(Data!CJ53,Data!$BI$46:$BI$56,0),2),"")</f>
        <v/>
      </c>
      <c r="V425" s="40" t="str">
        <f>IFERROR(INDEX(Data!$BI$46:$BJ$56,MATCH(Data!CK53,Data!$BI$46:$BI$56,0),2),"")</f>
        <v/>
      </c>
      <c r="W425" s="40" t="str">
        <f>IFERROR(INDEX(Data!$BI$46:$BJ$56,MATCH(Data!CL53,Data!$BI$46:$BI$56,0),2),"")</f>
        <v/>
      </c>
      <c r="X425" s="40" t="str">
        <f>IFERROR(INDEX(Data!$BI$46:$BJ$56,MATCH(Data!CM53,Data!$BI$46:$BI$56,0),2),"")</f>
        <v/>
      </c>
      <c r="Y425" s="40" t="str">
        <f>IFERROR(INDEX(Data!$BI$46:$BJ$56,MATCH(Data!CN53,Data!$BI$46:$BI$56,0),2),"")</f>
        <v/>
      </c>
      <c r="Z425" s="40" t="str">
        <f>IFERROR(INDEX(Data!$BI$46:$BJ$56,MATCH(Data!CO53,Data!$BI$46:$BI$56,0),2),"")</f>
        <v/>
      </c>
      <c r="AA425" s="40" t="str">
        <f>IFERROR(INDEX(Data!$BI$46:$BJ$56,MATCH(Data!CP53,Data!$BI$46:$BI$56,0),2),"")</f>
        <v/>
      </c>
      <c r="AB425" s="40" t="str">
        <f>IFERROR(INDEX(Data!$BI$46:$BJ$56,MATCH(Data!CQ53,Data!$BI$46:$BI$56,0),2),"")</f>
        <v/>
      </c>
      <c r="AC425" s="40" t="str">
        <f>IFERROR(INDEX(Data!$BI$46:$BJ$56,MATCH(Data!CR53,Data!$BI$46:$BI$56,0),2),"")</f>
        <v/>
      </c>
      <c r="AD425" s="40" t="str">
        <f>IFERROR(INDEX(Data!$BI$46:$BJ$56,MATCH(Data!CS53,Data!$BI$46:$BI$56,0),2),"")</f>
        <v/>
      </c>
      <c r="AE425" s="40" t="str">
        <f>IFERROR(INDEX(Data!$BI$46:$BJ$56,MATCH(Data!CT53,Data!$BI$46:$BI$56,0),2),"")</f>
        <v/>
      </c>
      <c r="AF425" s="40" t="str">
        <f>IFERROR(INDEX(Data!$BI$46:$BJ$56,MATCH(Data!CU53,Data!$BI$46:$BI$56,0),2),"")</f>
        <v/>
      </c>
      <c r="AG425" s="40" t="str">
        <f>IFERROR(INDEX(Data!$BI$46:$BJ$56,MATCH(Data!CV53,Data!$BI$46:$BI$56,0),2),"")</f>
        <v/>
      </c>
      <c r="AH425" s="40" t="str">
        <f>IFERROR(INDEX(Data!$BI$46:$BJ$56,MATCH(Data!CW53,Data!$BI$46:$BI$56,0),2),"")</f>
        <v/>
      </c>
      <c r="AI425" s="40" t="str">
        <f>IFERROR(INDEX(Data!$BI$46:$BJ$56,MATCH(Data!CX53,Data!$BI$46:$BI$56,0),2),"")</f>
        <v/>
      </c>
    </row>
    <row r="426" spans="1:35" x14ac:dyDescent="0.35">
      <c r="A426" s="1283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35">
      <c r="A427" s="1283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35">
      <c r="A428" s="1283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" thickBot="1" x14ac:dyDescent="0.4">
      <c r="A429" s="1284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" thickBot="1" x14ac:dyDescent="0.4"/>
    <row r="432" spans="1:35" x14ac:dyDescent="0.35">
      <c r="A432" s="1285"/>
      <c r="B432" s="1286"/>
      <c r="C432" s="1289" t="s">
        <v>17</v>
      </c>
      <c r="D432" s="1289"/>
      <c r="E432" s="1289"/>
      <c r="F432" s="1289"/>
      <c r="G432" s="1289"/>
      <c r="H432" s="1289"/>
      <c r="I432" s="1289"/>
      <c r="J432" s="1289"/>
      <c r="K432" s="1289"/>
      <c r="L432" s="1289"/>
      <c r="M432" s="1289"/>
      <c r="N432" s="1289"/>
      <c r="O432" s="1289"/>
      <c r="P432" s="1289"/>
      <c r="Q432" s="1289"/>
      <c r="R432" s="1289"/>
      <c r="S432" s="1289"/>
      <c r="T432" s="1289"/>
      <c r="U432" s="1289"/>
      <c r="V432" s="1290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" thickBot="1" x14ac:dyDescent="0.4">
      <c r="A433" s="1287"/>
      <c r="B433" s="1288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35">
      <c r="A434" s="1283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0</v>
      </c>
      <c r="J434" s="40" t="b">
        <f t="shared" si="97"/>
        <v>1</v>
      </c>
      <c r="K434" s="40" t="b">
        <f t="shared" si="97"/>
        <v>1</v>
      </c>
      <c r="L434" s="40" t="b">
        <f>OR(COUNTIF(L418,418525),COUNTIF(K418,418525),COUNTIF(J418,418525))</f>
        <v>1</v>
      </c>
      <c r="M434" s="40" t="b">
        <f t="shared" ref="M434:AI434" si="98">OR(COUNTIF(M418,418525),COUNTIF(L418,418525),COUNTIF(K418,418525))</f>
        <v>0</v>
      </c>
      <c r="N434" s="40" t="b">
        <f t="shared" si="98"/>
        <v>0</v>
      </c>
      <c r="O434" s="40" t="b">
        <f t="shared" si="98"/>
        <v>0</v>
      </c>
      <c r="P434" s="40" t="b">
        <f t="shared" si="98"/>
        <v>0</v>
      </c>
      <c r="Q434" s="40" t="b">
        <f t="shared" si="98"/>
        <v>0</v>
      </c>
      <c r="R434" s="40" t="b">
        <f t="shared" si="98"/>
        <v>0</v>
      </c>
      <c r="S434" s="40" t="b">
        <f>OR(COUNTIF(S418,418525),COUNTIF(R418,418525),COUNTIF(Q418,418525))</f>
        <v>0</v>
      </c>
      <c r="T434" s="40" t="b">
        <f t="shared" si="98"/>
        <v>0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35">
      <c r="A435" s="1283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0</v>
      </c>
      <c r="G435" s="40" t="b">
        <f t="shared" ref="G435:G445" si="103">OR(COUNTIF(G419,418525),COUNTIF(F419,418525),COUNTIF(E419,418525))</f>
        <v>1</v>
      </c>
      <c r="H435" s="40" t="b">
        <f t="shared" ref="H435:H445" si="104">OR(COUNTIF(H419,418525),COUNTIF(G419,418525),COUNTIF(F419,418525))</f>
        <v>1</v>
      </c>
      <c r="I435" s="40" t="b">
        <f t="shared" ref="I435:I445" si="105">OR(COUNTIF(I419,418525),COUNTIF(H419,418525),COUNTIF(G419,418525))</f>
        <v>1</v>
      </c>
      <c r="J435" s="40" t="b">
        <f t="shared" ref="J435:J445" si="106">OR(COUNTIF(J419,418525),COUNTIF(I419,418525),COUNTIF(H419,418525))</f>
        <v>0</v>
      </c>
      <c r="K435" s="40" t="b">
        <f t="shared" ref="K435:L445" si="107">OR(COUNTIF(K419,418525),COUNTIF(J419,418525),COUNTIF(I419,418525))</f>
        <v>0</v>
      </c>
      <c r="L435" s="40" t="b">
        <f t="shared" si="107"/>
        <v>0</v>
      </c>
      <c r="M435" s="40" t="b">
        <f t="shared" ref="M435:M445" si="108">OR(COUNTIF(M419,418525),COUNTIF(L419,418525),COUNTIF(K419,418525))</f>
        <v>0</v>
      </c>
      <c r="N435" s="40" t="b">
        <f t="shared" ref="N435:N445" si="109">OR(COUNTIF(N419,418525),COUNTIF(M419,418525),COUNTIF(L419,418525))</f>
        <v>0</v>
      </c>
      <c r="O435" s="40" t="b">
        <f t="shared" ref="O435:O445" si="110">OR(COUNTIF(O419,418525),COUNTIF(N419,418525),COUNTIF(M419,418525))</f>
        <v>0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35">
      <c r="A436" s="1283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0</v>
      </c>
      <c r="I436" s="40" t="b">
        <f t="shared" si="105"/>
        <v>1</v>
      </c>
      <c r="J436" s="40" t="b">
        <f t="shared" si="106"/>
        <v>1</v>
      </c>
      <c r="K436" s="40" t="b">
        <f t="shared" si="107"/>
        <v>1</v>
      </c>
      <c r="L436" s="40" t="b">
        <f t="shared" ref="L436:L445" si="130">OR(COUNTIF(L420,418525),COUNTIF(K420,418525),COUNTIF(J420,418525))</f>
        <v>0</v>
      </c>
      <c r="M436" s="40" t="b">
        <f t="shared" si="108"/>
        <v>0</v>
      </c>
      <c r="N436" s="40" t="b">
        <f t="shared" si="109"/>
        <v>0</v>
      </c>
      <c r="O436" s="40" t="b">
        <f t="shared" si="110"/>
        <v>0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35">
      <c r="A437" s="1283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1</v>
      </c>
      <c r="I437" s="40" t="b">
        <f t="shared" si="105"/>
        <v>1</v>
      </c>
      <c r="J437" s="40" t="b">
        <f t="shared" si="106"/>
        <v>1</v>
      </c>
      <c r="K437" s="40" t="b">
        <f t="shared" si="107"/>
        <v>0</v>
      </c>
      <c r="L437" s="40" t="b">
        <f t="shared" si="130"/>
        <v>0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0</v>
      </c>
      <c r="R437" s="40" t="b">
        <f t="shared" si="113"/>
        <v>0</v>
      </c>
      <c r="S437" s="40" t="b">
        <f t="shared" si="131"/>
        <v>0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35">
      <c r="A438" s="1283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0</v>
      </c>
      <c r="G438" s="40" t="b">
        <f t="shared" si="103"/>
        <v>0</v>
      </c>
      <c r="H438" s="40" t="b">
        <f t="shared" si="104"/>
        <v>0</v>
      </c>
      <c r="I438" s="40" t="b">
        <f t="shared" si="105"/>
        <v>0</v>
      </c>
      <c r="J438" s="40" t="b">
        <f t="shared" si="106"/>
        <v>1</v>
      </c>
      <c r="K438" s="40" t="b">
        <f t="shared" si="107"/>
        <v>1</v>
      </c>
      <c r="L438" s="40" t="b">
        <f t="shared" si="130"/>
        <v>1</v>
      </c>
      <c r="M438" s="40" t="b">
        <f t="shared" si="108"/>
        <v>0</v>
      </c>
      <c r="N438" s="40" t="b">
        <f t="shared" si="109"/>
        <v>0</v>
      </c>
      <c r="O438" s="40" t="b">
        <f t="shared" si="110"/>
        <v>0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35">
      <c r="A439" s="1283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1</v>
      </c>
      <c r="H439" s="40" t="b">
        <f t="shared" si="104"/>
        <v>1</v>
      </c>
      <c r="I439" s="40" t="b">
        <f t="shared" si="105"/>
        <v>1</v>
      </c>
      <c r="J439" s="40" t="b">
        <f t="shared" si="106"/>
        <v>0</v>
      </c>
      <c r="K439" s="40" t="b">
        <f t="shared" si="107"/>
        <v>0</v>
      </c>
      <c r="L439" s="40" t="b">
        <f t="shared" si="130"/>
        <v>0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0</v>
      </c>
      <c r="S439" s="40" t="b">
        <f t="shared" si="131"/>
        <v>0</v>
      </c>
      <c r="T439" s="40" t="b">
        <f t="shared" si="114"/>
        <v>0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35">
      <c r="A440" s="1283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0</v>
      </c>
      <c r="N440" s="40" t="b">
        <f t="shared" si="109"/>
        <v>0</v>
      </c>
      <c r="O440" s="40" t="b">
        <f t="shared" si="110"/>
        <v>0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35">
      <c r="A441" s="1283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0</v>
      </c>
      <c r="M441" s="40" t="b">
        <f t="shared" si="108"/>
        <v>0</v>
      </c>
      <c r="N441" s="40" t="b">
        <f t="shared" si="109"/>
        <v>0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35">
      <c r="A442" s="1283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35">
      <c r="A443" s="1283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35">
      <c r="A444" s="1283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" thickBot="1" x14ac:dyDescent="0.4">
      <c r="A445" s="1284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" thickBot="1" x14ac:dyDescent="0.4"/>
    <row r="449" spans="1:35" x14ac:dyDescent="0.35">
      <c r="A449" s="1285"/>
      <c r="B449" s="1286"/>
      <c r="C449" s="1289" t="s">
        <v>17</v>
      </c>
      <c r="D449" s="1289"/>
      <c r="E449" s="1289"/>
      <c r="F449" s="1289"/>
      <c r="G449" s="1289"/>
      <c r="H449" s="1289"/>
      <c r="I449" s="1289"/>
      <c r="J449" s="1289"/>
      <c r="K449" s="1289"/>
      <c r="L449" s="1289"/>
      <c r="M449" s="1289"/>
      <c r="N449" s="1289"/>
      <c r="O449" s="1289"/>
      <c r="P449" s="1289"/>
      <c r="Q449" s="1289"/>
      <c r="R449" s="1289"/>
      <c r="S449" s="1289"/>
      <c r="T449" s="1289"/>
      <c r="U449" s="1289"/>
      <c r="V449" s="1290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" thickBot="1" x14ac:dyDescent="0.4">
      <c r="A450" s="1287"/>
      <c r="B450" s="1288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35">
      <c r="A451" s="1283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>Prim</v>
      </c>
      <c r="D451" s="40" t="str">
        <f t="shared" si="132"/>
        <v>Prim</v>
      </c>
      <c r="E451" s="40" t="str">
        <f t="shared" si="132"/>
        <v>Prim</v>
      </c>
      <c r="F451" s="40" t="str">
        <f t="shared" si="132"/>
        <v>Prim</v>
      </c>
      <c r="G451" s="40" t="str">
        <f t="shared" si="132"/>
        <v>Prim</v>
      </c>
      <c r="H451" s="40" t="str">
        <f t="shared" si="132"/>
        <v>Prim</v>
      </c>
      <c r="I451" s="40" t="str">
        <f t="shared" si="132"/>
        <v>Prim</v>
      </c>
      <c r="J451" s="40" t="str">
        <f t="shared" si="132"/>
        <v>BR</v>
      </c>
      <c r="K451" s="40" t="str">
        <f t="shared" si="132"/>
        <v/>
      </c>
      <c r="L451" s="40" t="str">
        <f t="shared" si="132"/>
        <v>BU</v>
      </c>
      <c r="M451" s="40" t="str">
        <f t="shared" si="132"/>
        <v>BU</v>
      </c>
      <c r="N451" s="40" t="str">
        <f t="shared" si="132"/>
        <v>BU</v>
      </c>
      <c r="O451" s="40" t="str">
        <f t="shared" si="132"/>
        <v>BU</v>
      </c>
      <c r="P451" s="40" t="str">
        <f t="shared" si="132"/>
        <v/>
      </c>
      <c r="Q451" s="40" t="str">
        <f>IF(AND(COUNTIF(Q434,"TRUE"),COUNTIF(Q402,"a")),"BR",IF(COUNTIF(Q402,"a"),"Prim",IF(COUNTIF(Q402,"b"),"BU","")))</f>
        <v/>
      </c>
      <c r="R451" s="40" t="str">
        <f t="shared" ref="R451:AI451" si="133">IF(AND(COUNTIF(R434,"TRUE"),COUNTIF(R402,"a")),"BR",IF(COUNTIF(R402,"a"),"Prim",IF(COUNTIF(R402,"b"),"BU","")))</f>
        <v/>
      </c>
      <c r="S451" s="40" t="str">
        <f t="shared" si="133"/>
        <v/>
      </c>
      <c r="T451" s="40" t="str">
        <f t="shared" si="133"/>
        <v/>
      </c>
      <c r="U451" s="40" t="str">
        <f t="shared" si="133"/>
        <v/>
      </c>
      <c r="V451" s="40" t="str">
        <f t="shared" si="133"/>
        <v/>
      </c>
      <c r="W451" s="40" t="str">
        <f t="shared" si="133"/>
        <v/>
      </c>
      <c r="X451" s="40" t="str">
        <f t="shared" si="133"/>
        <v/>
      </c>
      <c r="Y451" s="40" t="str">
        <f t="shared" si="133"/>
        <v/>
      </c>
      <c r="Z451" s="40" t="str">
        <f t="shared" si="133"/>
        <v/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35">
      <c r="A452" s="1283"/>
      <c r="B452" s="22">
        <v>2</v>
      </c>
      <c r="C452" s="40" t="str">
        <f t="shared" ref="C452:AI452" si="134">IF(AND(COUNTIF(C435,"TRUE"),COUNTIF(C403,"a")),"BR",IF(COUNTIF(C403,"a"),"Prim",IF(COUNTIF(C403,"b"),"BU","")))</f>
        <v>Prim</v>
      </c>
      <c r="D452" s="40" t="str">
        <f t="shared" si="134"/>
        <v>Prim</v>
      </c>
      <c r="E452" s="40" t="str">
        <f t="shared" si="134"/>
        <v>Prim</v>
      </c>
      <c r="F452" s="40" t="str">
        <f t="shared" si="134"/>
        <v>Prim</v>
      </c>
      <c r="G452" s="40" t="str">
        <f t="shared" si="134"/>
        <v>BR</v>
      </c>
      <c r="H452" s="40" t="str">
        <f t="shared" si="134"/>
        <v>BR</v>
      </c>
      <c r="I452" s="40" t="str">
        <f t="shared" si="134"/>
        <v>BR</v>
      </c>
      <c r="J452" s="40" t="str">
        <f t="shared" si="134"/>
        <v>Prim</v>
      </c>
      <c r="K452" s="40" t="str">
        <f t="shared" si="134"/>
        <v/>
      </c>
      <c r="L452" s="40" t="str">
        <f t="shared" si="134"/>
        <v>BU</v>
      </c>
      <c r="M452" s="40" t="str">
        <f t="shared" si="134"/>
        <v>BU</v>
      </c>
      <c r="N452" s="40" t="str">
        <f t="shared" si="134"/>
        <v>BU</v>
      </c>
      <c r="O452" s="40" t="str">
        <f t="shared" si="134"/>
        <v>BU</v>
      </c>
      <c r="P452" s="40" t="str">
        <f t="shared" si="134"/>
        <v/>
      </c>
      <c r="Q452" s="40" t="str">
        <f t="shared" si="134"/>
        <v/>
      </c>
      <c r="R452" s="40" t="str">
        <f t="shared" si="134"/>
        <v/>
      </c>
      <c r="S452" s="40" t="str">
        <f t="shared" si="134"/>
        <v/>
      </c>
      <c r="T452" s="40" t="str">
        <f t="shared" si="134"/>
        <v/>
      </c>
      <c r="U452" s="40" t="str">
        <f t="shared" si="134"/>
        <v/>
      </c>
      <c r="V452" s="40" t="str">
        <f t="shared" si="134"/>
        <v/>
      </c>
      <c r="W452" s="40" t="str">
        <f t="shared" si="134"/>
        <v/>
      </c>
      <c r="X452" s="40" t="str">
        <f t="shared" si="134"/>
        <v/>
      </c>
      <c r="Y452" s="40" t="str">
        <f t="shared" si="134"/>
        <v/>
      </c>
      <c r="Z452" s="40" t="str">
        <f t="shared" si="134"/>
        <v/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35">
      <c r="A453" s="1283"/>
      <c r="B453" s="22">
        <v>3</v>
      </c>
      <c r="C453" s="40" t="str">
        <f t="shared" ref="C453:AI453" si="135">IF(AND(COUNTIF(C436,"TRUE"),COUNTIF(C404,"a")),"BR",IF(COUNTIF(C404,"a"),"Prim",IF(COUNTIF(C404,"b"),"BU","")))</f>
        <v>Prim</v>
      </c>
      <c r="D453" s="40" t="str">
        <f t="shared" si="135"/>
        <v>Prim</v>
      </c>
      <c r="E453" s="40" t="str">
        <f t="shared" si="135"/>
        <v>Prim</v>
      </c>
      <c r="F453" s="40" t="str">
        <f t="shared" si="135"/>
        <v>Prim</v>
      </c>
      <c r="G453" s="40" t="str">
        <f t="shared" si="135"/>
        <v>Prim</v>
      </c>
      <c r="H453" s="40" t="str">
        <f t="shared" si="135"/>
        <v>Prim</v>
      </c>
      <c r="I453" s="40" t="str">
        <f t="shared" si="135"/>
        <v>BR</v>
      </c>
      <c r="J453" s="40" t="str">
        <f t="shared" si="135"/>
        <v>BR</v>
      </c>
      <c r="K453" s="40" t="str">
        <f t="shared" si="135"/>
        <v/>
      </c>
      <c r="L453" s="40" t="str">
        <f t="shared" si="135"/>
        <v>BU</v>
      </c>
      <c r="M453" s="40" t="str">
        <f t="shared" si="135"/>
        <v>BU</v>
      </c>
      <c r="N453" s="40" t="str">
        <f t="shared" si="135"/>
        <v>BU</v>
      </c>
      <c r="O453" s="40" t="str">
        <f t="shared" si="135"/>
        <v>BU</v>
      </c>
      <c r="P453" s="40" t="str">
        <f t="shared" si="135"/>
        <v/>
      </c>
      <c r="Q453" s="40" t="str">
        <f t="shared" si="135"/>
        <v/>
      </c>
      <c r="R453" s="40" t="str">
        <f t="shared" si="135"/>
        <v/>
      </c>
      <c r="S453" s="40" t="str">
        <f t="shared" si="135"/>
        <v/>
      </c>
      <c r="T453" s="40" t="str">
        <f t="shared" si="135"/>
        <v/>
      </c>
      <c r="U453" s="40" t="str">
        <f t="shared" si="135"/>
        <v/>
      </c>
      <c r="V453" s="40" t="str">
        <f t="shared" si="135"/>
        <v/>
      </c>
      <c r="W453" s="40" t="str">
        <f t="shared" si="135"/>
        <v/>
      </c>
      <c r="X453" s="40" t="str">
        <f t="shared" si="135"/>
        <v/>
      </c>
      <c r="Y453" s="40" t="str">
        <f t="shared" si="135"/>
        <v/>
      </c>
      <c r="Z453" s="40" t="str">
        <f t="shared" si="135"/>
        <v/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35">
      <c r="A454" s="1283"/>
      <c r="B454" s="22">
        <v>4</v>
      </c>
      <c r="C454" s="40" t="str">
        <f t="shared" ref="C454:AI454" si="136">IF(AND(COUNTIF(C437,"TRUE"),COUNTIF(C405,"a")),"BR",IF(COUNTIF(C405,"a"),"Prim",IF(COUNTIF(C405,"b"),"BU","")))</f>
        <v>Prim</v>
      </c>
      <c r="D454" s="40" t="str">
        <f t="shared" si="136"/>
        <v>Prim</v>
      </c>
      <c r="E454" s="40" t="str">
        <f t="shared" si="136"/>
        <v>Prim</v>
      </c>
      <c r="F454" s="40" t="str">
        <f t="shared" si="136"/>
        <v>Prim</v>
      </c>
      <c r="G454" s="40" t="str">
        <f t="shared" si="136"/>
        <v>Prim</v>
      </c>
      <c r="H454" s="40" t="str">
        <f t="shared" si="136"/>
        <v>BR</v>
      </c>
      <c r="I454" s="40" t="str">
        <f t="shared" si="136"/>
        <v>BR</v>
      </c>
      <c r="J454" s="40" t="str">
        <f t="shared" si="136"/>
        <v>BR</v>
      </c>
      <c r="K454" s="40" t="str">
        <f t="shared" si="136"/>
        <v/>
      </c>
      <c r="L454" s="40" t="str">
        <f t="shared" si="136"/>
        <v>BU</v>
      </c>
      <c r="M454" s="40" t="str">
        <f t="shared" si="136"/>
        <v>BU</v>
      </c>
      <c r="N454" s="40" t="str">
        <f t="shared" si="136"/>
        <v>BU</v>
      </c>
      <c r="O454" s="40" t="str">
        <f t="shared" si="136"/>
        <v>BU</v>
      </c>
      <c r="P454" s="40" t="str">
        <f t="shared" si="136"/>
        <v/>
      </c>
      <c r="Q454" s="40" t="str">
        <f t="shared" si="136"/>
        <v/>
      </c>
      <c r="R454" s="40" t="str">
        <f t="shared" si="136"/>
        <v/>
      </c>
      <c r="S454" s="40" t="str">
        <f t="shared" si="136"/>
        <v/>
      </c>
      <c r="T454" s="40" t="str">
        <f t="shared" si="136"/>
        <v/>
      </c>
      <c r="U454" s="40" t="str">
        <f t="shared" si="136"/>
        <v/>
      </c>
      <c r="V454" s="40" t="str">
        <f t="shared" si="136"/>
        <v/>
      </c>
      <c r="W454" s="40" t="str">
        <f t="shared" si="136"/>
        <v/>
      </c>
      <c r="X454" s="40" t="str">
        <f t="shared" si="136"/>
        <v/>
      </c>
      <c r="Y454" s="40" t="str">
        <f t="shared" si="136"/>
        <v/>
      </c>
      <c r="Z454" s="40" t="str">
        <f t="shared" si="136"/>
        <v/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35">
      <c r="A455" s="1283"/>
      <c r="B455" s="22">
        <v>5</v>
      </c>
      <c r="C455" s="40" t="str">
        <f t="shared" ref="C455:AI455" si="137">IF(AND(COUNTIF(C438,"TRUE"),COUNTIF(C406,"a")),"BR",IF(COUNTIF(C406,"a"),"Prim",IF(COUNTIF(C406,"b"),"BU","")))</f>
        <v>Prim</v>
      </c>
      <c r="D455" s="40" t="str">
        <f t="shared" si="137"/>
        <v>Prim</v>
      </c>
      <c r="E455" s="40" t="str">
        <f t="shared" si="137"/>
        <v>Prim</v>
      </c>
      <c r="F455" s="40" t="str">
        <f t="shared" si="137"/>
        <v>Prim</v>
      </c>
      <c r="G455" s="40" t="str">
        <f t="shared" si="137"/>
        <v>Prim</v>
      </c>
      <c r="H455" s="40" t="str">
        <f t="shared" si="137"/>
        <v>Prim</v>
      </c>
      <c r="I455" s="40" t="str">
        <f t="shared" si="137"/>
        <v>Prim</v>
      </c>
      <c r="J455" s="40" t="str">
        <f t="shared" si="137"/>
        <v>BR</v>
      </c>
      <c r="K455" s="40" t="str">
        <f t="shared" si="137"/>
        <v/>
      </c>
      <c r="L455" s="40" t="str">
        <f t="shared" si="137"/>
        <v>BU</v>
      </c>
      <c r="M455" s="40" t="str">
        <f t="shared" si="137"/>
        <v>BU</v>
      </c>
      <c r="N455" s="40" t="str">
        <f t="shared" si="137"/>
        <v>BU</v>
      </c>
      <c r="O455" s="40" t="str">
        <f t="shared" si="137"/>
        <v>BU</v>
      </c>
      <c r="P455" s="40" t="str">
        <f t="shared" si="137"/>
        <v/>
      </c>
      <c r="Q455" s="40" t="str">
        <f t="shared" si="137"/>
        <v/>
      </c>
      <c r="R455" s="40" t="str">
        <f t="shared" si="137"/>
        <v/>
      </c>
      <c r="S455" s="40" t="str">
        <f t="shared" si="137"/>
        <v/>
      </c>
      <c r="T455" s="40" t="str">
        <f t="shared" si="137"/>
        <v/>
      </c>
      <c r="U455" s="40" t="str">
        <f t="shared" si="137"/>
        <v/>
      </c>
      <c r="V455" s="40" t="str">
        <f t="shared" si="137"/>
        <v/>
      </c>
      <c r="W455" s="40" t="str">
        <f t="shared" si="137"/>
        <v/>
      </c>
      <c r="X455" s="40" t="str">
        <f t="shared" si="137"/>
        <v/>
      </c>
      <c r="Y455" s="40" t="str">
        <f t="shared" si="137"/>
        <v/>
      </c>
      <c r="Z455" s="40" t="str">
        <f t="shared" si="137"/>
        <v/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35">
      <c r="A456" s="1283"/>
      <c r="B456" s="22">
        <v>6</v>
      </c>
      <c r="C456" s="40" t="str">
        <f t="shared" ref="C456:AI456" si="138">IF(AND(COUNTIF(C439,"TRUE"),COUNTIF(C407,"a")),"BR",IF(COUNTIF(C407,"a"),"Prim",IF(COUNTIF(C407,"b"),"BU","")))</f>
        <v>Prim</v>
      </c>
      <c r="D456" s="40" t="str">
        <f t="shared" si="138"/>
        <v>Prim</v>
      </c>
      <c r="E456" s="40" t="str">
        <f t="shared" si="138"/>
        <v>Prim</v>
      </c>
      <c r="F456" s="40" t="str">
        <f t="shared" si="138"/>
        <v>Prim</v>
      </c>
      <c r="G456" s="40" t="str">
        <f t="shared" si="138"/>
        <v>BR</v>
      </c>
      <c r="H456" s="40" t="str">
        <f t="shared" si="138"/>
        <v>BR</v>
      </c>
      <c r="I456" s="40" t="str">
        <f t="shared" si="138"/>
        <v>BR</v>
      </c>
      <c r="J456" s="40" t="str">
        <f t="shared" si="138"/>
        <v>Prim</v>
      </c>
      <c r="K456" s="40" t="str">
        <f t="shared" si="138"/>
        <v/>
      </c>
      <c r="L456" s="40" t="str">
        <f t="shared" si="138"/>
        <v>BU</v>
      </c>
      <c r="M456" s="40" t="str">
        <f t="shared" si="138"/>
        <v>BU</v>
      </c>
      <c r="N456" s="40" t="str">
        <f t="shared" si="138"/>
        <v>BU</v>
      </c>
      <c r="O456" s="40" t="str">
        <f t="shared" si="138"/>
        <v>BU</v>
      </c>
      <c r="P456" s="40" t="str">
        <f t="shared" si="138"/>
        <v/>
      </c>
      <c r="Q456" s="40" t="str">
        <f t="shared" si="138"/>
        <v/>
      </c>
      <c r="R456" s="40" t="str">
        <f t="shared" si="138"/>
        <v/>
      </c>
      <c r="S456" s="40" t="str">
        <f t="shared" si="138"/>
        <v/>
      </c>
      <c r="T456" s="40" t="str">
        <f t="shared" si="138"/>
        <v/>
      </c>
      <c r="U456" s="40" t="str">
        <f t="shared" si="138"/>
        <v/>
      </c>
      <c r="V456" s="40" t="str">
        <f t="shared" si="138"/>
        <v/>
      </c>
      <c r="W456" s="40" t="str">
        <f t="shared" si="138"/>
        <v/>
      </c>
      <c r="X456" s="40" t="str">
        <f t="shared" si="138"/>
        <v/>
      </c>
      <c r="Y456" s="40" t="str">
        <f t="shared" si="138"/>
        <v/>
      </c>
      <c r="Z456" s="40" t="str">
        <f t="shared" si="138"/>
        <v/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35">
      <c r="A457" s="1283"/>
      <c r="B457" s="22">
        <v>7</v>
      </c>
      <c r="C457" s="40" t="str">
        <f t="shared" ref="C457:AI457" si="139">IF(AND(COUNTIF(C440,"TRUE"),COUNTIF(C408,"a")),"BR",IF(COUNTIF(C408,"a"),"Prim",IF(COUNTIF(C408,"b"),"BU","")))</f>
        <v>Prim</v>
      </c>
      <c r="D457" s="40" t="str">
        <f t="shared" si="139"/>
        <v>Prim</v>
      </c>
      <c r="E457" s="40" t="str">
        <f t="shared" si="139"/>
        <v>Prim</v>
      </c>
      <c r="F457" s="40" t="str">
        <f t="shared" si="139"/>
        <v>Prim</v>
      </c>
      <c r="G457" s="40" t="str">
        <f t="shared" si="139"/>
        <v>Prim</v>
      </c>
      <c r="H457" s="40" t="str">
        <f t="shared" si="139"/>
        <v>Prim</v>
      </c>
      <c r="I457" s="40" t="str">
        <f t="shared" si="139"/>
        <v>Prim</v>
      </c>
      <c r="J457" s="40" t="str">
        <f t="shared" si="139"/>
        <v>Prim</v>
      </c>
      <c r="K457" s="40" t="str">
        <f t="shared" si="139"/>
        <v/>
      </c>
      <c r="L457" s="40" t="str">
        <f t="shared" si="139"/>
        <v>BU</v>
      </c>
      <c r="M457" s="40" t="str">
        <f t="shared" si="139"/>
        <v>BU</v>
      </c>
      <c r="N457" s="40" t="str">
        <f t="shared" si="139"/>
        <v>BU</v>
      </c>
      <c r="O457" s="40" t="str">
        <f t="shared" si="139"/>
        <v>BU</v>
      </c>
      <c r="P457" s="40" t="str">
        <f t="shared" si="139"/>
        <v/>
      </c>
      <c r="Q457" s="40" t="str">
        <f t="shared" si="139"/>
        <v/>
      </c>
      <c r="R457" s="40" t="str">
        <f t="shared" si="139"/>
        <v/>
      </c>
      <c r="S457" s="40" t="str">
        <f t="shared" si="139"/>
        <v/>
      </c>
      <c r="T457" s="40" t="str">
        <f t="shared" si="139"/>
        <v/>
      </c>
      <c r="U457" s="40" t="str">
        <f t="shared" si="139"/>
        <v/>
      </c>
      <c r="V457" s="40" t="str">
        <f t="shared" si="139"/>
        <v/>
      </c>
      <c r="W457" s="40" t="str">
        <f t="shared" si="139"/>
        <v/>
      </c>
      <c r="X457" s="40" t="str">
        <f t="shared" si="139"/>
        <v/>
      </c>
      <c r="Y457" s="40" t="str">
        <f t="shared" si="139"/>
        <v/>
      </c>
      <c r="Z457" s="40" t="str">
        <f t="shared" si="139"/>
        <v/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35">
      <c r="A458" s="1283"/>
      <c r="B458" s="22">
        <v>8</v>
      </c>
      <c r="C458" s="40" t="str">
        <f t="shared" ref="C458:AI458" si="140">IF(AND(COUNTIF(C441,"TRUE"),COUNTIF(C409,"a")),"BR",IF(COUNTIF(C409,"a"),"Prim",IF(COUNTIF(C409,"b"),"BU","")))</f>
        <v>Prim</v>
      </c>
      <c r="D458" s="40" t="str">
        <f t="shared" si="140"/>
        <v>Prim</v>
      </c>
      <c r="E458" s="40" t="str">
        <f t="shared" si="140"/>
        <v>Prim</v>
      </c>
      <c r="F458" s="40" t="str">
        <f t="shared" si="140"/>
        <v>Prim</v>
      </c>
      <c r="G458" s="40" t="str">
        <f t="shared" si="140"/>
        <v>Prim</v>
      </c>
      <c r="H458" s="40" t="str">
        <f t="shared" si="140"/>
        <v>Prim</v>
      </c>
      <c r="I458" s="40" t="str">
        <f t="shared" si="140"/>
        <v>Prim</v>
      </c>
      <c r="J458" s="40" t="str">
        <f t="shared" si="140"/>
        <v>Prim</v>
      </c>
      <c r="K458" s="40" t="str">
        <f t="shared" si="140"/>
        <v/>
      </c>
      <c r="L458" s="40" t="str">
        <f t="shared" si="140"/>
        <v>BU</v>
      </c>
      <c r="M458" s="40" t="str">
        <f t="shared" si="140"/>
        <v>BU</v>
      </c>
      <c r="N458" s="40" t="str">
        <f t="shared" si="140"/>
        <v>BU</v>
      </c>
      <c r="O458" s="40" t="str">
        <f t="shared" si="140"/>
        <v>BU</v>
      </c>
      <c r="P458" s="40" t="str">
        <f t="shared" si="140"/>
        <v/>
      </c>
      <c r="Q458" s="40" t="str">
        <f t="shared" si="140"/>
        <v/>
      </c>
      <c r="R458" s="40" t="str">
        <f t="shared" si="140"/>
        <v/>
      </c>
      <c r="S458" s="40" t="str">
        <f t="shared" si="140"/>
        <v/>
      </c>
      <c r="T458" s="40" t="str">
        <f t="shared" si="140"/>
        <v/>
      </c>
      <c r="U458" s="40" t="str">
        <f t="shared" si="140"/>
        <v/>
      </c>
      <c r="V458" s="40" t="str">
        <f t="shared" si="140"/>
        <v/>
      </c>
      <c r="W458" s="40" t="str">
        <f t="shared" si="140"/>
        <v/>
      </c>
      <c r="X458" s="40" t="str">
        <f t="shared" si="140"/>
        <v/>
      </c>
      <c r="Y458" s="40" t="str">
        <f t="shared" si="140"/>
        <v/>
      </c>
      <c r="Z458" s="40" t="str">
        <f t="shared" si="140"/>
        <v/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35">
      <c r="A459" s="1283"/>
      <c r="B459" s="22">
        <v>9</v>
      </c>
      <c r="C459" s="40" t="str">
        <f t="shared" ref="C459:AI459" si="141">IF(AND(COUNTIF(C442,"TRUE"),COUNTIF(C410,"a")),"BR",IF(COUNTIF(C410,"a"),"Prim",IF(COUNTIF(C410,"b"),"BU","")))</f>
        <v>Prim</v>
      </c>
      <c r="D459" s="40" t="str">
        <f t="shared" si="141"/>
        <v>Prim</v>
      </c>
      <c r="E459" s="40" t="str">
        <f t="shared" si="141"/>
        <v>Prim</v>
      </c>
      <c r="F459" s="40" t="str">
        <f t="shared" si="141"/>
        <v>Prim</v>
      </c>
      <c r="G459" s="40" t="str">
        <f t="shared" si="141"/>
        <v>Prim</v>
      </c>
      <c r="H459" s="40" t="str">
        <f t="shared" si="141"/>
        <v>Prim</v>
      </c>
      <c r="I459" s="40" t="str">
        <f t="shared" si="141"/>
        <v>Prim</v>
      </c>
      <c r="J459" s="40" t="str">
        <f t="shared" si="141"/>
        <v>Prim</v>
      </c>
      <c r="K459" s="40" t="str">
        <f t="shared" si="141"/>
        <v/>
      </c>
      <c r="L459" s="40" t="str">
        <f t="shared" si="141"/>
        <v>BU</v>
      </c>
      <c r="M459" s="40" t="str">
        <f t="shared" si="141"/>
        <v>BU</v>
      </c>
      <c r="N459" s="40" t="str">
        <f t="shared" si="141"/>
        <v>BU</v>
      </c>
      <c r="O459" s="40" t="str">
        <f t="shared" si="141"/>
        <v>BU</v>
      </c>
      <c r="P459" s="40" t="str">
        <f t="shared" si="141"/>
        <v/>
      </c>
      <c r="Q459" s="40" t="str">
        <f t="shared" si="141"/>
        <v/>
      </c>
      <c r="R459" s="40" t="str">
        <f t="shared" si="141"/>
        <v/>
      </c>
      <c r="S459" s="40" t="str">
        <f t="shared" si="141"/>
        <v/>
      </c>
      <c r="T459" s="40" t="str">
        <f t="shared" si="141"/>
        <v/>
      </c>
      <c r="U459" s="40" t="str">
        <f t="shared" si="141"/>
        <v/>
      </c>
      <c r="V459" s="40" t="str">
        <f t="shared" si="141"/>
        <v/>
      </c>
      <c r="W459" s="40" t="str">
        <f t="shared" si="141"/>
        <v/>
      </c>
      <c r="X459" s="40" t="str">
        <f t="shared" si="141"/>
        <v/>
      </c>
      <c r="Y459" s="40" t="str">
        <f t="shared" si="141"/>
        <v/>
      </c>
      <c r="Z459" s="40" t="str">
        <f t="shared" si="141"/>
        <v/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35">
      <c r="A460" s="1283"/>
      <c r="B460" s="22">
        <v>10</v>
      </c>
      <c r="C460" s="40" t="str">
        <f t="shared" ref="C460:AI460" si="142">IF(AND(COUNTIF(C443,"TRUE"),COUNTIF(C411,"a")),"BR",IF(COUNTIF(C411,"a"),"Prim",IF(COUNTIF(C411,"b"),"BU","")))</f>
        <v>Prim</v>
      </c>
      <c r="D460" s="40" t="str">
        <f t="shared" si="142"/>
        <v>Prim</v>
      </c>
      <c r="E460" s="40" t="str">
        <f t="shared" si="142"/>
        <v>Prim</v>
      </c>
      <c r="F460" s="40" t="str">
        <f t="shared" si="142"/>
        <v>Prim</v>
      </c>
      <c r="G460" s="40" t="str">
        <f t="shared" si="142"/>
        <v>Prim</v>
      </c>
      <c r="H460" s="40" t="str">
        <f t="shared" si="142"/>
        <v>Prim</v>
      </c>
      <c r="I460" s="40" t="str">
        <f t="shared" si="142"/>
        <v>Prim</v>
      </c>
      <c r="J460" s="40" t="str">
        <f t="shared" si="142"/>
        <v>Prim</v>
      </c>
      <c r="K460" s="40" t="str">
        <f t="shared" si="142"/>
        <v/>
      </c>
      <c r="L460" s="40" t="str">
        <f t="shared" si="142"/>
        <v>BU</v>
      </c>
      <c r="M460" s="40" t="str">
        <f t="shared" si="142"/>
        <v>BU</v>
      </c>
      <c r="N460" s="40" t="str">
        <f t="shared" si="142"/>
        <v>BU</v>
      </c>
      <c r="O460" s="40" t="str">
        <f t="shared" si="142"/>
        <v>BU</v>
      </c>
      <c r="P460" s="40" t="str">
        <f t="shared" si="142"/>
        <v/>
      </c>
      <c r="Q460" s="40" t="str">
        <f t="shared" si="142"/>
        <v/>
      </c>
      <c r="R460" s="40" t="str">
        <f t="shared" si="142"/>
        <v/>
      </c>
      <c r="S460" s="40" t="str">
        <f t="shared" si="142"/>
        <v/>
      </c>
      <c r="T460" s="40" t="str">
        <f t="shared" si="142"/>
        <v/>
      </c>
      <c r="U460" s="40" t="str">
        <f t="shared" si="142"/>
        <v/>
      </c>
      <c r="V460" s="40" t="str">
        <f t="shared" si="142"/>
        <v/>
      </c>
      <c r="W460" s="40" t="str">
        <f t="shared" si="142"/>
        <v/>
      </c>
      <c r="X460" s="40" t="str">
        <f t="shared" si="142"/>
        <v/>
      </c>
      <c r="Y460" s="40" t="str">
        <f t="shared" si="142"/>
        <v/>
      </c>
      <c r="Z460" s="40" t="str">
        <f t="shared" si="142"/>
        <v/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35">
      <c r="A461" s="1283"/>
      <c r="B461" s="22">
        <v>11</v>
      </c>
      <c r="C461" s="40" t="str">
        <f t="shared" ref="C461:AI461" si="143">IF(AND(COUNTIF(C444,"TRUE"),COUNTIF(C412,"a")),"BR",IF(COUNTIF(C412,"a"),"Prim",IF(COUNTIF(C412,"b"),"BU","")))</f>
        <v>Prim</v>
      </c>
      <c r="D461" s="40" t="str">
        <f t="shared" si="143"/>
        <v>Prim</v>
      </c>
      <c r="E461" s="40" t="str">
        <f t="shared" si="143"/>
        <v>Prim</v>
      </c>
      <c r="F461" s="40" t="str">
        <f t="shared" si="143"/>
        <v>Prim</v>
      </c>
      <c r="G461" s="40" t="str">
        <f t="shared" si="143"/>
        <v>Prim</v>
      </c>
      <c r="H461" s="40" t="str">
        <f t="shared" si="143"/>
        <v>Prim</v>
      </c>
      <c r="I461" s="40" t="str">
        <f t="shared" si="143"/>
        <v>Prim</v>
      </c>
      <c r="J461" s="40" t="str">
        <f t="shared" si="143"/>
        <v>Prim</v>
      </c>
      <c r="K461" s="40" t="str">
        <f t="shared" si="143"/>
        <v/>
      </c>
      <c r="L461" s="40" t="str">
        <f t="shared" si="143"/>
        <v>BU</v>
      </c>
      <c r="M461" s="40" t="str">
        <f t="shared" si="143"/>
        <v>BU</v>
      </c>
      <c r="N461" s="40" t="str">
        <f t="shared" si="143"/>
        <v>BU</v>
      </c>
      <c r="O461" s="40" t="str">
        <f t="shared" si="143"/>
        <v>BU</v>
      </c>
      <c r="P461" s="40" t="str">
        <f t="shared" si="143"/>
        <v/>
      </c>
      <c r="Q461" s="40" t="str">
        <f t="shared" si="143"/>
        <v/>
      </c>
      <c r="R461" s="40" t="str">
        <f t="shared" si="143"/>
        <v/>
      </c>
      <c r="S461" s="40" t="str">
        <f t="shared" si="143"/>
        <v/>
      </c>
      <c r="T461" s="40" t="str">
        <f t="shared" si="143"/>
        <v/>
      </c>
      <c r="U461" s="40" t="str">
        <f t="shared" si="143"/>
        <v/>
      </c>
      <c r="V461" s="40" t="str">
        <f t="shared" si="143"/>
        <v/>
      </c>
      <c r="W461" s="40" t="str">
        <f t="shared" si="143"/>
        <v/>
      </c>
      <c r="X461" s="40" t="str">
        <f t="shared" si="143"/>
        <v/>
      </c>
      <c r="Y461" s="40" t="str">
        <f t="shared" si="143"/>
        <v/>
      </c>
      <c r="Z461" s="40" t="str">
        <f t="shared" si="143"/>
        <v/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" thickBot="1" x14ac:dyDescent="0.4">
      <c r="A462" s="1284"/>
      <c r="B462" s="23">
        <v>12</v>
      </c>
      <c r="C462" s="40" t="str">
        <f t="shared" ref="C462:AI462" si="144">IF(AND(COUNTIF(C445,"TRUE"),COUNTIF(C413,"a")),"BR",IF(COUNTIF(C413,"a"),"Prim",IF(COUNTIF(C413,"b"),"BU","")))</f>
        <v>Prim</v>
      </c>
      <c r="D462" s="40" t="str">
        <f t="shared" si="144"/>
        <v>Prim</v>
      </c>
      <c r="E462" s="40" t="str">
        <f t="shared" si="144"/>
        <v>Prim</v>
      </c>
      <c r="F462" s="40" t="str">
        <f t="shared" si="144"/>
        <v>Prim</v>
      </c>
      <c r="G462" s="40" t="str">
        <f t="shared" si="144"/>
        <v>Prim</v>
      </c>
      <c r="H462" s="40" t="str">
        <f t="shared" si="144"/>
        <v>Prim</v>
      </c>
      <c r="I462" s="40" t="str">
        <f t="shared" si="144"/>
        <v>Prim</v>
      </c>
      <c r="J462" s="40" t="str">
        <f t="shared" si="144"/>
        <v>Prim</v>
      </c>
      <c r="K462" s="40" t="str">
        <f t="shared" si="144"/>
        <v/>
      </c>
      <c r="L462" s="40" t="str">
        <f t="shared" si="144"/>
        <v>BU</v>
      </c>
      <c r="M462" s="40" t="str">
        <f t="shared" si="144"/>
        <v>BU</v>
      </c>
      <c r="N462" s="40" t="str">
        <f t="shared" si="144"/>
        <v>BU</v>
      </c>
      <c r="O462" s="40" t="str">
        <f t="shared" si="144"/>
        <v>BU</v>
      </c>
      <c r="P462" s="40" t="str">
        <f t="shared" si="144"/>
        <v/>
      </c>
      <c r="Q462" s="40" t="str">
        <f t="shared" si="144"/>
        <v/>
      </c>
      <c r="R462" s="40" t="str">
        <f t="shared" si="144"/>
        <v/>
      </c>
      <c r="S462" s="40" t="str">
        <f t="shared" si="144"/>
        <v/>
      </c>
      <c r="T462" s="40" t="str">
        <f t="shared" si="144"/>
        <v/>
      </c>
      <c r="U462" s="40" t="str">
        <f t="shared" si="144"/>
        <v/>
      </c>
      <c r="V462" s="40" t="str">
        <f t="shared" si="144"/>
        <v/>
      </c>
      <c r="W462" s="40" t="str">
        <f t="shared" si="144"/>
        <v/>
      </c>
      <c r="X462" s="40" t="str">
        <f t="shared" si="144"/>
        <v/>
      </c>
      <c r="Y462" s="40" t="str">
        <f t="shared" si="144"/>
        <v/>
      </c>
      <c r="Z462" s="40" t="str">
        <f t="shared" si="144"/>
        <v/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" thickBot="1" x14ac:dyDescent="0.4"/>
    <row r="466" spans="1:43" ht="15" thickBot="1" x14ac:dyDescent="0.4">
      <c r="A466" s="1285"/>
      <c r="B466" s="1286"/>
      <c r="C466" s="1289" t="s">
        <v>17</v>
      </c>
      <c r="D466" s="1289"/>
      <c r="E466" s="1289"/>
      <c r="F466" s="1289"/>
      <c r="G466" s="1289"/>
      <c r="H466" s="1289"/>
      <c r="I466" s="1289"/>
      <c r="J466" s="1289"/>
      <c r="K466" s="1289"/>
      <c r="L466" s="1289"/>
      <c r="M466" s="1289"/>
      <c r="N466" s="1289"/>
      <c r="O466" s="1289"/>
      <c r="P466" s="1289"/>
      <c r="Q466" s="1289"/>
      <c r="R466" s="1289"/>
      <c r="S466" s="1289"/>
      <c r="T466" s="1289"/>
      <c r="U466" s="1289"/>
      <c r="V466" s="1290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" thickBot="1" x14ac:dyDescent="0.4">
      <c r="A467" s="1287"/>
      <c r="B467" s="1288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1953</v>
      </c>
      <c r="AL467" s="935" t="s">
        <v>1954</v>
      </c>
      <c r="AM467" s="935" t="s">
        <v>1955</v>
      </c>
      <c r="AN467" s="935" t="s">
        <v>1956</v>
      </c>
      <c r="AO467" s="935" t="s">
        <v>1957</v>
      </c>
      <c r="AP467" s="936" t="s">
        <v>1958</v>
      </c>
      <c r="AQ467" s="13" t="s">
        <v>21</v>
      </c>
    </row>
    <row r="468" spans="1:43" ht="15" thickBot="1" x14ac:dyDescent="0.4">
      <c r="A468" s="1283" t="s">
        <v>18</v>
      </c>
      <c r="B468" s="21">
        <v>1</v>
      </c>
      <c r="C468" s="40" t="b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0</v>
      </c>
      <c r="D468" s="40" t="b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0</v>
      </c>
      <c r="E468" s="40" t="b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0</v>
      </c>
      <c r="F468" s="40" t="b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0</v>
      </c>
      <c r="G468" s="40" t="b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0</v>
      </c>
      <c r="H468" s="40" t="str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XPRIM</v>
      </c>
      <c r="I468" s="40" t="str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RPRIM</v>
      </c>
      <c r="J468" s="40" t="str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XBR</v>
      </c>
      <c r="K468" s="40" t="b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0</v>
      </c>
      <c r="L468" s="40" t="b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0</v>
      </c>
      <c r="M468" s="40" t="b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0</v>
      </c>
      <c r="N468" s="40" t="str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XBU</v>
      </c>
      <c r="O468" s="40" t="str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XBU</v>
      </c>
      <c r="P468" s="40" t="b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0</v>
      </c>
      <c r="Q468" s="40" t="b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0</v>
      </c>
      <c r="R468" s="40" t="b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0</v>
      </c>
      <c r="S468" s="40" t="b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0</v>
      </c>
      <c r="T468" s="40" t="b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0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b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0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8</v>
      </c>
      <c r="AL468" s="937">
        <f>COUNTIF($C$468:$AI$479,"RPRIM")</f>
        <v>5</v>
      </c>
      <c r="AM468" s="937">
        <f>COUNTIF($C$468:$AI$479,"XBU")</f>
        <v>3</v>
      </c>
      <c r="AN468" s="937">
        <f>COUNTIF($C$468:$AI$479,"RBU")</f>
        <v>5</v>
      </c>
      <c r="AO468" s="937">
        <f>COUNTIF($C$468:$AI$479,"XBR")</f>
        <v>6</v>
      </c>
      <c r="AP468" s="938">
        <f>COUNTIF($C$468:$AI$479,"RBR")</f>
        <v>0</v>
      </c>
      <c r="AQ468" s="13">
        <f>SUM(AK468:AP468)</f>
        <v>27</v>
      </c>
    </row>
    <row r="469" spans="1:43" x14ac:dyDescent="0.35">
      <c r="A469" s="1283"/>
      <c r="B469" s="22">
        <v>2</v>
      </c>
      <c r="C469" s="40" t="b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0</v>
      </c>
      <c r="D469" s="40" t="b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0</v>
      </c>
      <c r="E469" s="40" t="str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XPRIM</v>
      </c>
      <c r="F469" s="40" t="str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RPRIM</v>
      </c>
      <c r="G469" s="40" t="str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XBR</v>
      </c>
      <c r="H469" s="40" t="b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0</v>
      </c>
      <c r="I469" s="40" t="b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0</v>
      </c>
      <c r="J469" s="40" t="b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0</v>
      </c>
      <c r="K469" s="40" t="b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0</v>
      </c>
      <c r="L469" s="40" t="b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0</v>
      </c>
      <c r="M469" s="40" t="b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0</v>
      </c>
      <c r="N469" s="40" t="b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0</v>
      </c>
      <c r="O469" s="40" t="str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RBU</v>
      </c>
      <c r="P469" s="40" t="b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0</v>
      </c>
      <c r="Q469" s="40" t="b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0</v>
      </c>
      <c r="R469" s="40" t="b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0</v>
      </c>
      <c r="S469" s="40" t="b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0</v>
      </c>
      <c r="T469" s="40" t="b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0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35">
      <c r="A470" s="1283"/>
      <c r="B470" s="22">
        <v>3</v>
      </c>
      <c r="C470" s="40" t="b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0</v>
      </c>
      <c r="D470" s="40" t="b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0</v>
      </c>
      <c r="E470" s="40" t="b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0</v>
      </c>
      <c r="F470" s="40" t="b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0</v>
      </c>
      <c r="G470" s="40" t="str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XPRIM</v>
      </c>
      <c r="H470" s="40" t="str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RPRIM</v>
      </c>
      <c r="I470" s="40" t="str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XBR</v>
      </c>
      <c r="J470" s="40" t="b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0</v>
      </c>
      <c r="K470" s="40" t="b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0</v>
      </c>
      <c r="L470" s="40" t="b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0</v>
      </c>
      <c r="M470" s="40" t="b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0</v>
      </c>
      <c r="N470" s="40" t="str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RBU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b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0</v>
      </c>
      <c r="Q470" s="40" t="b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0</v>
      </c>
      <c r="R470" s="40" t="b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0</v>
      </c>
      <c r="S470" s="40" t="b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0</v>
      </c>
      <c r="T470" s="40" t="b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0</v>
      </c>
      <c r="U470" s="40" t="b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0</v>
      </c>
      <c r="V470" s="40" t="b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0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35">
      <c r="A471" s="1283"/>
      <c r="B471" s="22">
        <v>4</v>
      </c>
      <c r="C471" s="40" t="b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0</v>
      </c>
      <c r="D471" s="40" t="b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0</v>
      </c>
      <c r="E471" s="40" t="str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XPRIM</v>
      </c>
      <c r="F471" s="40" t="str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RPRIM</v>
      </c>
      <c r="G471" s="40" t="str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XPRIM</v>
      </c>
      <c r="H471" s="40" t="str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XBR</v>
      </c>
      <c r="I471" s="40" t="b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0</v>
      </c>
      <c r="J471" s="40" t="b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0</v>
      </c>
      <c r="K471" s="40" t="b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0</v>
      </c>
      <c r="L471" s="40" t="b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0</v>
      </c>
      <c r="M471" s="40" t="b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0</v>
      </c>
      <c r="N471" s="40" t="b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0</v>
      </c>
      <c r="O471" s="40" t="str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RBU</v>
      </c>
      <c r="P471" s="40" t="b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0</v>
      </c>
      <c r="Q471" s="40" t="b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0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b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0</v>
      </c>
      <c r="T471" s="40" t="b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0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b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0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35">
      <c r="A472" s="1283"/>
      <c r="B472" s="22">
        <v>5</v>
      </c>
      <c r="C472" s="40" t="b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0</v>
      </c>
      <c r="D472" s="40" t="b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0</v>
      </c>
      <c r="E472" s="40" t="b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0</v>
      </c>
      <c r="F472" s="40" t="b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0</v>
      </c>
      <c r="G472" s="40" t="b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0</v>
      </c>
      <c r="H472" s="40" t="str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XPRIM</v>
      </c>
      <c r="I472" s="40" t="str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RPRIM</v>
      </c>
      <c r="J472" s="40" t="str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XBR</v>
      </c>
      <c r="K472" s="40" t="b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0</v>
      </c>
      <c r="L472" s="40" t="b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0</v>
      </c>
      <c r="M472" s="40" t="b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0</v>
      </c>
      <c r="N472" s="40" t="str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XBU</v>
      </c>
      <c r="O472" s="40" t="str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RBU</v>
      </c>
      <c r="P472" s="40" t="b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0</v>
      </c>
      <c r="Q472" s="40" t="b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0</v>
      </c>
      <c r="R472" s="40" t="b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0</v>
      </c>
      <c r="S472" s="40" t="b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0</v>
      </c>
      <c r="T472" s="40" t="b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0</v>
      </c>
      <c r="U472" s="40" t="b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0</v>
      </c>
      <c r="V472" s="40" t="b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0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35">
      <c r="A473" s="1283"/>
      <c r="B473" s="22">
        <v>6</v>
      </c>
      <c r="C473" s="40" t="b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0</v>
      </c>
      <c r="D473" s="40" t="str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XPRIM</v>
      </c>
      <c r="E473" s="40" t="b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0</v>
      </c>
      <c r="F473" s="40" t="str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XPRIM</v>
      </c>
      <c r="G473" s="40" t="str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XBR</v>
      </c>
      <c r="H473" s="40" t="b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0</v>
      </c>
      <c r="I473" s="40" t="b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0</v>
      </c>
      <c r="J473" s="40" t="b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0</v>
      </c>
      <c r="K473" s="40" t="b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0</v>
      </c>
      <c r="L473" s="40" t="b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0</v>
      </c>
      <c r="M473" s="40" t="b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0</v>
      </c>
      <c r="N473" s="40" t="b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0</v>
      </c>
      <c r="O473" s="40" t="str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RBU</v>
      </c>
      <c r="P473" s="40" t="b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0</v>
      </c>
      <c r="Q473" s="40" t="b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0</v>
      </c>
      <c r="R473" s="40" t="b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0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b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0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b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0</v>
      </c>
      <c r="W473" s="40" t="b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0</v>
      </c>
      <c r="X473" s="40" t="b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0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b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0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35">
      <c r="A474" s="1283"/>
      <c r="B474" s="22">
        <v>7</v>
      </c>
      <c r="C474" s="40" t="b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0</v>
      </c>
      <c r="D474" s="40" t="b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0</v>
      </c>
      <c r="E474" s="40" t="b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0</v>
      </c>
      <c r="F474" s="40" t="b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0</v>
      </c>
      <c r="G474" s="40" t="b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0</v>
      </c>
      <c r="H474" s="40" t="b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0</v>
      </c>
      <c r="I474" s="40" t="b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0</v>
      </c>
      <c r="J474" s="40" t="b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0</v>
      </c>
      <c r="K474" s="40" t="b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0</v>
      </c>
      <c r="L474" s="40" t="b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0</v>
      </c>
      <c r="M474" s="40" t="b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0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b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0</v>
      </c>
      <c r="U474" s="40" t="b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0</v>
      </c>
      <c r="V474" s="40" t="b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0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35">
      <c r="A475" s="1283"/>
      <c r="B475" s="22">
        <v>8</v>
      </c>
      <c r="C475" s="40" t="b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0</v>
      </c>
      <c r="D475" s="40" t="b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0</v>
      </c>
      <c r="E475" s="40" t="b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0</v>
      </c>
      <c r="F475" s="40" t="b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0</v>
      </c>
      <c r="G475" s="40" t="b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0</v>
      </c>
      <c r="H475" s="40" t="b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0</v>
      </c>
      <c r="I475" s="40" t="b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0</v>
      </c>
      <c r="J475" s="40" t="b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0</v>
      </c>
      <c r="K475" s="40" t="b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0</v>
      </c>
      <c r="L475" s="40" t="b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0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b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0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b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0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b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0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35">
      <c r="A476" s="1283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35">
      <c r="A477" s="1283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35">
      <c r="A478" s="1283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" thickBot="1" x14ac:dyDescent="0.4">
      <c r="A479" s="1284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C4" sqref="C4"/>
    </sheetView>
  </sheetViews>
  <sheetFormatPr defaultRowHeight="14.5" x14ac:dyDescent="0.35"/>
  <cols>
    <col min="1" max="2" width="4.7265625" customWidth="1"/>
    <col min="3" max="27" width="6.453125" customWidth="1"/>
    <col min="28" max="36" width="7" customWidth="1"/>
    <col min="37" max="37" width="25.7265625" customWidth="1"/>
    <col min="38" max="38" width="7" customWidth="1"/>
  </cols>
  <sheetData>
    <row r="1" spans="1:38" ht="21" customHeight="1" thickBot="1" x14ac:dyDescent="0.4">
      <c r="A1" s="1335" t="s">
        <v>1109</v>
      </c>
      <c r="B1" s="1336"/>
      <c r="C1" s="1336"/>
      <c r="D1" s="1336"/>
      <c r="E1" s="1336"/>
      <c r="F1" s="1336"/>
      <c r="G1" s="1336"/>
      <c r="H1" s="1336"/>
      <c r="I1" s="1336"/>
      <c r="J1" s="1336"/>
      <c r="K1" s="1336"/>
      <c r="L1" s="1336"/>
      <c r="M1" s="1336"/>
      <c r="N1" s="1336"/>
      <c r="O1" s="1336"/>
      <c r="P1" s="1336"/>
      <c r="Q1" s="1336"/>
      <c r="R1" s="1336"/>
      <c r="S1" s="1336"/>
      <c r="T1" s="1336"/>
      <c r="U1" s="1336"/>
      <c r="V1" s="1336"/>
      <c r="W1" s="1336"/>
      <c r="X1" s="1336"/>
      <c r="Y1" s="1336"/>
      <c r="Z1" s="1336"/>
      <c r="AA1" s="1336"/>
      <c r="AB1" s="1336"/>
      <c r="AC1" s="1336"/>
      <c r="AD1" s="1336"/>
      <c r="AE1" s="1336"/>
      <c r="AF1" s="1336"/>
      <c r="AG1" s="1336"/>
      <c r="AH1" s="1336"/>
      <c r="AI1" s="1336"/>
      <c r="AJ1" s="1337"/>
      <c r="AK1" s="365" t="s">
        <v>3</v>
      </c>
      <c r="AL1" s="366" t="s">
        <v>4</v>
      </c>
    </row>
    <row r="2" spans="1:38" ht="17.25" customHeight="1" thickBot="1" x14ac:dyDescent="0.4">
      <c r="A2" s="1343"/>
      <c r="B2" s="1344"/>
      <c r="C2" s="1347" t="s">
        <v>17</v>
      </c>
      <c r="D2" s="1347"/>
      <c r="E2" s="1347"/>
      <c r="F2" s="1347"/>
      <c r="G2" s="1347"/>
      <c r="H2" s="1347"/>
      <c r="I2" s="1347"/>
      <c r="J2" s="1347"/>
      <c r="K2" s="1347"/>
      <c r="L2" s="1347"/>
      <c r="M2" s="1347"/>
      <c r="N2" s="1347"/>
      <c r="O2" s="1347"/>
      <c r="P2" s="1347"/>
      <c r="Q2" s="1347"/>
      <c r="R2" s="1347"/>
      <c r="S2" s="1347"/>
      <c r="T2" s="1347"/>
      <c r="U2" s="1347"/>
      <c r="V2" s="1348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4">
      <c r="A3" s="1345"/>
      <c r="B3" s="1346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35">
      <c r="A4" s="1349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4">
      <c r="A5" s="1350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35">
      <c r="A6" s="1350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35">
      <c r="A7" s="1350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35">
      <c r="A8" s="1350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35">
      <c r="A9" s="1350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35">
      <c r="A10" s="1350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35">
      <c r="A11" s="1350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35">
      <c r="A12" s="1350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35">
      <c r="A13" s="1350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35">
      <c r="A14" s="1350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4">
      <c r="A15" s="1351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4">
      <c r="A16" s="1333"/>
      <c r="B16" s="1333"/>
      <c r="C16" s="1333"/>
      <c r="D16" s="1333"/>
      <c r="E16" s="1333"/>
      <c r="F16" s="1333"/>
      <c r="G16" s="1333"/>
      <c r="H16" s="1333"/>
      <c r="I16" s="1333"/>
      <c r="J16" s="1333"/>
      <c r="K16" s="1333"/>
      <c r="L16" s="1333"/>
      <c r="M16" s="1333"/>
      <c r="N16" s="1333"/>
      <c r="O16" s="1333"/>
      <c r="P16" s="1333"/>
      <c r="Q16" s="1333"/>
      <c r="R16" s="1333"/>
      <c r="S16" s="1333"/>
      <c r="T16" s="1333"/>
      <c r="U16" s="1333"/>
      <c r="V16" s="1333"/>
      <c r="W16" s="1333"/>
      <c r="X16" s="1333"/>
      <c r="Y16" s="1333"/>
      <c r="Z16" s="1333"/>
      <c r="AA16" s="1333"/>
      <c r="AB16" s="1333"/>
      <c r="AC16" s="1333"/>
      <c r="AD16" s="1333"/>
      <c r="AE16" s="1333"/>
      <c r="AF16" s="1333"/>
      <c r="AG16" s="1333"/>
      <c r="AH16" s="1333"/>
      <c r="AI16" s="1333"/>
    </row>
    <row r="17" spans="1:54" ht="60.75" customHeight="1" thickBot="1" x14ac:dyDescent="0.4">
      <c r="A17" s="1338" t="s">
        <v>797</v>
      </c>
      <c r="B17" s="1339"/>
      <c r="C17" s="1339"/>
      <c r="D17" s="1340"/>
      <c r="E17" s="1341"/>
      <c r="F17" s="1341"/>
      <c r="G17" s="1341"/>
      <c r="H17" s="1341"/>
      <c r="I17" s="1341"/>
      <c r="J17" s="1341"/>
      <c r="K17" s="1341"/>
      <c r="L17" s="1341"/>
      <c r="M17" s="1341"/>
      <c r="N17" s="1341"/>
      <c r="O17" s="1341"/>
      <c r="P17" s="1341"/>
      <c r="Q17" s="1341"/>
      <c r="R17" s="1341"/>
      <c r="S17" s="1341"/>
      <c r="T17" s="1341"/>
      <c r="U17" s="1341"/>
      <c r="V17" s="1341"/>
      <c r="W17" s="1341"/>
      <c r="X17" s="1341"/>
      <c r="Y17" s="1341"/>
      <c r="Z17" s="1341"/>
      <c r="AA17" s="1341"/>
      <c r="AB17" s="1341"/>
      <c r="AC17" s="1341"/>
      <c r="AD17" s="1341"/>
      <c r="AE17" s="1341"/>
      <c r="AF17" s="1341"/>
      <c r="AG17" s="1341"/>
      <c r="AH17" s="1341"/>
      <c r="AI17" s="1342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35">
      <c r="C27" s="151" t="b">
        <f>EXACT(C4,'ARDT Cutter Entry'!C4)</f>
        <v>0</v>
      </c>
      <c r="D27" s="152" t="b">
        <f>EXACT(D4,'ARDT Cutter Entry'!D4)</f>
        <v>0</v>
      </c>
      <c r="E27" s="152" t="b">
        <f>EXACT(E4,'ARDT Cutter Entry'!E4)</f>
        <v>0</v>
      </c>
      <c r="F27" s="152" t="b">
        <f>EXACT(F4,'ARDT Cutter Entry'!F4)</f>
        <v>0</v>
      </c>
      <c r="G27" s="152" t="b">
        <f>EXACT(G4,'ARDT Cutter Entry'!G4)</f>
        <v>0</v>
      </c>
      <c r="H27" s="152" t="b">
        <f>EXACT(H4,'ARDT Cutter Entry'!H4)</f>
        <v>0</v>
      </c>
      <c r="I27" s="152" t="b">
        <f>EXACT(I4,'ARDT Cutter Entry'!I4)</f>
        <v>0</v>
      </c>
      <c r="J27" s="152" t="b">
        <f>EXACT(J4,'ARDT Cutter Entry'!J4)</f>
        <v>0</v>
      </c>
      <c r="K27" s="152" t="b">
        <f>EXACT(K4,'ARDT Cutter Entry'!K4)</f>
        <v>1</v>
      </c>
      <c r="L27" s="152" t="b">
        <f>EXACT(L4,'ARDT Cutter Entry'!L4)</f>
        <v>0</v>
      </c>
      <c r="M27" s="152" t="b">
        <f>EXACT(M4,'ARDT Cutter Entry'!M4)</f>
        <v>0</v>
      </c>
      <c r="N27" s="152" t="b">
        <f>EXACT(N4,'ARDT Cutter Entry'!N4)</f>
        <v>0</v>
      </c>
      <c r="O27" s="152" t="b">
        <f>EXACT(O4,'ARDT Cutter Entry'!O4)</f>
        <v>0</v>
      </c>
      <c r="P27" s="152" t="b">
        <f>EXACT(P4,'ARDT Cutter Entry'!P4)</f>
        <v>1</v>
      </c>
      <c r="Q27" s="152" t="b">
        <f>EXACT(Q4,'ARDT Cutter Entry'!Q4)</f>
        <v>1</v>
      </c>
      <c r="R27" s="152" t="b">
        <f>EXACT(R4,'ARDT Cutter Entry'!R4)</f>
        <v>1</v>
      </c>
      <c r="S27" s="152" t="b">
        <f>EXACT(S4,'ARDT Cutter Entry'!S4)</f>
        <v>1</v>
      </c>
      <c r="T27" s="152" t="b">
        <f>EXACT(T4,'ARDT Cutter Entry'!T4)</f>
        <v>1</v>
      </c>
      <c r="U27" s="152" t="b">
        <f>EXACT(U4,'ARDT Cutter Entry'!U4)</f>
        <v>1</v>
      </c>
      <c r="V27" s="152" t="b">
        <f>EXACT(V4,'ARDT Cutter Entry'!V4)</f>
        <v>1</v>
      </c>
      <c r="W27" s="152" t="b">
        <f>EXACT(W4,'ARDT Cutter Entry'!W4)</f>
        <v>1</v>
      </c>
      <c r="X27" s="152" t="b">
        <f>EXACT(X4,'ARDT Cutter Entry'!X4)</f>
        <v>1</v>
      </c>
      <c r="Y27" s="152" t="b">
        <f>EXACT(Y4,'ARDT Cutter Entry'!Y4)</f>
        <v>1</v>
      </c>
      <c r="Z27" s="152" t="b">
        <f>EXACT(Z4,'ARDT Cutter Entry'!Z4)</f>
        <v>1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35">
      <c r="C28" s="154" t="b">
        <f>EXACT(C5,'ARDT Cutter Entry'!C5)</f>
        <v>0</v>
      </c>
      <c r="D28" t="b">
        <f>EXACT(D5,'ARDT Cutter Entry'!D5)</f>
        <v>0</v>
      </c>
      <c r="E28" t="b">
        <f>EXACT(E5,'ARDT Cutter Entry'!E5)</f>
        <v>0</v>
      </c>
      <c r="F28" t="b">
        <f>EXACT(F5,'ARDT Cutter Entry'!F5)</f>
        <v>0</v>
      </c>
      <c r="G28" t="b">
        <f>EXACT(G5,'ARDT Cutter Entry'!G5)</f>
        <v>0</v>
      </c>
      <c r="H28" t="b">
        <f>EXACT(H5,'ARDT Cutter Entry'!H5)</f>
        <v>1</v>
      </c>
      <c r="I28" t="b">
        <f>EXACT(I5,'ARDT Cutter Entry'!I5)</f>
        <v>1</v>
      </c>
      <c r="J28" t="b">
        <f>EXACT(J5,'ARDT Cutter Entry'!J5)</f>
        <v>1</v>
      </c>
      <c r="K28" t="b">
        <f>EXACT(K5,'ARDT Cutter Entry'!K5)</f>
        <v>1</v>
      </c>
      <c r="L28" t="b">
        <f>EXACT(L5,'ARDT Cutter Entry'!L5)</f>
        <v>0</v>
      </c>
      <c r="M28" t="b">
        <f>EXACT(M5,'ARDT Cutter Entry'!M5)</f>
        <v>0</v>
      </c>
      <c r="N28" t="b">
        <f>EXACT(N5,'ARDT Cutter Entry'!N5)</f>
        <v>0</v>
      </c>
      <c r="O28" t="b">
        <f>EXACT(O5,'ARDT Cutter Entry'!O5)</f>
        <v>0</v>
      </c>
      <c r="P28" t="b">
        <f>EXACT(P5,'ARDT Cutter Entry'!P5)</f>
        <v>1</v>
      </c>
      <c r="Q28" t="b">
        <f>EXACT(Q5,'ARDT Cutter Entry'!Q5)</f>
        <v>1</v>
      </c>
      <c r="R28" t="b">
        <f>EXACT(R5,'ARDT Cutter Entry'!R5)</f>
        <v>1</v>
      </c>
      <c r="S28" t="b">
        <f>EXACT(S5,'ARDT Cutter Entry'!S5)</f>
        <v>1</v>
      </c>
      <c r="T28" t="b">
        <f>EXACT(T5,'ARDT Cutter Entry'!T5)</f>
        <v>1</v>
      </c>
      <c r="U28" t="b">
        <f>EXACT(U5,'ARDT Cutter Entry'!U5)</f>
        <v>1</v>
      </c>
      <c r="V28" t="b">
        <f>EXACT(V5,'ARDT Cutter Entry'!V5)</f>
        <v>1</v>
      </c>
      <c r="W28" t="b">
        <f>EXACT(W5,'ARDT Cutter Entry'!W5)</f>
        <v>1</v>
      </c>
      <c r="X28" t="b">
        <f>EXACT(X5,'ARDT Cutter Entry'!X5)</f>
        <v>1</v>
      </c>
      <c r="Y28" t="b">
        <f>EXACT(Y5,'ARDT Cutter Entry'!Y5)</f>
        <v>1</v>
      </c>
      <c r="Z28" t="b">
        <f>EXACT(Z5,'ARDT Cutter Entry'!Z5)</f>
        <v>1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35">
      <c r="C29" s="154" t="b">
        <f>EXACT(C6,'ARDT Cutter Entry'!C6)</f>
        <v>0</v>
      </c>
      <c r="D29" t="b">
        <f>EXACT(D6,'ARDT Cutter Entry'!D6)</f>
        <v>0</v>
      </c>
      <c r="E29" t="b">
        <f>EXACT(E6,'ARDT Cutter Entry'!E6)</f>
        <v>0</v>
      </c>
      <c r="F29" t="b">
        <f>EXACT(F6,'ARDT Cutter Entry'!F6)</f>
        <v>0</v>
      </c>
      <c r="G29" t="b">
        <f>EXACT(G6,'ARDT Cutter Entry'!G6)</f>
        <v>0</v>
      </c>
      <c r="H29" t="b">
        <f>EXACT(H6,'ARDT Cutter Entry'!H6)</f>
        <v>0</v>
      </c>
      <c r="I29" t="b">
        <f>EXACT(I6,'ARDT Cutter Entry'!I6)</f>
        <v>0</v>
      </c>
      <c r="J29" t="b">
        <f>EXACT(J6,'ARDT Cutter Entry'!J6)</f>
        <v>1</v>
      </c>
      <c r="K29" t="b">
        <f>EXACT(K6,'ARDT Cutter Entry'!K6)</f>
        <v>1</v>
      </c>
      <c r="L29" t="b">
        <f>EXACT(L6,'ARDT Cutter Entry'!L6)</f>
        <v>0</v>
      </c>
      <c r="M29" t="b">
        <f>EXACT(M6,'ARDT Cutter Entry'!M6)</f>
        <v>0</v>
      </c>
      <c r="N29" t="b">
        <f>EXACT(N6,'ARDT Cutter Entry'!N6)</f>
        <v>0</v>
      </c>
      <c r="O29" t="b">
        <f>EXACT(O6,'ARDT Cutter Entry'!O6)</f>
        <v>1</v>
      </c>
      <c r="P29" t="b">
        <f>EXACT(P6,'ARDT Cutter Entry'!P6)</f>
        <v>1</v>
      </c>
      <c r="Q29" t="b">
        <f>EXACT(Q6,'ARDT Cutter Entry'!Q6)</f>
        <v>1</v>
      </c>
      <c r="R29" t="b">
        <f>EXACT(R6,'ARDT Cutter Entry'!R6)</f>
        <v>1</v>
      </c>
      <c r="S29" t="b">
        <f>EXACT(S6,'ARDT Cutter Entry'!S6)</f>
        <v>1</v>
      </c>
      <c r="T29" t="b">
        <f>EXACT(T6,'ARDT Cutter Entry'!T6)</f>
        <v>1</v>
      </c>
      <c r="U29" t="b">
        <f>EXACT(U6,'ARDT Cutter Entry'!U6)</f>
        <v>1</v>
      </c>
      <c r="V29" t="b">
        <f>EXACT(V6,'ARDT Cutter Entry'!V6)</f>
        <v>1</v>
      </c>
      <c r="W29" t="b">
        <f>EXACT(W6,'ARDT Cutter Entry'!W6)</f>
        <v>1</v>
      </c>
      <c r="X29" t="b">
        <f>EXACT(X6,'ARDT Cutter Entry'!X6)</f>
        <v>1</v>
      </c>
      <c r="Y29" t="b">
        <f>EXACT(Y6,'ARDT Cutter Entry'!Y6)</f>
        <v>1</v>
      </c>
      <c r="Z29" t="b">
        <f>EXACT(Z6,'ARDT Cutter Entry'!Z6)</f>
        <v>1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35">
      <c r="C30" s="154" t="b">
        <f>EXACT(C7,'ARDT Cutter Entry'!C7)</f>
        <v>0</v>
      </c>
      <c r="D30" t="b">
        <f>EXACT(D7,'ARDT Cutter Entry'!D7)</f>
        <v>0</v>
      </c>
      <c r="E30" t="b">
        <f>EXACT(E7,'ARDT Cutter Entry'!E7)</f>
        <v>0</v>
      </c>
      <c r="F30" t="b">
        <f>EXACT(F7,'ARDT Cutter Entry'!F7)</f>
        <v>0</v>
      </c>
      <c r="G30" t="b">
        <f>EXACT(G7,'ARDT Cutter Entry'!G7)</f>
        <v>0</v>
      </c>
      <c r="H30" t="b">
        <f>EXACT(H7,'ARDT Cutter Entry'!H7)</f>
        <v>0</v>
      </c>
      <c r="I30" t="b">
        <f>EXACT(I7,'ARDT Cutter Entry'!I7)</f>
        <v>1</v>
      </c>
      <c r="J30" t="b">
        <f>EXACT(J7,'ARDT Cutter Entry'!J7)</f>
        <v>1</v>
      </c>
      <c r="K30" t="b">
        <f>EXACT(K7,'ARDT Cutter Entry'!K7)</f>
        <v>1</v>
      </c>
      <c r="L30" t="b">
        <f>EXACT(L7,'ARDT Cutter Entry'!L7)</f>
        <v>0</v>
      </c>
      <c r="M30" t="b">
        <f>EXACT(M7,'ARDT Cutter Entry'!M7)</f>
        <v>0</v>
      </c>
      <c r="N30" t="b">
        <f>EXACT(N7,'ARDT Cutter Entry'!N7)</f>
        <v>0</v>
      </c>
      <c r="O30" t="b">
        <f>EXACT(O7,'ARDT Cutter Entry'!O7)</f>
        <v>0</v>
      </c>
      <c r="P30" t="b">
        <f>EXACT(P7,'ARDT Cutter Entry'!P7)</f>
        <v>1</v>
      </c>
      <c r="Q30" t="b">
        <f>EXACT(Q7,'ARDT Cutter Entry'!Q7)</f>
        <v>1</v>
      </c>
      <c r="R30" t="b">
        <f>EXACT(R7,'ARDT Cutter Entry'!R7)</f>
        <v>1</v>
      </c>
      <c r="S30" t="b">
        <f>EXACT(S7,'ARDT Cutter Entry'!S7)</f>
        <v>1</v>
      </c>
      <c r="T30" t="b">
        <f>EXACT(T7,'ARDT Cutter Entry'!T7)</f>
        <v>1</v>
      </c>
      <c r="U30" t="b">
        <f>EXACT(U7,'ARDT Cutter Entry'!U7)</f>
        <v>1</v>
      </c>
      <c r="V30" t="b">
        <f>EXACT(V7,'ARDT Cutter Entry'!V7)</f>
        <v>1</v>
      </c>
      <c r="W30" t="b">
        <f>EXACT(W7,'ARDT Cutter Entry'!W7)</f>
        <v>1</v>
      </c>
      <c r="X30" t="b">
        <f>EXACT(X7,'ARDT Cutter Entry'!X7)</f>
        <v>1</v>
      </c>
      <c r="Y30" t="b">
        <f>EXACT(Y7,'ARDT Cutter Entry'!Y7)</f>
        <v>1</v>
      </c>
      <c r="Z30" t="b">
        <f>EXACT(Z7,'ARDT Cutter Entry'!Z7)</f>
        <v>1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35">
      <c r="C31" s="154" t="b">
        <f>EXACT(C8,'ARDT Cutter Entry'!C8)</f>
        <v>0</v>
      </c>
      <c r="D31" t="b">
        <f>EXACT(D8,'ARDT Cutter Entry'!D8)</f>
        <v>0</v>
      </c>
      <c r="E31" t="b">
        <f>EXACT(E8,'ARDT Cutter Entry'!E8)</f>
        <v>0</v>
      </c>
      <c r="F31" t="b">
        <f>EXACT(F8,'ARDT Cutter Entry'!F8)</f>
        <v>0</v>
      </c>
      <c r="G31" t="b">
        <f>EXACT(G8,'ARDT Cutter Entry'!G8)</f>
        <v>0</v>
      </c>
      <c r="H31" t="b">
        <f>EXACT(H8,'ARDT Cutter Entry'!H8)</f>
        <v>0</v>
      </c>
      <c r="I31" t="b">
        <f>EXACT(I8,'ARDT Cutter Entry'!I8)</f>
        <v>0</v>
      </c>
      <c r="J31" t="b">
        <f>EXACT(J8,'ARDT Cutter Entry'!J8)</f>
        <v>0</v>
      </c>
      <c r="K31" t="b">
        <f>EXACT(K8,'ARDT Cutter Entry'!K8)</f>
        <v>1</v>
      </c>
      <c r="L31" t="b">
        <f>EXACT(L8,'ARDT Cutter Entry'!L8)</f>
        <v>0</v>
      </c>
      <c r="M31" t="b">
        <f>EXACT(M8,'ARDT Cutter Entry'!M8)</f>
        <v>0</v>
      </c>
      <c r="N31" t="b">
        <f>EXACT(N8,'ARDT Cutter Entry'!N8)</f>
        <v>0</v>
      </c>
      <c r="O31" t="b">
        <f>EXACT(O8,'ARDT Cutter Entry'!O8)</f>
        <v>0</v>
      </c>
      <c r="P31" t="b">
        <f>EXACT(P8,'ARDT Cutter Entry'!P8)</f>
        <v>1</v>
      </c>
      <c r="Q31" t="b">
        <f>EXACT(Q8,'ARDT Cutter Entry'!Q8)</f>
        <v>1</v>
      </c>
      <c r="R31" t="b">
        <f>EXACT(R8,'ARDT Cutter Entry'!R8)</f>
        <v>1</v>
      </c>
      <c r="S31" t="b">
        <f>EXACT(S8,'ARDT Cutter Entry'!S8)</f>
        <v>1</v>
      </c>
      <c r="T31" t="b">
        <f>EXACT(T8,'ARDT Cutter Entry'!T8)</f>
        <v>1</v>
      </c>
      <c r="U31" t="b">
        <f>EXACT(U8,'ARDT Cutter Entry'!U8)</f>
        <v>1</v>
      </c>
      <c r="V31" t="b">
        <f>EXACT(V8,'ARDT Cutter Entry'!V8)</f>
        <v>1</v>
      </c>
      <c r="W31" t="b">
        <f>EXACT(W8,'ARDT Cutter Entry'!W8)</f>
        <v>1</v>
      </c>
      <c r="X31" t="b">
        <f>EXACT(X8,'ARDT Cutter Entry'!X8)</f>
        <v>1</v>
      </c>
      <c r="Y31" t="b">
        <f>EXACT(Y8,'ARDT Cutter Entry'!Y8)</f>
        <v>1</v>
      </c>
      <c r="Z31" t="b">
        <f>EXACT(Z8,'ARDT Cutter Entry'!Z8)</f>
        <v>1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35">
      <c r="C32" s="154" t="b">
        <f>EXACT(C9,'ARDT Cutter Entry'!C9)</f>
        <v>0</v>
      </c>
      <c r="D32" t="b">
        <f>EXACT(D9,'ARDT Cutter Entry'!D9)</f>
        <v>0</v>
      </c>
      <c r="E32" t="b">
        <f>EXACT(E9,'ARDT Cutter Entry'!E9)</f>
        <v>0</v>
      </c>
      <c r="F32" t="b">
        <f>EXACT(F9,'ARDT Cutter Entry'!F9)</f>
        <v>0</v>
      </c>
      <c r="G32" t="b">
        <f>EXACT(G9,'ARDT Cutter Entry'!G9)</f>
        <v>0</v>
      </c>
      <c r="H32" t="b">
        <f>EXACT(H9,'ARDT Cutter Entry'!H9)</f>
        <v>1</v>
      </c>
      <c r="I32" t="b">
        <f>EXACT(I9,'ARDT Cutter Entry'!I9)</f>
        <v>1</v>
      </c>
      <c r="J32" t="b">
        <f>EXACT(J9,'ARDT Cutter Entry'!J9)</f>
        <v>1</v>
      </c>
      <c r="K32" t="b">
        <f>EXACT(K9,'ARDT Cutter Entry'!K9)</f>
        <v>1</v>
      </c>
      <c r="L32" t="b">
        <f>EXACT(L9,'ARDT Cutter Entry'!L9)</f>
        <v>0</v>
      </c>
      <c r="M32" t="b">
        <f>EXACT(M9,'ARDT Cutter Entry'!M9)</f>
        <v>0</v>
      </c>
      <c r="N32" t="b">
        <f>EXACT(N9,'ARDT Cutter Entry'!N9)</f>
        <v>0</v>
      </c>
      <c r="O32" t="b">
        <f>EXACT(O9,'ARDT Cutter Entry'!O9)</f>
        <v>0</v>
      </c>
      <c r="P32" t="b">
        <f>EXACT(P9,'ARDT Cutter Entry'!P9)</f>
        <v>1</v>
      </c>
      <c r="Q32" t="b">
        <f>EXACT(Q9,'ARDT Cutter Entry'!Q9)</f>
        <v>1</v>
      </c>
      <c r="R32" t="b">
        <f>EXACT(R9,'ARDT Cutter Entry'!R9)</f>
        <v>1</v>
      </c>
      <c r="S32" t="b">
        <f>EXACT(S9,'ARDT Cutter Entry'!S9)</f>
        <v>1</v>
      </c>
      <c r="T32" t="b">
        <f>EXACT(T9,'ARDT Cutter Entry'!T9)</f>
        <v>1</v>
      </c>
      <c r="U32" t="b">
        <f>EXACT(U9,'ARDT Cutter Entry'!U9)</f>
        <v>1</v>
      </c>
      <c r="V32" t="b">
        <f>EXACT(V9,'ARDT Cutter Entry'!V9)</f>
        <v>1</v>
      </c>
      <c r="W32" t="b">
        <f>EXACT(W9,'ARDT Cutter Entry'!W9)</f>
        <v>1</v>
      </c>
      <c r="X32" t="b">
        <f>EXACT(X9,'ARDT Cutter Entry'!X9)</f>
        <v>1</v>
      </c>
      <c r="Y32" t="b">
        <f>EXACT(Y9,'ARDT Cutter Entry'!Y9)</f>
        <v>1</v>
      </c>
      <c r="Z32" t="b">
        <f>EXACT(Z9,'ARDT Cutter Entry'!Z9)</f>
        <v>1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35">
      <c r="C33" s="154" t="b">
        <f>EXACT(C10,'ARDT Cutter Entry'!C10)</f>
        <v>1</v>
      </c>
      <c r="D33" t="b">
        <f>EXACT(D10,'ARDT Cutter Entry'!D10)</f>
        <v>1</v>
      </c>
      <c r="E33" t="b">
        <f>EXACT(E10,'ARDT Cutter Entry'!E10)</f>
        <v>1</v>
      </c>
      <c r="F33" t="b">
        <f>EXACT(F10,'ARDT Cutter Entry'!F10)</f>
        <v>1</v>
      </c>
      <c r="G33" t="b">
        <f>EXACT(G10,'ARDT Cutter Entry'!G10)</f>
        <v>1</v>
      </c>
      <c r="H33" t="b">
        <f>EXACT(H10,'ARDT Cutter Entry'!H10)</f>
        <v>1</v>
      </c>
      <c r="I33" t="b">
        <f>EXACT(I10,'ARDT Cutter Entry'!I10)</f>
        <v>1</v>
      </c>
      <c r="J33" t="b">
        <f>EXACT(J10,'ARDT Cutter Entry'!J10)</f>
        <v>1</v>
      </c>
      <c r="K33" t="b">
        <f>EXACT(K10,'ARDT Cutter Entry'!K10)</f>
        <v>1</v>
      </c>
      <c r="L33" t="b">
        <f>EXACT(L10,'ARDT Cutter Entry'!L10)</f>
        <v>1</v>
      </c>
      <c r="M33" t="b">
        <f>EXACT(M10,'ARDT Cutter Entry'!M10)</f>
        <v>1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1</v>
      </c>
      <c r="U33" t="b">
        <f>EXACT(U10,'ARDT Cutter Entry'!U10)</f>
        <v>1</v>
      </c>
      <c r="V33" t="b">
        <f>EXACT(V10,'ARDT Cutter Entry'!V10)</f>
        <v>1</v>
      </c>
      <c r="W33" t="b">
        <f>EXACT(W10,'ARDT Cutter Entry'!W10)</f>
        <v>1</v>
      </c>
      <c r="X33" t="b">
        <f>EXACT(X10,'ARDT Cutter Entry'!X10)</f>
        <v>1</v>
      </c>
      <c r="Y33" t="b">
        <f>EXACT(Y10,'ARDT Cutter Entry'!Y10)</f>
        <v>1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35">
      <c r="C34" s="154" t="b">
        <f>EXACT(C11,'ARDT Cutter Entry'!C11)</f>
        <v>1</v>
      </c>
      <c r="D34" t="b">
        <f>EXACT(D11,'ARDT Cutter Entry'!D11)</f>
        <v>1</v>
      </c>
      <c r="E34" t="b">
        <f>EXACT(E11,'ARDT Cutter Entry'!E11)</f>
        <v>1</v>
      </c>
      <c r="F34" t="b">
        <f>EXACT(F11,'ARDT Cutter Entry'!F11)</f>
        <v>1</v>
      </c>
      <c r="G34" t="b">
        <f>EXACT(G11,'ARDT Cutter Entry'!G11)</f>
        <v>1</v>
      </c>
      <c r="H34" t="b">
        <f>EXACT(H11,'ARDT Cutter Entry'!H11)</f>
        <v>1</v>
      </c>
      <c r="I34" t="b">
        <f>EXACT(I11,'ARDT Cutter Entry'!I11)</f>
        <v>1</v>
      </c>
      <c r="J34" t="b">
        <f>EXACT(J11,'ARDT Cutter Entry'!J11)</f>
        <v>1</v>
      </c>
      <c r="K34" t="b">
        <f>EXACT(K11,'ARDT Cutter Entry'!K11)</f>
        <v>1</v>
      </c>
      <c r="L34" t="b">
        <f>EXACT(L11,'ARDT Cutter Entry'!L11)</f>
        <v>1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1</v>
      </c>
      <c r="U34" t="b">
        <f>EXACT(U11,'ARDT Cutter Entry'!U11)</f>
        <v>1</v>
      </c>
      <c r="V34" t="b">
        <f>EXACT(V11,'ARDT Cutter Entry'!V11)</f>
        <v>1</v>
      </c>
      <c r="W34" t="b">
        <f>EXACT(W11,'ARDT Cutter Entry'!W11)</f>
        <v>1</v>
      </c>
      <c r="X34" t="b">
        <f>EXACT(X11,'ARDT Cutter Entry'!X11)</f>
        <v>1</v>
      </c>
      <c r="Y34" t="b">
        <f>EXACT(Y11,'ARDT Cutter Entry'!Y11)</f>
        <v>1</v>
      </c>
      <c r="Z34" t="b">
        <f>EXACT(Z11,'ARDT Cutter Entry'!Z11)</f>
        <v>1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3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3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3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3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35">
      <c r="C39" s="36">
        <f>IF(C4&lt;&gt;"",COUNTIF(C27:AJ38,"FALSE"),0)</f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zoomScaleNormal="100" zoomScaleSheetLayoutView="100" workbookViewId="0">
      <selection activeCell="AT18" sqref="AT18"/>
    </sheetView>
  </sheetViews>
  <sheetFormatPr defaultColWidth="9.1796875" defaultRowHeight="14.5" x14ac:dyDescent="0.35"/>
  <cols>
    <col min="1" max="2" width="4.1796875" style="656" customWidth="1"/>
    <col min="3" max="36" width="2.54296875" style="656" customWidth="1"/>
    <col min="37" max="37" width="6.26953125" style="656" bestFit="1" customWidth="1"/>
    <col min="38" max="38" width="3" style="656" customWidth="1"/>
    <col min="39" max="39" width="3" style="656" hidden="1" customWidth="1"/>
    <col min="40" max="40" width="5.179687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796875" style="656" customWidth="1"/>
    <col min="60" max="158" width="9.1796875" style="656"/>
    <col min="159" max="159" width="9.1796875" style="656" customWidth="1"/>
    <col min="160" max="16384" width="9.1796875" style="656"/>
  </cols>
  <sheetData>
    <row r="1" spans="1:37" ht="18" customHeight="1" thickBot="1" x14ac:dyDescent="0.4">
      <c r="A1" s="1484"/>
      <c r="B1" s="1485"/>
      <c r="C1" s="1486"/>
      <c r="D1" s="1478" t="s">
        <v>22</v>
      </c>
      <c r="E1" s="1479"/>
      <c r="F1" s="1479"/>
      <c r="G1" s="1479"/>
      <c r="H1" s="1479"/>
      <c r="I1" s="1479"/>
      <c r="J1" s="1479"/>
      <c r="K1" s="1479"/>
      <c r="L1" s="1479"/>
      <c r="M1" s="1479"/>
      <c r="N1" s="1479"/>
      <c r="O1" s="1479"/>
      <c r="P1" s="1479"/>
      <c r="Q1" s="1479"/>
      <c r="R1" s="1479"/>
      <c r="S1" s="1479"/>
      <c r="T1" s="1479"/>
      <c r="U1" s="1479"/>
      <c r="V1" s="1479"/>
      <c r="W1" s="1479"/>
      <c r="X1" s="1479"/>
      <c r="Y1" s="1479"/>
      <c r="Z1" s="1479"/>
      <c r="AA1" s="1479"/>
      <c r="AB1" s="1479"/>
      <c r="AC1" s="1479"/>
      <c r="AD1" s="1479"/>
      <c r="AE1" s="1479"/>
      <c r="AF1" s="1479"/>
      <c r="AG1" s="1479"/>
      <c r="AH1" s="1479"/>
      <c r="AI1" s="1479"/>
      <c r="AJ1" s="1480"/>
    </row>
    <row r="2" spans="1:37" ht="10.5" customHeight="1" thickBot="1" x14ac:dyDescent="0.4">
      <c r="A2" s="1487"/>
      <c r="B2" s="1488"/>
      <c r="C2" s="1489"/>
      <c r="D2" s="1384" t="s">
        <v>24</v>
      </c>
      <c r="E2" s="1385"/>
      <c r="F2" s="1385"/>
      <c r="G2" s="1385"/>
      <c r="H2" s="1385"/>
      <c r="I2" s="1385"/>
      <c r="J2" s="1385"/>
      <c r="K2" s="1385"/>
      <c r="L2" s="1385"/>
      <c r="M2" s="1386"/>
      <c r="N2" s="1387" t="s">
        <v>1912</v>
      </c>
      <c r="O2" s="1388"/>
      <c r="P2" s="1388"/>
      <c r="Q2" s="1388"/>
      <c r="R2" s="1388"/>
      <c r="S2" s="1388"/>
      <c r="T2" s="1388"/>
      <c r="U2" s="1388"/>
      <c r="V2" s="1388"/>
      <c r="W2" s="1388"/>
      <c r="X2" s="1388"/>
      <c r="Y2" s="1389"/>
      <c r="Z2" s="1384" t="s">
        <v>1911</v>
      </c>
      <c r="AA2" s="1385"/>
      <c r="AB2" s="1385"/>
      <c r="AC2" s="1385"/>
      <c r="AD2" s="1385"/>
      <c r="AE2" s="1385"/>
      <c r="AF2" s="1385"/>
      <c r="AG2" s="1385"/>
      <c r="AH2" s="1385"/>
      <c r="AI2" s="1385"/>
      <c r="AJ2" s="1386"/>
    </row>
    <row r="3" spans="1:37" ht="12.75" customHeight="1" thickBot="1" x14ac:dyDescent="0.4">
      <c r="A3" s="1487"/>
      <c r="B3" s="1488"/>
      <c r="C3" s="1489"/>
      <c r="D3" s="1481" t="s">
        <v>1067</v>
      </c>
      <c r="E3" s="1482"/>
      <c r="F3" s="1482"/>
      <c r="G3" s="1482"/>
      <c r="H3" s="1482"/>
      <c r="I3" s="1482"/>
      <c r="J3" s="1482"/>
      <c r="K3" s="1482"/>
      <c r="L3" s="1482"/>
      <c r="M3" s="1482"/>
      <c r="N3" s="1482"/>
      <c r="O3" s="1482"/>
      <c r="P3" s="1482"/>
      <c r="Q3" s="1482"/>
      <c r="R3" s="1482"/>
      <c r="S3" s="1482"/>
      <c r="T3" s="1482"/>
      <c r="U3" s="1482"/>
      <c r="V3" s="1482"/>
      <c r="W3" s="1482"/>
      <c r="X3" s="1482"/>
      <c r="Y3" s="1482"/>
      <c r="Z3" s="1482"/>
      <c r="AA3" s="1482"/>
      <c r="AB3" s="1482"/>
      <c r="AC3" s="1482"/>
      <c r="AD3" s="1482"/>
      <c r="AE3" s="1482"/>
      <c r="AF3" s="1482"/>
      <c r="AG3" s="1482"/>
      <c r="AH3" s="1482"/>
      <c r="AI3" s="1482"/>
      <c r="AJ3" s="1483"/>
    </row>
    <row r="4" spans="1:37" ht="12.75" customHeight="1" thickBot="1" x14ac:dyDescent="0.4">
      <c r="A4" s="1490"/>
      <c r="B4" s="1491"/>
      <c r="C4" s="1492"/>
      <c r="D4" s="1405" t="s">
        <v>1499</v>
      </c>
      <c r="E4" s="1407"/>
      <c r="F4" s="1407"/>
      <c r="G4" s="1407"/>
      <c r="H4" s="1407"/>
      <c r="I4" s="1407"/>
      <c r="J4" s="1407"/>
      <c r="K4" s="1407"/>
      <c r="L4" s="1407"/>
      <c r="M4" s="1407"/>
      <c r="N4" s="1407"/>
      <c r="O4" s="1407"/>
      <c r="P4" s="1407"/>
      <c r="Q4" s="1407"/>
      <c r="R4" s="1407"/>
      <c r="S4" s="1407"/>
      <c r="T4" s="1407"/>
      <c r="U4" s="1407"/>
      <c r="V4" s="1407"/>
      <c r="W4" s="1407"/>
      <c r="X4" s="1407"/>
      <c r="Y4" s="1407"/>
      <c r="Z4" s="1406"/>
      <c r="AA4" s="1444" t="s">
        <v>26</v>
      </c>
      <c r="AB4" s="1445"/>
      <c r="AC4" s="1445"/>
      <c r="AD4" s="1445"/>
      <c r="AE4" s="1445"/>
      <c r="AF4" s="1445"/>
      <c r="AG4" s="1445"/>
      <c r="AH4" s="1445"/>
      <c r="AI4" s="1445"/>
      <c r="AJ4" s="1446"/>
    </row>
    <row r="5" spans="1:37" ht="6.75" customHeight="1" thickBot="1" x14ac:dyDescent="0.4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4">
      <c r="A6" s="1493" t="s">
        <v>27</v>
      </c>
      <c r="B6" s="1493"/>
      <c r="C6" s="1493"/>
      <c r="D6" s="1493"/>
      <c r="E6" s="1494"/>
      <c r="F6" s="1405" t="str">
        <f>IF(Data!B1&lt;&gt;"", Data!B1, " ")</f>
        <v>2025-AR-109</v>
      </c>
      <c r="G6" s="1407"/>
      <c r="H6" s="1407"/>
      <c r="I6" s="1407"/>
      <c r="J6" s="1407"/>
      <c r="K6" s="1407"/>
      <c r="L6" s="1406"/>
      <c r="M6" s="730"/>
      <c r="N6" s="1472" t="s">
        <v>28</v>
      </c>
      <c r="O6" s="1472"/>
      <c r="P6" s="1472"/>
      <c r="Q6" s="1405">
        <f>IF(Data!B2&lt;&gt;"", Data!B2, " ")</f>
        <v>13845937</v>
      </c>
      <c r="R6" s="1407"/>
      <c r="S6" s="1407"/>
      <c r="T6" s="1407"/>
      <c r="U6" s="1407"/>
      <c r="V6" s="1407"/>
      <c r="W6" s="1406"/>
      <c r="X6" s="730"/>
      <c r="Y6" s="1463" t="s">
        <v>1500</v>
      </c>
      <c r="Z6" s="1463"/>
      <c r="AA6" s="1463"/>
      <c r="AB6" s="1463"/>
      <c r="AC6" s="1496"/>
      <c r="AD6" s="1405" t="str">
        <f>IF(LEN(Q6)&gt;3,IF(COUNTIF(Q6,"*R1"),SUBSTITUTE(Q6,"R1","R2"),IF(AND(NOT(COUNTIF(Q6,"*R")),NOT(COUNTIF(Q6,"*R2"))),Q6&amp;"R",IF(COUNTIF(Q6,"*R"),Q6&amp;"2",IF(COUNTIF(Q6,"*R2"),SUBSTITUTE(Q6,"R2","R3"))))),"")</f>
        <v>13845937R</v>
      </c>
      <c r="AE6" s="1407"/>
      <c r="AF6" s="1407"/>
      <c r="AG6" s="1407"/>
      <c r="AH6" s="1407"/>
      <c r="AI6" s="1407"/>
      <c r="AJ6" s="1406"/>
    </row>
    <row r="7" spans="1:37" ht="6.75" customHeight="1" thickBot="1" x14ac:dyDescent="0.4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4">
      <c r="D8" s="1493" t="s">
        <v>29</v>
      </c>
      <c r="E8" s="1494"/>
      <c r="F8" s="1405" t="str">
        <f>IF(LEN(Data!B3)&gt;3,IF(AND(Data!B43&lt;&gt;"",Data!B43&lt;&gt;"0 0/1"""),Data!B43,""),IF(Data!B3&lt;&gt;"",Data!B3&amp;"""",""))</f>
        <v>8 3/8"</v>
      </c>
      <c r="G8" s="1407"/>
      <c r="H8" s="1407"/>
      <c r="I8" s="1407"/>
      <c r="J8" s="1407"/>
      <c r="K8" s="1407"/>
      <c r="L8" s="1406"/>
      <c r="O8" s="1472" t="s">
        <v>32</v>
      </c>
      <c r="P8" s="1473"/>
      <c r="Q8" s="1405" t="str">
        <f>IF(Data!B7&lt;&gt;"",Data!B7, " ")</f>
        <v>SAUDI ARAMCO</v>
      </c>
      <c r="R8" s="1407"/>
      <c r="S8" s="1407"/>
      <c r="T8" s="1407"/>
      <c r="U8" s="1407"/>
      <c r="V8" s="1407"/>
      <c r="W8" s="1406"/>
      <c r="X8" s="659"/>
      <c r="Y8" s="1495" t="s">
        <v>1777</v>
      </c>
      <c r="Z8" s="1472"/>
      <c r="AA8" s="1472"/>
      <c r="AB8" s="1472"/>
      <c r="AC8" s="1472"/>
      <c r="AD8" s="1497">
        <f>IF(Data!B6&lt;&gt;"",Data!B6," ")</f>
        <v>46002</v>
      </c>
      <c r="AE8" s="1498"/>
      <c r="AF8" s="1498"/>
      <c r="AG8" s="1498"/>
      <c r="AH8" s="1498"/>
      <c r="AI8" s="1498"/>
      <c r="AJ8" s="1499"/>
    </row>
    <row r="9" spans="1:37" ht="6.75" customHeight="1" thickBot="1" x14ac:dyDescent="0.4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1472"/>
      <c r="Z9" s="1472"/>
      <c r="AA9" s="1472"/>
      <c r="AB9" s="1472"/>
      <c r="AC9" s="1472"/>
      <c r="AD9" s="660"/>
      <c r="AE9" s="660"/>
      <c r="AF9" s="660"/>
      <c r="AG9" s="660"/>
      <c r="AH9" s="660"/>
      <c r="AI9" s="660"/>
    </row>
    <row r="10" spans="1:37" ht="13.5" customHeight="1" thickBot="1" x14ac:dyDescent="0.4">
      <c r="B10" s="1472" t="s">
        <v>2008</v>
      </c>
      <c r="C10" s="1472"/>
      <c r="D10" s="1472"/>
      <c r="E10" s="1473"/>
      <c r="F10" s="1405" t="str">
        <f>IF(Data!B4&lt;&gt;"",Data!B4," ")</f>
        <v>MM65DH-1</v>
      </c>
      <c r="G10" s="1407"/>
      <c r="H10" s="1407"/>
      <c r="I10" s="1407"/>
      <c r="J10" s="1407"/>
      <c r="K10" s="1407"/>
      <c r="L10" s="1406"/>
      <c r="M10" s="1463" t="s">
        <v>1501</v>
      </c>
      <c r="N10" s="1463"/>
      <c r="O10" s="1463"/>
      <c r="P10" s="1463"/>
      <c r="Q10" s="1405" t="str">
        <f>IF(Data!B22&lt;&gt;"",Data!B22, " ")</f>
        <v xml:space="preserve"> </v>
      </c>
      <c r="R10" s="1407"/>
      <c r="S10" s="1407"/>
      <c r="T10" s="1407"/>
      <c r="U10" s="1407"/>
      <c r="V10" s="1407"/>
      <c r="W10" s="1406"/>
      <c r="X10" s="730"/>
      <c r="Y10" s="1463" t="s">
        <v>33</v>
      </c>
      <c r="Z10" s="1463"/>
      <c r="AA10" s="1463"/>
      <c r="AB10" s="1463"/>
      <c r="AC10" s="1463"/>
      <c r="AD10" s="1405">
        <f>IF(Data!B24&lt;&gt;"",Data!B24,IFERROR(VLOOKUP(Data!$B$7,Data!F63:G70,2,FALSE),""))</f>
        <v>6600048646</v>
      </c>
      <c r="AE10" s="1407"/>
      <c r="AF10" s="1407"/>
      <c r="AG10" s="1407"/>
      <c r="AH10" s="1407"/>
      <c r="AI10" s="1407"/>
      <c r="AJ10" s="1406"/>
    </row>
    <row r="11" spans="1:37" ht="6.75" customHeight="1" thickBot="1" x14ac:dyDescent="0.4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4">
      <c r="B12" s="1472" t="s">
        <v>1502</v>
      </c>
      <c r="C12" s="1472"/>
      <c r="D12" s="1472"/>
      <c r="E12" s="1473"/>
      <c r="F12" s="1405" t="str">
        <f>IF(Data!B10&lt;&gt;"", Data!B10, "")</f>
        <v>-</v>
      </c>
      <c r="G12" s="1407"/>
      <c r="H12" s="1407"/>
      <c r="I12" s="1407"/>
      <c r="J12" s="1407"/>
      <c r="K12" s="1407"/>
      <c r="L12" s="1406"/>
      <c r="M12" s="1463" t="s">
        <v>1503</v>
      </c>
      <c r="N12" s="1463"/>
      <c r="O12" s="1463"/>
      <c r="P12" s="1463"/>
      <c r="Q12" s="1405" t="str">
        <f>IF(Data!B23&lt;&gt;"",Data!B23, " ")</f>
        <v xml:space="preserve"> </v>
      </c>
      <c r="R12" s="1407"/>
      <c r="S12" s="1407"/>
      <c r="T12" s="1407"/>
      <c r="U12" s="1407"/>
      <c r="V12" s="1407"/>
      <c r="W12" s="1406"/>
      <c r="X12" s="730"/>
      <c r="Y12" s="1463" t="s">
        <v>1504</v>
      </c>
      <c r="Z12" s="1463"/>
      <c r="AA12" s="1463"/>
      <c r="AB12" s="1463"/>
      <c r="AC12" s="1463"/>
      <c r="AD12" s="1405">
        <f>IF(Data!B25&lt;&gt;"",Data!B25, " ")</f>
        <v>10012130</v>
      </c>
      <c r="AE12" s="1407"/>
      <c r="AF12" s="1407"/>
      <c r="AG12" s="1407"/>
      <c r="AH12" s="1407"/>
      <c r="AI12" s="1407"/>
      <c r="AJ12" s="1406"/>
    </row>
    <row r="13" spans="1:37" ht="15" thickBot="1" x14ac:dyDescent="0.4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35">
      <c r="A14" s="1500"/>
      <c r="B14" s="1501"/>
      <c r="C14" s="1468" t="s">
        <v>17</v>
      </c>
      <c r="D14" s="1469"/>
      <c r="E14" s="1469"/>
      <c r="F14" s="1469"/>
      <c r="G14" s="1469"/>
      <c r="H14" s="1469"/>
      <c r="I14" s="1469"/>
      <c r="J14" s="1469"/>
      <c r="K14" s="1469"/>
      <c r="L14" s="1469"/>
      <c r="M14" s="1469"/>
      <c r="N14" s="1469"/>
      <c r="O14" s="1469"/>
      <c r="P14" s="1469"/>
      <c r="Q14" s="1469"/>
      <c r="R14" s="1469"/>
      <c r="S14" s="1469"/>
      <c r="T14" s="1469"/>
      <c r="U14" s="1469"/>
      <c r="V14" s="1469"/>
      <c r="W14" s="1469"/>
      <c r="X14" s="1469"/>
      <c r="Y14" s="1469"/>
      <c r="Z14" s="1469"/>
      <c r="AA14" s="1469"/>
      <c r="AB14" s="1469"/>
      <c r="AC14" s="1469"/>
      <c r="AD14" s="1469"/>
      <c r="AE14" s="1469"/>
      <c r="AF14" s="1469"/>
      <c r="AG14" s="1469"/>
      <c r="AH14" s="1469"/>
      <c r="AI14" s="1469"/>
      <c r="AJ14" s="1470"/>
      <c r="AK14" s="731">
        <f>COUNTBLANK(AK15:AK22)</f>
        <v>7</v>
      </c>
    </row>
    <row r="15" spans="1:37" ht="9" customHeight="1" thickBot="1" x14ac:dyDescent="0.4">
      <c r="A15" s="1502"/>
      <c r="B15" s="1503"/>
      <c r="C15" s="834">
        <f>IF(Data!$BQ$44&lt;&gt;0,1,0)</f>
        <v>1</v>
      </c>
      <c r="D15" s="835">
        <f>IF(Data!$BQ$44&lt;&gt;0,IF(AND(C15&lt;&gt;0,Data!$BQ$44&gt;C15),C15+1,0),0)</f>
        <v>2</v>
      </c>
      <c r="E15" s="835">
        <f>IF(Data!$BQ$44&lt;&gt;0,IF(AND(D15&lt;&gt;0,Data!$BQ$44&gt;D15),D15+1,0),0)</f>
        <v>3</v>
      </c>
      <c r="F15" s="835">
        <f>IF(Data!$BQ$44&lt;&gt;0,IF(AND(E15&lt;&gt;0,Data!$BQ$44&gt;E15),E15+1,0),0)</f>
        <v>4</v>
      </c>
      <c r="G15" s="835">
        <f>IF(Data!$BQ$44&lt;&gt;0,IF(AND(F15&lt;&gt;0,Data!$BQ$44&gt;F15),F15+1,0),0)</f>
        <v>5</v>
      </c>
      <c r="H15" s="835">
        <f>IF(Data!$BQ$44&lt;&gt;0,IF(AND(G15&lt;&gt;0,Data!$BQ$44&gt;G15),G15+1,0),0)</f>
        <v>6</v>
      </c>
      <c r="I15" s="835">
        <f>IF(Data!$BQ$44&lt;&gt;0,IF(AND(H15&lt;&gt;0,Data!$BQ$44&gt;H15),H15+1,0),0)</f>
        <v>7</v>
      </c>
      <c r="J15" s="835">
        <f>IF(Data!$BQ$44&lt;&gt;0,IF(AND(I15&lt;&gt;0,Data!$BQ$44&gt;I15),I15+1,0),0)</f>
        <v>8</v>
      </c>
      <c r="K15" s="835">
        <f>IF(Data!$BQ$44&lt;&gt;0,IF(AND(J15&lt;&gt;0,Data!$BQ$44&gt;J15),J15+1,0),0)</f>
        <v>9</v>
      </c>
      <c r="L15" s="835">
        <f>IF(Data!$BQ$44&lt;&gt;0,IF(AND(K15&lt;&gt;0,Data!$BQ$44&gt;K15),K15+1,0),0)</f>
        <v>10</v>
      </c>
      <c r="M15" s="835">
        <f>IF(Data!$BQ$44&lt;&gt;0,IF(AND(L15&lt;&gt;0,Data!$BQ$44&gt;L15),L15+1,0),0)</f>
        <v>11</v>
      </c>
      <c r="N15" s="835">
        <f>IF(Data!$BQ$44&lt;&gt;0,IF(AND(M15&lt;&gt;0,Data!$BQ$44&gt;M15),M15+1,0),0)</f>
        <v>12</v>
      </c>
      <c r="O15" s="835">
        <f>IF(Data!$BQ$44&lt;&gt;0,IF(AND(N15&lt;&gt;0,Data!$BQ$44&gt;N15),N15+1,0),0)</f>
        <v>0</v>
      </c>
      <c r="P15" s="835">
        <f>IF(Data!$BQ$44&lt;&gt;0,IF(AND(O15&lt;&gt;0,Data!$BQ$44&gt;O15),O15+1,0),0)</f>
        <v>0</v>
      </c>
      <c r="Q15" s="835">
        <f>IF(Data!$BQ$44&lt;&gt;0,IF(AND(P15&lt;&gt;0,Data!$BQ$44&gt;P15),P15+1,0),0)</f>
        <v>0</v>
      </c>
      <c r="R15" s="835">
        <f>IF(Data!$BQ$44&lt;&gt;0,IF(AND(Q15&lt;&gt;0,Data!$BQ$44&gt;Q15),Q15+1,0),0)</f>
        <v>0</v>
      </c>
      <c r="S15" s="835">
        <f>IF(Data!$BQ$44&lt;&gt;0,IF(AND(R15&lt;&gt;0,Data!$BQ$44&gt;R15),R15+1,0),0)</f>
        <v>0</v>
      </c>
      <c r="T15" s="835">
        <f>IF(Data!$BQ$44&lt;&gt;0,IF(AND(S15&lt;&gt;0,Data!$BQ$44&gt;S15),S15+1,0),0)</f>
        <v>0</v>
      </c>
      <c r="U15" s="835">
        <f>IF(Data!$BQ$44&lt;&gt;0,IF(AND(T15&lt;&gt;0,Data!$BQ$44&gt;T15),T15+1,0),0)</f>
        <v>0</v>
      </c>
      <c r="V15" s="835">
        <f>IF(Data!$BQ$44&lt;&gt;0,IF(AND(U15&lt;&gt;0,Data!$BQ$44&gt;U15),U15+1,0),0)</f>
        <v>0</v>
      </c>
      <c r="W15" s="835">
        <f>IF(Data!$BQ$44&lt;&gt;0,IF(AND(V15&lt;&gt;0,Data!$BQ$44&gt;V15),V15+1,0),0)</f>
        <v>0</v>
      </c>
      <c r="X15" s="835">
        <f>IF(Data!$BQ$44&lt;&gt;0,IF(AND(W15&lt;&gt;0,Data!$BQ$44&gt;W15),W15+1,0),0)</f>
        <v>0</v>
      </c>
      <c r="Y15" s="835">
        <f>IF(Data!$BQ$44&lt;&gt;0,IF(AND(X15&lt;&gt;0,Data!$BQ$44&gt;X15),X15+1,0),0)</f>
        <v>0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35">
      <c r="A16" s="1504" t="s">
        <v>18</v>
      </c>
      <c r="B16" s="910">
        <v>1</v>
      </c>
      <c r="C16" s="816" t="str">
        <f>TRIM(IF(TRANSPOSE!C42&lt;&gt;"",TRANSPOSE!C42,""))</f>
        <v>O</v>
      </c>
      <c r="D16" s="817" t="str">
        <f>TRIM(IF(TRANSPOSE!D42&lt;&gt;"",TRANSPOSE!D42,""))</f>
        <v>O</v>
      </c>
      <c r="E16" s="817" t="str">
        <f>TRIM(IF(TRANSPOSE!E42&lt;&gt;"",TRANSPOSE!E42,""))</f>
        <v>O</v>
      </c>
      <c r="F16" s="817" t="str">
        <f>TRIM(IF(TRANSPOSE!F42&lt;&gt;"",TRANSPOSE!F42,""))</f>
        <v>O</v>
      </c>
      <c r="G16" s="817" t="str">
        <f>TRIM(IF(TRANSPOSE!G42&lt;&gt;"",TRANSPOSE!G42,""))</f>
        <v>O</v>
      </c>
      <c r="H16" s="817" t="str">
        <f>TRIM(IF(TRANSPOSE!H42&lt;&gt;"",TRANSPOSE!H42,""))</f>
        <v>X</v>
      </c>
      <c r="I16" s="817" t="str">
        <f>TRIM(IF(TRANSPOSE!I42&lt;&gt;"",TRANSPOSE!I42,""))</f>
        <v>R</v>
      </c>
      <c r="J16" s="817" t="str">
        <f>TRIM(IF(TRANSPOSE!J42&lt;&gt;"",TRANSPOSE!J42,""))</f>
        <v>X</v>
      </c>
      <c r="K16" s="817" t="str">
        <f>TRIM(IF(TRANSPOSE!K42&lt;&gt;"",TRANSPOSE!K42,""))</f>
        <v>O</v>
      </c>
      <c r="L16" s="817" t="str">
        <f>TRIM(IF(TRANSPOSE!L42&lt;&gt;"",TRANSPOSE!L42,""))</f>
        <v>O</v>
      </c>
      <c r="M16" s="817" t="str">
        <f>TRIM(IF(TRANSPOSE!M42&lt;&gt;"",TRANSPOSE!M42,""))</f>
        <v>X</v>
      </c>
      <c r="N16" s="817" t="str">
        <f>TRIM(IF(TRANSPOSE!N42&lt;&gt;"",TRANSPOSE!N42,""))</f>
        <v>X</v>
      </c>
      <c r="O16" s="817" t="str">
        <f>TRIM(IF(TRANSPOSE!O42&lt;&gt;"",TRANSPOSE!O42,""))</f>
        <v/>
      </c>
      <c r="P16" s="817" t="str">
        <f>TRIM(IF(TRANSPOSE!P42&lt;&gt;"",TRANSPOSE!P42,""))</f>
        <v/>
      </c>
      <c r="Q16" s="817" t="str">
        <f>TRIM(IF(TRANSPOSE!Q42&lt;&gt;"",TRANSPOSE!Q42,""))</f>
        <v/>
      </c>
      <c r="R16" s="817" t="str">
        <f>TRIM(IF(TRANSPOSE!R42&lt;&gt;"",TRANSPOSE!R42,""))</f>
        <v/>
      </c>
      <c r="S16" s="817" t="str">
        <f>TRIM(IF(TRANSPOSE!S42&lt;&gt;"",TRANSPOSE!S42,""))</f>
        <v/>
      </c>
      <c r="T16" s="817" t="str">
        <f>TRIM(IF(TRANSPOSE!T42&lt;&gt;"",TRANSPOSE!T42,""))</f>
        <v/>
      </c>
      <c r="U16" s="817" t="str">
        <f>TRIM(IF(TRANSPOSE!U42&lt;&gt;"",TRANSPOSE!U42,""))</f>
        <v/>
      </c>
      <c r="V16" s="817" t="str">
        <f>TRIM(IF(TRANSPOSE!V42&lt;&gt;"",TRANSPOSE!V42,""))</f>
        <v/>
      </c>
      <c r="W16" s="817" t="str">
        <f>TRIM(IF(TRANSPOSE!W42&lt;&gt;"",TRANSPOSE!W42,""))</f>
        <v/>
      </c>
      <c r="X16" s="817" t="str">
        <f>TRIM(IF(TRANSPOSE!X42&lt;&gt;"",TRANSPOSE!X42,""))</f>
        <v/>
      </c>
      <c r="Y16" s="817" t="str">
        <f>TRIM(IF(TRANSPOSE!Y42&lt;&gt;"",TRANSPOSE!Y42,""))</f>
        <v/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35">
      <c r="A17" s="1505"/>
      <c r="B17" s="730">
        <v>2</v>
      </c>
      <c r="C17" s="907" t="str">
        <f>TRIM(IF(TRANSPOSE!C43&lt;&gt;"",TRANSPOSE!C43,""))</f>
        <v>O</v>
      </c>
      <c r="D17" s="908" t="str">
        <f>TRIM(IF(TRANSPOSE!D43&lt;&gt;"",TRANSPOSE!D43,""))</f>
        <v>O</v>
      </c>
      <c r="E17" s="908" t="str">
        <f>TRIM(IF(TRANSPOSE!E43&lt;&gt;"",TRANSPOSE!E43,""))</f>
        <v>X</v>
      </c>
      <c r="F17" s="908" t="str">
        <f>TRIM(IF(TRANSPOSE!F43&lt;&gt;"",TRANSPOSE!F43,""))</f>
        <v>R</v>
      </c>
      <c r="G17" s="908" t="str">
        <f>TRIM(IF(TRANSPOSE!G43&lt;&gt;"",TRANSPOSE!G43,""))</f>
        <v>X</v>
      </c>
      <c r="H17" s="908" t="str">
        <f>TRIM(IF(TRANSPOSE!H43&lt;&gt;"",TRANSPOSE!H43,""))</f>
        <v>O</v>
      </c>
      <c r="I17" s="908" t="str">
        <f>TRIM(IF(TRANSPOSE!I43&lt;&gt;"",TRANSPOSE!I43,""))</f>
        <v>O</v>
      </c>
      <c r="J17" s="908" t="str">
        <f>TRIM(IF(TRANSPOSE!J43&lt;&gt;"",TRANSPOSE!J43,""))</f>
        <v>O</v>
      </c>
      <c r="K17" s="908" t="str">
        <f>TRIM(IF(TRANSPOSE!K43&lt;&gt;"",TRANSPOSE!K43,""))</f>
        <v>R</v>
      </c>
      <c r="L17" s="908" t="str">
        <f>TRIM(IF(TRANSPOSE!L43&lt;&gt;"",TRANSPOSE!L43,""))</f>
        <v/>
      </c>
      <c r="M17" s="908" t="str">
        <f>TRIM(IF(TRANSPOSE!M43&lt;&gt;"",TRANSPOSE!M43,""))</f>
        <v/>
      </c>
      <c r="N17" s="908" t="str">
        <f>TRIM(IF(TRANSPOSE!N43&lt;&gt;"",TRANSPOSE!N43,""))</f>
        <v/>
      </c>
      <c r="O17" s="908" t="str">
        <f>TRIM(IF(TRANSPOSE!O43&lt;&gt;"",TRANSPOSE!O43,""))</f>
        <v/>
      </c>
      <c r="P17" s="908" t="str">
        <f>TRIM(IF(TRANSPOSE!P43&lt;&gt;"",TRANSPOSE!P43,""))</f>
        <v/>
      </c>
      <c r="Q17" s="908" t="str">
        <f>TRIM(IF(TRANSPOSE!Q43&lt;&gt;"",TRANSPOSE!Q43,""))</f>
        <v/>
      </c>
      <c r="R17" s="908" t="str">
        <f>TRIM(IF(TRANSPOSE!R43&lt;&gt;"",TRANSPOSE!R43,""))</f>
        <v/>
      </c>
      <c r="S17" s="908" t="str">
        <f>TRIM(IF(TRANSPOSE!S43&lt;&gt;"",TRANSPOSE!S43,""))</f>
        <v/>
      </c>
      <c r="T17" s="908" t="str">
        <f>TRIM(IF(TRANSPOSE!T43&lt;&gt;"",TRANSPOSE!T43,""))</f>
        <v/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35">
      <c r="A18" s="1505"/>
      <c r="B18" s="730">
        <v>3</v>
      </c>
      <c r="C18" s="907" t="str">
        <f>TRIM(IF(TRANSPOSE!C44&lt;&gt;"",TRANSPOSE!C44,""))</f>
        <v>O</v>
      </c>
      <c r="D18" s="908" t="str">
        <f>TRIM(IF(TRANSPOSE!D44&lt;&gt;"",TRANSPOSE!D44,""))</f>
        <v>O</v>
      </c>
      <c r="E18" s="908" t="str">
        <f>TRIM(IF(TRANSPOSE!E44&lt;&gt;"",TRANSPOSE!E44,""))</f>
        <v>O</v>
      </c>
      <c r="F18" s="908" t="str">
        <f>TRIM(IF(TRANSPOSE!F44&lt;&gt;"",TRANSPOSE!F44,""))</f>
        <v>O</v>
      </c>
      <c r="G18" s="908" t="str">
        <f>TRIM(IF(TRANSPOSE!G44&lt;&gt;"",TRANSPOSE!G44,""))</f>
        <v>X</v>
      </c>
      <c r="H18" s="908" t="str">
        <f>TRIM(IF(TRANSPOSE!H44&lt;&gt;"",TRANSPOSE!H44,""))</f>
        <v>R</v>
      </c>
      <c r="I18" s="908" t="str">
        <f>TRIM(IF(TRANSPOSE!I44&lt;&gt;"",TRANSPOSE!I44,""))</f>
        <v>X</v>
      </c>
      <c r="J18" s="908" t="str">
        <f>TRIM(IF(TRANSPOSE!J44&lt;&gt;"",TRANSPOSE!J44,""))</f>
        <v>O</v>
      </c>
      <c r="K18" s="908" t="str">
        <f>TRIM(IF(TRANSPOSE!K44&lt;&gt;"",TRANSPOSE!K44,""))</f>
        <v>O</v>
      </c>
      <c r="L18" s="908" t="str">
        <f>TRIM(IF(TRANSPOSE!L44&lt;&gt;"",TRANSPOSE!L44,""))</f>
        <v>R</v>
      </c>
      <c r="M18" s="908" t="str">
        <f>TRIM(IF(TRANSPOSE!M44&lt;&gt;"",TRANSPOSE!M44,""))</f>
        <v/>
      </c>
      <c r="N18" s="908" t="str">
        <f>TRIM(IF(TRANSPOSE!N44&lt;&gt;"",TRANSPOSE!N44,""))</f>
        <v/>
      </c>
      <c r="O18" s="908" t="str">
        <f>TRIM(IF(TRANSPOSE!O44&lt;&gt;"",TRANSPOSE!O44,""))</f>
        <v/>
      </c>
      <c r="P18" s="908" t="str">
        <f>TRIM(IF(TRANSPOSE!P44&lt;&gt;"",TRANSPOSE!P44,""))</f>
        <v/>
      </c>
      <c r="Q18" s="908" t="str">
        <f>TRIM(IF(TRANSPOSE!Q44&lt;&gt;"",TRANSPOSE!Q44,""))</f>
        <v/>
      </c>
      <c r="R18" s="908" t="str">
        <f>TRIM(IF(TRANSPOSE!R44&lt;&gt;"",TRANSPOSE!R44,""))</f>
        <v/>
      </c>
      <c r="S18" s="908" t="str">
        <f>TRIM(IF(TRANSPOSE!S44&lt;&gt;"",TRANSPOSE!S44,""))</f>
        <v/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35">
      <c r="A19" s="1505"/>
      <c r="B19" s="730">
        <v>4</v>
      </c>
      <c r="C19" s="907" t="str">
        <f>TRIM(IF(TRANSPOSE!C45&lt;&gt;"",TRANSPOSE!C45,""))</f>
        <v>O</v>
      </c>
      <c r="D19" s="908" t="str">
        <f>TRIM(IF(TRANSPOSE!D45&lt;&gt;"",TRANSPOSE!D45,""))</f>
        <v>O</v>
      </c>
      <c r="E19" s="908" t="str">
        <f>TRIM(IF(TRANSPOSE!E45&lt;&gt;"",TRANSPOSE!E45,""))</f>
        <v>X</v>
      </c>
      <c r="F19" s="908" t="str">
        <f>TRIM(IF(TRANSPOSE!F45&lt;&gt;"",TRANSPOSE!F45,""))</f>
        <v>R</v>
      </c>
      <c r="G19" s="908" t="str">
        <f>TRIM(IF(TRANSPOSE!G45&lt;&gt;"",TRANSPOSE!G45,""))</f>
        <v>X</v>
      </c>
      <c r="H19" s="908" t="str">
        <f>TRIM(IF(TRANSPOSE!H45&lt;&gt;"",TRANSPOSE!H45,""))</f>
        <v>X</v>
      </c>
      <c r="I19" s="908" t="str">
        <f>TRIM(IF(TRANSPOSE!I45&lt;&gt;"",TRANSPOSE!I45,""))</f>
        <v>O</v>
      </c>
      <c r="J19" s="908" t="str">
        <f>TRIM(IF(TRANSPOSE!J45&lt;&gt;"",TRANSPOSE!J45,""))</f>
        <v>O</v>
      </c>
      <c r="K19" s="908" t="str">
        <f>TRIM(IF(TRANSPOSE!K45&lt;&gt;"",TRANSPOSE!K45,""))</f>
        <v>O</v>
      </c>
      <c r="L19" s="908" t="str">
        <f>TRIM(IF(TRANSPOSE!L45&lt;&gt;"",TRANSPOSE!L45,""))</f>
        <v>R</v>
      </c>
      <c r="M19" s="908" t="str">
        <f>TRIM(IF(TRANSPOSE!M45&lt;&gt;"",TRANSPOSE!M45,""))</f>
        <v/>
      </c>
      <c r="N19" s="908" t="str">
        <f>TRIM(IF(TRANSPOSE!N45&lt;&gt;"",TRANSPOSE!N45,""))</f>
        <v/>
      </c>
      <c r="O19" s="908" t="str">
        <f>TRIM(IF(TRANSPOSE!O45&lt;&gt;"",TRANSPOSE!O45,""))</f>
        <v/>
      </c>
      <c r="P19" s="908" t="str">
        <f>TRIM(IF(TRANSPOSE!P45&lt;&gt;"",TRANSPOSE!P45,""))</f>
        <v/>
      </c>
      <c r="Q19" s="908" t="str">
        <f>TRIM(IF(TRANSPOSE!Q45&lt;&gt;"",TRANSPOSE!Q45,""))</f>
        <v/>
      </c>
      <c r="R19" s="908" t="str">
        <f>TRIM(IF(TRANSPOSE!R45&lt;&gt;"",TRANSPOSE!R45,""))</f>
        <v/>
      </c>
      <c r="S19" s="908" t="str">
        <f>TRIM(IF(TRANSPOSE!S45&lt;&gt;"",TRANSPOSE!S45,""))</f>
        <v/>
      </c>
      <c r="T19" s="908" t="str">
        <f>TRIM(IF(TRANSPOSE!T45&lt;&gt;"",TRANSPOSE!T45,""))</f>
        <v/>
      </c>
      <c r="U19" s="908" t="str">
        <f>TRIM(IF(TRANSPOSE!U45&lt;&gt;"",TRANSPOSE!U45,""))</f>
        <v/>
      </c>
      <c r="V19" s="908" t="str">
        <f>TRIM(IF(TRANSPOSE!V45&lt;&gt;"",TRANSPOSE!V45,""))</f>
        <v/>
      </c>
      <c r="W19" s="908" t="str">
        <f>TRIM(IF(TRANSPOSE!W45&lt;&gt;"",TRANSPOSE!W45,""))</f>
        <v/>
      </c>
      <c r="X19" s="908" t="str">
        <f>TRIM(IF(TRANSPOSE!X45&lt;&gt;"",TRANSPOSE!X45,""))</f>
        <v/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10</v>
      </c>
    </row>
    <row r="20" spans="1:57" ht="12" customHeight="1" x14ac:dyDescent="0.35">
      <c r="A20" s="1505"/>
      <c r="B20" s="730">
        <v>5</v>
      </c>
      <c r="C20" s="907" t="str">
        <f>TRIM(IF(TRANSPOSE!C46&lt;&gt;"",TRANSPOSE!C46,""))</f>
        <v>O</v>
      </c>
      <c r="D20" s="908" t="str">
        <f>TRIM(IF(TRANSPOSE!D46&lt;&gt;"",TRANSPOSE!D46,""))</f>
        <v>O</v>
      </c>
      <c r="E20" s="908" t="str">
        <f>TRIM(IF(TRANSPOSE!E46&lt;&gt;"",TRANSPOSE!E46,""))</f>
        <v>O</v>
      </c>
      <c r="F20" s="908" t="str">
        <f>TRIM(IF(TRANSPOSE!F46&lt;&gt;"",TRANSPOSE!F46,""))</f>
        <v>O</v>
      </c>
      <c r="G20" s="908" t="str">
        <f>TRIM(IF(TRANSPOSE!G46&lt;&gt;"",TRANSPOSE!G46,""))</f>
        <v>O</v>
      </c>
      <c r="H20" s="908" t="str">
        <f>TRIM(IF(TRANSPOSE!H46&lt;&gt;"",TRANSPOSE!H46,""))</f>
        <v>X</v>
      </c>
      <c r="I20" s="908" t="str">
        <f>TRIM(IF(TRANSPOSE!I46&lt;&gt;"",TRANSPOSE!I46,""))</f>
        <v>R</v>
      </c>
      <c r="J20" s="908" t="str">
        <f>TRIM(IF(TRANSPOSE!J46&lt;&gt;"",TRANSPOSE!J46,""))</f>
        <v>X</v>
      </c>
      <c r="K20" s="908" t="str">
        <f>TRIM(IF(TRANSPOSE!K46&lt;&gt;"",TRANSPOSE!K46,""))</f>
        <v>O</v>
      </c>
      <c r="L20" s="908" t="str">
        <f>TRIM(IF(TRANSPOSE!L46&lt;&gt;"",TRANSPOSE!L46,""))</f>
        <v>O</v>
      </c>
      <c r="M20" s="908" t="str">
        <f>TRIM(IF(TRANSPOSE!M46&lt;&gt;"",TRANSPOSE!M46,""))</f>
        <v>X</v>
      </c>
      <c r="N20" s="908" t="str">
        <f>TRIM(IF(TRANSPOSE!N46&lt;&gt;"",TRANSPOSE!N46,""))</f>
        <v>R</v>
      </c>
      <c r="O20" s="908" t="str">
        <f>TRIM(IF(TRANSPOSE!O46&lt;&gt;"",TRANSPOSE!O46,""))</f>
        <v/>
      </c>
      <c r="P20" s="908" t="str">
        <f>TRIM(IF(TRANSPOSE!P46&lt;&gt;"",TRANSPOSE!P46,""))</f>
        <v/>
      </c>
      <c r="Q20" s="908" t="str">
        <f>TRIM(IF(TRANSPOSE!Q46&lt;&gt;"",TRANSPOSE!Q46,""))</f>
        <v/>
      </c>
      <c r="R20" s="908" t="str">
        <f>TRIM(IF(TRANSPOSE!R46&lt;&gt;"",TRANSPOSE!R46,""))</f>
        <v/>
      </c>
      <c r="S20" s="908" t="str">
        <f>TRIM(IF(TRANSPOSE!S46&lt;&gt;"",TRANSPOSE!S46,""))</f>
        <v/>
      </c>
      <c r="T20" s="908" t="str">
        <f>TRIM(IF(TRANSPOSE!T46&lt;&gt;"",TRANSPOSE!T46,""))</f>
        <v/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35</v>
      </c>
    </row>
    <row r="21" spans="1:57" ht="12" customHeight="1" x14ac:dyDescent="0.35">
      <c r="A21" s="1505"/>
      <c r="B21" s="730">
        <v>6</v>
      </c>
      <c r="C21" s="907" t="str">
        <f>TRIM(IF(TRANSPOSE!C47&lt;&gt;"",TRANSPOSE!C47,""))</f>
        <v>O</v>
      </c>
      <c r="D21" s="908" t="str">
        <f>TRIM(IF(TRANSPOSE!D47&lt;&gt;"",TRANSPOSE!D47,""))</f>
        <v>X</v>
      </c>
      <c r="E21" s="908" t="str">
        <f>TRIM(IF(TRANSPOSE!E47&lt;&gt;"",TRANSPOSE!E47,""))</f>
        <v>O</v>
      </c>
      <c r="F21" s="908" t="str">
        <f>TRIM(IF(TRANSPOSE!F47&lt;&gt;"",TRANSPOSE!F47,""))</f>
        <v>X</v>
      </c>
      <c r="G21" s="908" t="str">
        <f>TRIM(IF(TRANSPOSE!G47&lt;&gt;"",TRANSPOSE!G47,""))</f>
        <v>X</v>
      </c>
      <c r="H21" s="908" t="str">
        <f>TRIM(IF(TRANSPOSE!H47&lt;&gt;"",TRANSPOSE!H47,""))</f>
        <v>O</v>
      </c>
      <c r="I21" s="908" t="str">
        <f>TRIM(IF(TRANSPOSE!I47&lt;&gt;"",TRANSPOSE!I47,""))</f>
        <v>O</v>
      </c>
      <c r="J21" s="908" t="str">
        <f>TRIM(IF(TRANSPOSE!J47&lt;&gt;"",TRANSPOSE!J47,""))</f>
        <v>O</v>
      </c>
      <c r="K21" s="908" t="str">
        <f>TRIM(IF(TRANSPOSE!K47&lt;&gt;"",TRANSPOSE!K47,""))</f>
        <v>R</v>
      </c>
      <c r="L21" s="908" t="str">
        <f>TRIM(IF(TRANSPOSE!L47&lt;&gt;"",TRANSPOSE!L47,""))</f>
        <v/>
      </c>
      <c r="M21" s="908" t="str">
        <f>TRIM(IF(TRANSPOSE!M47&lt;&gt;"",TRANSPOSE!M47,""))</f>
        <v/>
      </c>
      <c r="N21" s="908" t="str">
        <f>TRIM(IF(TRANSPOSE!N47&lt;&gt;"",TRANSPOSE!N47,""))</f>
        <v/>
      </c>
      <c r="O21" s="908" t="str">
        <f>TRIM(IF(TRANSPOSE!O47&lt;&gt;"",TRANSPOSE!O47,""))</f>
        <v/>
      </c>
      <c r="P21" s="908" t="str">
        <f>TRIM(IF(TRANSPOSE!P47&lt;&gt;"",TRANSPOSE!P47,""))</f>
        <v/>
      </c>
      <c r="Q21" s="908" t="str">
        <f>TRIM(IF(TRANSPOSE!Q47&lt;&gt;"",TRANSPOSE!Q47,""))</f>
        <v/>
      </c>
      <c r="R21" s="908" t="str">
        <f>TRIM(IF(TRANSPOSE!R47&lt;&gt;"",TRANSPOSE!R47,""))</f>
        <v/>
      </c>
      <c r="S21" s="908" t="str">
        <f>TRIM(IF(TRANSPOSE!S47&lt;&gt;"",TRANSPOSE!S47,""))</f>
        <v/>
      </c>
      <c r="T21" s="908" t="str">
        <f>TRIM(IF(TRANSPOSE!T47&lt;&gt;"",TRANSPOSE!T47,""))</f>
        <v/>
      </c>
      <c r="U21" s="908" t="str">
        <f>TRIM(IF(TRANSPOSE!U47&lt;&gt;"",TRANSPOSE!U47,""))</f>
        <v/>
      </c>
      <c r="V21" s="908" t="str">
        <f>TRIM(IF(TRANSPOSE!V47&lt;&gt;"",TRANSPOSE!V47,""))</f>
        <v/>
      </c>
      <c r="W21" s="908" t="str">
        <f>TRIM(IF(TRANSPOSE!W47&lt;&gt;"",TRANSPOSE!W47,""))</f>
        <v/>
      </c>
      <c r="X21" s="908" t="str">
        <f>TRIM(IF(TRANSPOSE!X47&lt;&gt;"",TRANSPOSE!X47,""))</f>
        <v/>
      </c>
      <c r="Y21" s="908" t="str">
        <f>TRIM(IF(TRANSPOSE!Y47&lt;&gt;"",TRANSPOSE!Y47,""))</f>
        <v/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17</v>
      </c>
    </row>
    <row r="22" spans="1:57" ht="12" customHeight="1" x14ac:dyDescent="0.35">
      <c r="A22" s="1505"/>
      <c r="B22" s="730">
        <v>7</v>
      </c>
      <c r="C22" s="907" t="str">
        <f>TRIM(IF(TRANSPOSE!C48&lt;&gt;"",TRANSPOSE!C48,""))</f>
        <v/>
      </c>
      <c r="D22" s="908" t="str">
        <f>TRIM(IF(TRANSPOSE!D48&lt;&gt;"",TRANSPOSE!D48,""))</f>
        <v/>
      </c>
      <c r="E22" s="908" t="str">
        <f>TRIM(IF(TRANSPOSE!E48&lt;&gt;"",TRANSPOSE!E48,""))</f>
        <v/>
      </c>
      <c r="F22" s="908" t="str">
        <f>TRIM(IF(TRANSPOSE!F48&lt;&gt;"",TRANSPOSE!F48,""))</f>
        <v/>
      </c>
      <c r="G22" s="908" t="str">
        <f>TRIM(IF(TRANSPOSE!G48&lt;&gt;"",TRANSPOSE!G48,""))</f>
        <v/>
      </c>
      <c r="H22" s="908" t="str">
        <f>TRIM(IF(TRANSPOSE!H48&lt;&gt;"",TRANSPOSE!H48,""))</f>
        <v/>
      </c>
      <c r="I22" s="908" t="str">
        <f>TRIM(IF(TRANSPOSE!I48&lt;&gt;"",TRANSPOSE!I48,""))</f>
        <v/>
      </c>
      <c r="J22" s="908" t="str">
        <f>TRIM(IF(TRANSPOSE!J48&lt;&gt;"",TRANSPOSE!J48,""))</f>
        <v/>
      </c>
      <c r="K22" s="908" t="str">
        <f>TRIM(IF(TRANSPOSE!K48&lt;&gt;"",TRANSPOSE!K48,""))</f>
        <v/>
      </c>
      <c r="L22" s="908" t="str">
        <f>TRIM(IF(TRANSPOSE!L48&lt;&gt;"",TRANSPOSE!L48,""))</f>
        <v/>
      </c>
      <c r="M22" s="908" t="str">
        <f>TRIM(IF(TRANSPOSE!M48&lt;&gt;"",TRANSPOSE!M48,""))</f>
        <v/>
      </c>
      <c r="N22" s="908" t="str">
        <f>TRIM(IF(TRANSPOSE!N48&lt;&gt;"",TRANSPOSE!N48,""))</f>
        <v/>
      </c>
      <c r="O22" s="908" t="str">
        <f>TRIM(IF(TRANSPOSE!O48&lt;&gt;"",TRANSPOSE!O48,""))</f>
        <v/>
      </c>
      <c r="P22" s="908" t="str">
        <f>TRIM(IF(TRANSPOSE!P48&lt;&gt;"",TRANSPOSE!P48,""))</f>
        <v/>
      </c>
      <c r="Q22" s="908" t="str">
        <f>TRIM(IF(TRANSPOSE!Q48&lt;&gt;"",TRANSPOSE!Q48,""))</f>
        <v/>
      </c>
      <c r="R22" s="908" t="str">
        <f>TRIM(IF(TRANSPOSE!R48&lt;&gt;"",TRANSPOSE!R48,""))</f>
        <v/>
      </c>
      <c r="S22" s="908" t="str">
        <f>TRIM(IF(TRANSPOSE!S48&lt;&gt;"",TRANSPOSE!S48,""))</f>
        <v/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35">
      <c r="A23" s="1505"/>
      <c r="B23" s="730">
        <v>8</v>
      </c>
      <c r="C23" s="907" t="str">
        <f>TRIM(IF(TRANSPOSE!C49&lt;&gt;"",TRANSPOSE!C49,""))</f>
        <v/>
      </c>
      <c r="D23" s="908" t="str">
        <f>TRIM(IF(TRANSPOSE!D49&lt;&gt;"",TRANSPOSE!D49,""))</f>
        <v/>
      </c>
      <c r="E23" s="908" t="str">
        <f>TRIM(IF(TRANSPOSE!E49&lt;&gt;"",TRANSPOSE!E49,""))</f>
        <v/>
      </c>
      <c r="F23" s="908" t="str">
        <f>TRIM(IF(TRANSPOSE!F49&lt;&gt;"",TRANSPOSE!F49,""))</f>
        <v/>
      </c>
      <c r="G23" s="908" t="str">
        <f>TRIM(IF(TRANSPOSE!G49&lt;&gt;"",TRANSPOSE!G49,""))</f>
        <v/>
      </c>
      <c r="H23" s="908" t="str">
        <f>TRIM(IF(TRANSPOSE!H49&lt;&gt;"",TRANSPOSE!H49,""))</f>
        <v/>
      </c>
      <c r="I23" s="908" t="str">
        <f>TRIM(IF(TRANSPOSE!I49&lt;&gt;"",TRANSPOSE!I49,""))</f>
        <v/>
      </c>
      <c r="J23" s="908" t="str">
        <f>TRIM(IF(TRANSPOSE!J49&lt;&gt;"",TRANSPOSE!J49,""))</f>
        <v/>
      </c>
      <c r="K23" s="908" t="str">
        <f>TRIM(IF(TRANSPOSE!K49&lt;&gt;"",TRANSPOSE!K49,""))</f>
        <v/>
      </c>
      <c r="L23" s="908" t="str">
        <f>TRIM(IF(TRANSPOSE!L49&lt;&gt;"",TRANSPOSE!L49,""))</f>
        <v/>
      </c>
      <c r="M23" s="908" t="str">
        <f>TRIM(IF(TRANSPOSE!M49&lt;&gt;"",TRANSPOSE!M49,""))</f>
        <v/>
      </c>
      <c r="N23" s="908" t="str">
        <f>TRIM(IF(TRANSPOSE!N49&lt;&gt;"",TRANSPOSE!N49,""))</f>
        <v/>
      </c>
      <c r="O23" s="908" t="str">
        <f>TRIM(IF(TRANSPOSE!O49&lt;&gt;"",TRANSPOSE!O49,""))</f>
        <v/>
      </c>
      <c r="P23" s="908" t="str">
        <f>TRIM(IF(TRANSPOSE!P49&lt;&gt;"",TRANSPOSE!P49,""))</f>
        <v/>
      </c>
      <c r="Q23" s="908" t="str">
        <f>TRIM(IF(TRANSPOSE!Q49&lt;&gt;"",TRANSPOSE!Q49,""))</f>
        <v/>
      </c>
      <c r="R23" s="908" t="str">
        <f>TRIM(IF(TRANSPOSE!R49&lt;&gt;"",TRANSPOSE!R49,""))</f>
        <v/>
      </c>
      <c r="S23" s="908" t="str">
        <f>TRIM(IF(TRANSPOSE!S49&lt;&gt;"",TRANSPOSE!S49,""))</f>
        <v/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35">
      <c r="A24" s="1505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35">
      <c r="A25" s="1505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4">
      <c r="A26" s="1505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4">
      <c r="A27" s="1506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1451" t="s">
        <v>1793</v>
      </c>
      <c r="AQ27" s="1452"/>
      <c r="AR27" s="1452"/>
      <c r="AS27" s="1452"/>
      <c r="AT27" s="1452"/>
      <c r="AU27" s="1452"/>
      <c r="AV27" s="1447" t="str">
        <f>IF(Data!B7="SAUDI ARAMCO",IF(Data!B14&lt;&gt;"",Data!B14,"")&amp;"  "&amp;IF(Data!B14&lt;&gt;"N/A",IF(Data!B15&lt;&gt;"",TEXT(Data!B15,"MM/DD/YYYY"),""),""),"")</f>
        <v xml:space="preserve">  </v>
      </c>
      <c r="AW27" s="1447"/>
      <c r="AX27" s="1447"/>
      <c r="AY27" s="1447"/>
      <c r="AZ27" s="1447"/>
      <c r="BA27" s="1447"/>
      <c r="BB27" s="1447"/>
      <c r="BC27" s="1447"/>
      <c r="BD27" s="1447"/>
      <c r="BE27" s="1448"/>
    </row>
    <row r="28" spans="1:57" ht="6" customHeight="1" thickBot="1" x14ac:dyDescent="0.4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1453"/>
      <c r="AQ28" s="1454"/>
      <c r="AR28" s="1454"/>
      <c r="AS28" s="1454"/>
      <c r="AT28" s="1454"/>
      <c r="AU28" s="1454"/>
      <c r="AV28" s="1449"/>
      <c r="AW28" s="1449"/>
      <c r="AX28" s="1449"/>
      <c r="AY28" s="1449"/>
      <c r="AZ28" s="1449"/>
      <c r="BA28" s="1449"/>
      <c r="BB28" s="1449"/>
      <c r="BC28" s="1449"/>
      <c r="BD28" s="1449"/>
      <c r="BE28" s="1450"/>
    </row>
    <row r="29" spans="1:57" ht="13.5" customHeight="1" x14ac:dyDescent="0.35">
      <c r="A29" s="1464" t="s">
        <v>795</v>
      </c>
      <c r="B29" s="1464"/>
      <c r="C29" s="1464"/>
      <c r="D29" s="1464"/>
      <c r="E29" s="1465" t="str">
        <f>IF(Data!B11&lt;&gt;"",Data!B11,"")</f>
        <v>Ali Alhammad</v>
      </c>
      <c r="F29" s="1465"/>
      <c r="G29" s="1465"/>
      <c r="H29" s="1465"/>
      <c r="I29" s="1465"/>
      <c r="J29" s="1465"/>
      <c r="K29" s="1464" t="s">
        <v>1506</v>
      </c>
      <c r="L29" s="1464"/>
      <c r="M29" s="1466" t="str">
        <f>IF(Data!B12&lt;&gt;"",Data!B12,"")</f>
        <v>Habeeb Radi</v>
      </c>
      <c r="N29" s="1466"/>
      <c r="O29" s="1466"/>
      <c r="P29" s="1466"/>
      <c r="Q29" s="1466"/>
      <c r="R29" s="1466"/>
      <c r="S29" s="1466"/>
      <c r="T29" s="1471" t="s">
        <v>36</v>
      </c>
      <c r="U29" s="1471"/>
      <c r="V29" s="1471"/>
      <c r="W29" s="1467">
        <f>IF(Data!B13&lt;&gt;"",Data!B13,"")</f>
        <v>46029</v>
      </c>
      <c r="X29" s="1467"/>
      <c r="Y29" s="1467"/>
      <c r="Z29" s="1467"/>
      <c r="AA29" s="1467"/>
      <c r="AB29" s="1467"/>
    </row>
    <row r="30" spans="1:57" ht="6" customHeight="1" thickBot="1" x14ac:dyDescent="0.4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4">
      <c r="A31" s="1405" t="s">
        <v>1507</v>
      </c>
      <c r="B31" s="1407"/>
      <c r="C31" s="1407"/>
      <c r="D31" s="1407"/>
      <c r="E31" s="1407"/>
      <c r="F31" s="1407"/>
      <c r="G31" s="1406"/>
      <c r="H31" s="1405" t="s">
        <v>1508</v>
      </c>
      <c r="I31" s="1407"/>
      <c r="J31" s="1407"/>
      <c r="K31" s="1406"/>
      <c r="L31" s="1405" t="s">
        <v>1509</v>
      </c>
      <c r="M31" s="1407"/>
      <c r="N31" s="1407"/>
      <c r="O31" s="1406"/>
      <c r="P31" s="1405" t="s">
        <v>1510</v>
      </c>
      <c r="Q31" s="1407"/>
      <c r="R31" s="1407"/>
      <c r="S31" s="1407"/>
      <c r="T31" s="1406"/>
    </row>
    <row r="32" spans="1:57" ht="12.75" customHeight="1" thickBot="1" x14ac:dyDescent="0.4">
      <c r="A32" s="1433">
        <f>COUNTIF($C$16:$AJ$27,"R")</f>
        <v>10</v>
      </c>
      <c r="B32" s="1434"/>
      <c r="C32" s="1434"/>
      <c r="D32" s="1434"/>
      <c r="E32" s="1434"/>
      <c r="F32" s="1434"/>
      <c r="G32" s="1435"/>
      <c r="H32" s="1433">
        <f>COUNTIF($C$16:$AJ$27,"O")</f>
        <v>35</v>
      </c>
      <c r="I32" s="1434"/>
      <c r="J32" s="1434"/>
      <c r="K32" s="1435"/>
      <c r="L32" s="1433">
        <f>COUNTIF($C$16:$AJ$27,"X")</f>
        <v>17</v>
      </c>
      <c r="M32" s="1434"/>
      <c r="N32" s="1434"/>
      <c r="O32" s="1435"/>
      <c r="P32" s="1436">
        <f>IF(Data!O29&lt;&gt;"",Data!O29,"")</f>
        <v>62</v>
      </c>
      <c r="Q32" s="1437"/>
      <c r="R32" s="1437"/>
      <c r="S32" s="1437"/>
      <c r="T32" s="1438"/>
    </row>
    <row r="33" spans="1:41" ht="12.75" customHeight="1" thickBot="1" x14ac:dyDescent="0.4">
      <c r="A33" s="1457" t="s">
        <v>1875</v>
      </c>
      <c r="B33" s="1458"/>
      <c r="C33" s="1458"/>
      <c r="D33" s="1458"/>
      <c r="E33" s="1458"/>
      <c r="F33" s="1458"/>
      <c r="G33" s="1458"/>
      <c r="H33" s="1458"/>
      <c r="I33" s="1458"/>
      <c r="J33" s="1458"/>
      <c r="K33" s="1458"/>
      <c r="L33" s="1458"/>
      <c r="M33" s="1458"/>
      <c r="N33" s="1458"/>
      <c r="O33" s="1458"/>
      <c r="P33" s="1458"/>
      <c r="Q33" s="1458"/>
      <c r="R33" s="1458"/>
      <c r="S33" s="1458"/>
      <c r="T33" s="1458"/>
      <c r="U33" s="1458"/>
      <c r="V33" s="1458"/>
      <c r="W33" s="1458"/>
      <c r="X33" s="1458"/>
      <c r="Y33" s="1458"/>
      <c r="Z33" s="1458"/>
      <c r="AA33" s="1458"/>
      <c r="AB33" s="1458"/>
      <c r="AC33" s="1458"/>
      <c r="AD33" s="1458"/>
      <c r="AE33" s="1458"/>
      <c r="AF33" s="1458"/>
      <c r="AG33" s="1458"/>
      <c r="AH33" s="1458"/>
      <c r="AI33" s="1458"/>
      <c r="AJ33" s="1459"/>
    </row>
    <row r="34" spans="1:41" ht="9.75" customHeight="1" x14ac:dyDescent="0.35">
      <c r="A34" s="1460" t="s">
        <v>1910</v>
      </c>
      <c r="B34" s="1461"/>
      <c r="C34" s="1461"/>
      <c r="D34" s="1461"/>
      <c r="E34" s="1461"/>
      <c r="F34" s="1461"/>
      <c r="G34" s="1461"/>
      <c r="H34" s="1461"/>
      <c r="I34" s="1461"/>
      <c r="J34" s="1461"/>
      <c r="K34" s="1461"/>
      <c r="L34" s="1461"/>
      <c r="M34" s="1461"/>
      <c r="N34" s="1461"/>
      <c r="O34" s="1461"/>
      <c r="P34" s="1461"/>
      <c r="Q34" s="1461"/>
      <c r="R34" s="1461"/>
      <c r="S34" s="1461"/>
      <c r="T34" s="1461"/>
      <c r="U34" s="1461"/>
      <c r="V34" s="1461"/>
      <c r="W34" s="1461"/>
      <c r="X34" s="1461"/>
      <c r="Y34" s="1461"/>
      <c r="Z34" s="1461"/>
      <c r="AA34" s="1461"/>
      <c r="AB34" s="1462"/>
      <c r="AC34" s="1455" t="s">
        <v>1877</v>
      </c>
      <c r="AD34" s="1455"/>
      <c r="AE34" s="1455"/>
      <c r="AF34" s="1455"/>
      <c r="AG34" s="1455"/>
      <c r="AH34" s="1455"/>
      <c r="AI34" s="1455"/>
      <c r="AJ34" s="1456"/>
    </row>
    <row r="35" spans="1:41" ht="11.25" customHeight="1" x14ac:dyDescent="0.35">
      <c r="A35" s="1363" t="s">
        <v>1878</v>
      </c>
      <c r="B35" s="1364"/>
      <c r="C35" s="1364"/>
      <c r="D35" s="1364"/>
      <c r="E35" s="1395" t="s">
        <v>2531</v>
      </c>
      <c r="F35" s="1395"/>
      <c r="G35" s="1395"/>
      <c r="H35" s="1395"/>
      <c r="I35" s="1395"/>
      <c r="J35" s="1395"/>
      <c r="K35" s="1395"/>
      <c r="L35" s="1395"/>
      <c r="M35" s="1395"/>
      <c r="N35" s="1395"/>
      <c r="O35" s="1395"/>
      <c r="P35" s="1395"/>
      <c r="Q35" s="1395"/>
      <c r="R35" s="1395"/>
      <c r="S35" s="1395"/>
      <c r="T35" s="1395"/>
      <c r="U35" s="1395"/>
      <c r="V35" s="1395"/>
      <c r="W35" s="1395"/>
      <c r="X35" s="1395"/>
      <c r="Y35" s="1395"/>
      <c r="Z35" s="1395"/>
      <c r="AA35" s="1395"/>
      <c r="AB35" s="1395"/>
      <c r="AC35" s="1396" t="s">
        <v>847</v>
      </c>
      <c r="AD35" s="1396"/>
      <c r="AE35" s="1396"/>
      <c r="AF35" s="1396"/>
      <c r="AG35" s="1396"/>
      <c r="AH35" s="1396"/>
      <c r="AI35" s="1397" t="str">
        <f>IF(Data!B7="SAUDI ARAMCO",IF(AND(Data!L5&lt;&gt;1,Data!L6=1),"√",""),"")</f>
        <v/>
      </c>
      <c r="AJ35" s="1398"/>
    </row>
    <row r="36" spans="1:41" ht="11.25" customHeight="1" x14ac:dyDescent="0.35">
      <c r="A36" s="1363"/>
      <c r="B36" s="1364"/>
      <c r="C36" s="1364"/>
      <c r="D36" s="1364"/>
      <c r="E36" s="1395"/>
      <c r="F36" s="1395"/>
      <c r="G36" s="1395"/>
      <c r="H36" s="1395"/>
      <c r="I36" s="1395"/>
      <c r="J36" s="1395"/>
      <c r="K36" s="1395"/>
      <c r="L36" s="1395"/>
      <c r="M36" s="1395"/>
      <c r="N36" s="1395"/>
      <c r="O36" s="1395"/>
      <c r="P36" s="1395"/>
      <c r="Q36" s="1395"/>
      <c r="R36" s="1395"/>
      <c r="S36" s="1395"/>
      <c r="T36" s="1395"/>
      <c r="U36" s="1395"/>
      <c r="V36" s="1395"/>
      <c r="W36" s="1395"/>
      <c r="X36" s="1395"/>
      <c r="Y36" s="1395"/>
      <c r="Z36" s="1395"/>
      <c r="AA36" s="1395"/>
      <c r="AB36" s="1395"/>
      <c r="AC36" s="1396" t="s">
        <v>1876</v>
      </c>
      <c r="AD36" s="1396"/>
      <c r="AE36" s="1396"/>
      <c r="AF36" s="1396"/>
      <c r="AG36" s="1396"/>
      <c r="AH36" s="1396"/>
      <c r="AI36" s="1397" t="str">
        <f>IF(Data!B7="SAUDI ARAMCO",IF(Data!L5=1,"√",""),"")</f>
        <v/>
      </c>
      <c r="AJ36" s="1398"/>
    </row>
    <row r="37" spans="1:41" ht="11.25" customHeight="1" x14ac:dyDescent="0.35">
      <c r="A37" s="1363" t="s">
        <v>19</v>
      </c>
      <c r="B37" s="1364"/>
      <c r="C37" s="1364"/>
      <c r="D37" s="1364"/>
      <c r="E37" s="1365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>Shank need machining, Breaker slot needs cleaning. Build up the following: pockets B1P6, B1P11, B3P7 and B4P6.</v>
      </c>
      <c r="F37" s="1365"/>
      <c r="G37" s="1365"/>
      <c r="H37" s="1365"/>
      <c r="I37" s="1365"/>
      <c r="J37" s="1365"/>
      <c r="K37" s="1365"/>
      <c r="L37" s="1365"/>
      <c r="M37" s="1365"/>
      <c r="N37" s="1365"/>
      <c r="O37" s="1365"/>
      <c r="P37" s="1365"/>
      <c r="Q37" s="1365"/>
      <c r="R37" s="1365"/>
      <c r="S37" s="1365"/>
      <c r="T37" s="1365"/>
      <c r="U37" s="1365"/>
      <c r="V37" s="1365"/>
      <c r="W37" s="1365"/>
      <c r="X37" s="1365"/>
      <c r="Y37" s="1365"/>
      <c r="Z37" s="1365"/>
      <c r="AA37" s="1365"/>
      <c r="AB37" s="1365"/>
      <c r="AC37" s="1365"/>
      <c r="AD37" s="1365"/>
      <c r="AE37" s="1365"/>
      <c r="AF37" s="1365"/>
      <c r="AG37" s="1365"/>
      <c r="AH37" s="1365"/>
      <c r="AI37" s="1365"/>
      <c r="AJ37" s="1366"/>
    </row>
    <row r="38" spans="1:41" ht="11.25" customHeight="1" x14ac:dyDescent="0.35">
      <c r="A38" s="1363"/>
      <c r="B38" s="1364"/>
      <c r="C38" s="1364"/>
      <c r="D38" s="1364"/>
      <c r="E38" s="1365"/>
      <c r="F38" s="1365"/>
      <c r="G38" s="1365"/>
      <c r="H38" s="1365"/>
      <c r="I38" s="1365"/>
      <c r="J38" s="1365"/>
      <c r="K38" s="1365"/>
      <c r="L38" s="1365"/>
      <c r="M38" s="1365"/>
      <c r="N38" s="1365"/>
      <c r="O38" s="1365"/>
      <c r="P38" s="1365"/>
      <c r="Q38" s="1365"/>
      <c r="R38" s="1365"/>
      <c r="S38" s="1365"/>
      <c r="T38" s="1365"/>
      <c r="U38" s="1365"/>
      <c r="V38" s="1365"/>
      <c r="W38" s="1365"/>
      <c r="X38" s="1365"/>
      <c r="Y38" s="1365"/>
      <c r="Z38" s="1365"/>
      <c r="AA38" s="1365"/>
      <c r="AB38" s="1365"/>
      <c r="AC38" s="1365"/>
      <c r="AD38" s="1365"/>
      <c r="AE38" s="1365"/>
      <c r="AF38" s="1365"/>
      <c r="AG38" s="1365"/>
      <c r="AH38" s="1365"/>
      <c r="AI38" s="1365"/>
      <c r="AJ38" s="1366"/>
    </row>
    <row r="39" spans="1:41" ht="11.25" customHeight="1" x14ac:dyDescent="0.35">
      <c r="A39" s="1363"/>
      <c r="B39" s="1364"/>
      <c r="C39" s="1364"/>
      <c r="D39" s="1364"/>
      <c r="E39" s="1365"/>
      <c r="F39" s="1365"/>
      <c r="G39" s="1365"/>
      <c r="H39" s="1365"/>
      <c r="I39" s="1365"/>
      <c r="J39" s="1365"/>
      <c r="K39" s="1365"/>
      <c r="L39" s="1365"/>
      <c r="M39" s="1365"/>
      <c r="N39" s="1365"/>
      <c r="O39" s="1365"/>
      <c r="P39" s="1365"/>
      <c r="Q39" s="1365"/>
      <c r="R39" s="1365"/>
      <c r="S39" s="1365"/>
      <c r="T39" s="1365"/>
      <c r="U39" s="1365"/>
      <c r="V39" s="1365"/>
      <c r="W39" s="1365"/>
      <c r="X39" s="1365"/>
      <c r="Y39" s="1365"/>
      <c r="Z39" s="1365"/>
      <c r="AA39" s="1365"/>
      <c r="AB39" s="1365"/>
      <c r="AC39" s="1365"/>
      <c r="AD39" s="1365"/>
      <c r="AE39" s="1365"/>
      <c r="AF39" s="1365"/>
      <c r="AG39" s="1365"/>
      <c r="AH39" s="1365"/>
      <c r="AI39" s="1365"/>
      <c r="AJ39" s="1366"/>
    </row>
    <row r="40" spans="1:41" ht="20.25" customHeight="1" thickBot="1" x14ac:dyDescent="0.4">
      <c r="A40" s="1358" t="s">
        <v>1879</v>
      </c>
      <c r="B40" s="1359"/>
      <c r="C40" s="1359"/>
      <c r="D40" s="1359"/>
      <c r="E40" s="1360"/>
      <c r="F40" s="1360"/>
      <c r="G40" s="1360"/>
      <c r="H40" s="1360"/>
      <c r="I40" s="1360"/>
      <c r="J40" s="1360"/>
      <c r="K40" s="1360"/>
      <c r="L40" s="1360"/>
      <c r="M40" s="1360"/>
      <c r="N40" s="1360"/>
      <c r="O40" s="1360"/>
      <c r="P40" s="1360"/>
      <c r="Q40" s="1360"/>
      <c r="R40" s="1360"/>
      <c r="S40" s="1359" t="s">
        <v>1079</v>
      </c>
      <c r="T40" s="1359"/>
      <c r="U40" s="1359"/>
      <c r="V40" s="1359"/>
      <c r="W40" s="1359"/>
      <c r="X40" s="1361"/>
      <c r="Y40" s="1361"/>
      <c r="Z40" s="1361"/>
      <c r="AA40" s="1361"/>
      <c r="AB40" s="1361"/>
      <c r="AC40" s="1361"/>
      <c r="AD40" s="1361"/>
      <c r="AE40" s="1361"/>
      <c r="AF40" s="1361"/>
      <c r="AG40" s="1361"/>
      <c r="AH40" s="1361"/>
      <c r="AI40" s="1361"/>
      <c r="AJ40" s="1362"/>
    </row>
    <row r="41" spans="1:41" ht="13.5" customHeight="1" thickBot="1" x14ac:dyDescent="0.4">
      <c r="A41" s="1405" t="s">
        <v>1086</v>
      </c>
      <c r="B41" s="1407"/>
      <c r="C41" s="1407"/>
      <c r="D41" s="1407"/>
      <c r="E41" s="1407"/>
      <c r="F41" s="1407"/>
      <c r="G41" s="1407"/>
      <c r="H41" s="1407"/>
      <c r="I41" s="1439" t="str">
        <f>IF(SUM(T46:U53)=L32,L32,"Check Replace Cutter Qty")</f>
        <v>Check Replace Cutter Qty</v>
      </c>
      <c r="J41" s="1439"/>
      <c r="K41" s="1439"/>
      <c r="L41" s="1439"/>
      <c r="M41" s="1439"/>
      <c r="N41" s="1439"/>
      <c r="O41" s="1439"/>
      <c r="P41" s="1439"/>
      <c r="Q41" s="1439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4">
      <c r="A42" s="1405" t="s">
        <v>109</v>
      </c>
      <c r="B42" s="1407"/>
      <c r="C42" s="1407"/>
      <c r="D42" s="1407"/>
      <c r="E42" s="1407"/>
      <c r="F42" s="1407"/>
      <c r="G42" s="1407"/>
      <c r="H42" s="1407"/>
      <c r="I42" s="1407"/>
      <c r="J42" s="1407"/>
      <c r="K42" s="1407"/>
      <c r="L42" s="1407"/>
      <c r="M42" s="1407"/>
      <c r="N42" s="1407"/>
      <c r="O42" s="1407"/>
      <c r="P42" s="1407"/>
      <c r="Q42" s="1407"/>
      <c r="R42" s="1407"/>
      <c r="S42" s="1407"/>
      <c r="T42" s="1407"/>
      <c r="U42" s="1407"/>
      <c r="V42" s="1407"/>
      <c r="W42" s="1407"/>
      <c r="X42" s="1407"/>
      <c r="Y42" s="1407"/>
      <c r="Z42" s="1407"/>
      <c r="AA42" s="1407"/>
      <c r="AB42" s="1407"/>
      <c r="AC42" s="1407"/>
      <c r="AD42" s="1407"/>
      <c r="AE42" s="1407"/>
      <c r="AF42" s="1407"/>
      <c r="AG42" s="1407"/>
      <c r="AH42" s="1407"/>
      <c r="AI42" s="1407"/>
      <c r="AJ42" s="1406"/>
    </row>
    <row r="43" spans="1:41" ht="12" customHeight="1" thickBot="1" x14ac:dyDescent="0.4">
      <c r="A43" s="1405" t="s">
        <v>1511</v>
      </c>
      <c r="B43" s="1407"/>
      <c r="C43" s="1407"/>
      <c r="D43" s="1407"/>
      <c r="E43" s="1407"/>
      <c r="F43" s="1407"/>
      <c r="G43" s="1407"/>
      <c r="H43" s="1407"/>
      <c r="I43" s="1407"/>
      <c r="J43" s="1407"/>
      <c r="K43" s="1407"/>
      <c r="L43" s="1407"/>
      <c r="M43" s="1407"/>
      <c r="N43" s="1407"/>
      <c r="O43" s="1406"/>
      <c r="P43" s="1440" t="s">
        <v>1512</v>
      </c>
      <c r="Q43" s="1441"/>
      <c r="R43" s="1441"/>
      <c r="S43" s="1441"/>
      <c r="T43" s="1427" t="s">
        <v>4</v>
      </c>
      <c r="U43" s="1429"/>
      <c r="V43" s="1427" t="s">
        <v>71</v>
      </c>
      <c r="W43" s="1429"/>
      <c r="X43" s="1436" t="s">
        <v>16</v>
      </c>
      <c r="Y43" s="1437"/>
      <c r="Z43" s="1436" t="s">
        <v>21</v>
      </c>
      <c r="AA43" s="1437"/>
      <c r="AB43" s="1437"/>
      <c r="AC43" s="1427" t="s">
        <v>44</v>
      </c>
      <c r="AD43" s="1428"/>
      <c r="AE43" s="1428"/>
      <c r="AF43" s="1428"/>
      <c r="AG43" s="1428"/>
      <c r="AH43" s="1428"/>
      <c r="AI43" s="1428"/>
      <c r="AJ43" s="1429"/>
    </row>
    <row r="44" spans="1:41" ht="12" customHeight="1" thickBot="1" x14ac:dyDescent="0.4">
      <c r="A44" s="1444" t="s">
        <v>6</v>
      </c>
      <c r="B44" s="1446"/>
      <c r="C44" s="1405" t="s">
        <v>43</v>
      </c>
      <c r="D44" s="1407"/>
      <c r="E44" s="1407"/>
      <c r="F44" s="1407"/>
      <c r="G44" s="1407"/>
      <c r="H44" s="1407"/>
      <c r="I44" s="1407"/>
      <c r="J44" s="1407"/>
      <c r="K44" s="1407"/>
      <c r="L44" s="1407"/>
      <c r="M44" s="1407"/>
      <c r="N44" s="1407"/>
      <c r="O44" s="1406"/>
      <c r="P44" s="1442"/>
      <c r="Q44" s="1443"/>
      <c r="R44" s="1443"/>
      <c r="S44" s="1443"/>
      <c r="T44" s="1430"/>
      <c r="U44" s="1432"/>
      <c r="V44" s="1430"/>
      <c r="W44" s="1432"/>
      <c r="X44" s="1444"/>
      <c r="Y44" s="1445"/>
      <c r="Z44" s="1444"/>
      <c r="AA44" s="1445"/>
      <c r="AB44" s="1445"/>
      <c r="AC44" s="1430"/>
      <c r="AD44" s="1431"/>
      <c r="AE44" s="1431"/>
      <c r="AF44" s="1431"/>
      <c r="AG44" s="1431"/>
      <c r="AH44" s="1431"/>
      <c r="AI44" s="1431"/>
      <c r="AJ44" s="1432"/>
      <c r="AK44" s="931"/>
      <c r="AL44" s="931"/>
      <c r="AM44" s="931"/>
      <c r="AN44" s="931"/>
      <c r="AO44" s="931"/>
    </row>
    <row r="45" spans="1:41" ht="17.25" customHeight="1" x14ac:dyDescent="0.35">
      <c r="A45" s="1414"/>
      <c r="B45" s="1415"/>
      <c r="C45" s="1416" t="str">
        <f>Data!GJ20</f>
        <v>Drill bits Services-Initial Inspection</v>
      </c>
      <c r="D45" s="1417"/>
      <c r="E45" s="1417"/>
      <c r="F45" s="1417"/>
      <c r="G45" s="1417"/>
      <c r="H45" s="1417"/>
      <c r="I45" s="1417"/>
      <c r="J45" s="1417"/>
      <c r="K45" s="1417"/>
      <c r="L45" s="1417"/>
      <c r="M45" s="1417"/>
      <c r="N45" s="1417"/>
      <c r="O45" s="1418"/>
      <c r="P45" s="1413" t="str">
        <f>Data!GF20</f>
        <v>01 - 10</v>
      </c>
      <c r="Q45" s="1413"/>
      <c r="R45" s="1413"/>
      <c r="S45" s="1419"/>
      <c r="T45" s="1420">
        <f>Data!GL20</f>
        <v>1</v>
      </c>
      <c r="U45" s="1421"/>
      <c r="V45" s="1420" t="str">
        <f>Data!GM20</f>
        <v>EA</v>
      </c>
      <c r="W45" s="1421"/>
      <c r="X45" s="1422">
        <f>Data!GN20</f>
        <v>800</v>
      </c>
      <c r="Y45" s="1423"/>
      <c r="Z45" s="1412">
        <f>IFERROR(T45*X45,0)</f>
        <v>800</v>
      </c>
      <c r="AA45" s="1413"/>
      <c r="AB45" s="1413"/>
      <c r="AC45" s="1424"/>
      <c r="AD45" s="1425"/>
      <c r="AE45" s="1425"/>
      <c r="AF45" s="1425"/>
      <c r="AG45" s="1425"/>
      <c r="AH45" s="1425"/>
      <c r="AI45" s="1425"/>
      <c r="AJ45" s="1426"/>
      <c r="AK45" s="931"/>
      <c r="AL45" s="931"/>
      <c r="AM45" s="931"/>
      <c r="AN45" s="931"/>
      <c r="AO45" s="931"/>
    </row>
    <row r="46" spans="1:41" ht="17.25" customHeight="1" x14ac:dyDescent="0.35">
      <c r="A46" s="1376" t="str">
        <f>IF(OR(Data!$L$5=1,Data!$L$6=2),"",IF(Data!$HF21&lt;&gt;"",Data!$HF21,"---"))</f>
        <v>7"-8 7/8"</v>
      </c>
      <c r="B46" s="1377"/>
      <c r="C46" s="1378" t="str">
        <f>IF(OR(Data!$L$5=1,Data!$L$6=2),"",IF(Data!$HG21&lt;&gt;"",Data!$HG21,"---"))</f>
        <v>Matrix Body PDC Bit Set-up Charge</v>
      </c>
      <c r="D46" s="1379"/>
      <c r="E46" s="1379"/>
      <c r="F46" s="1379"/>
      <c r="G46" s="1379"/>
      <c r="H46" s="1379"/>
      <c r="I46" s="1379"/>
      <c r="J46" s="1379"/>
      <c r="K46" s="1379"/>
      <c r="L46" s="1379"/>
      <c r="M46" s="1379"/>
      <c r="N46" s="1379"/>
      <c r="O46" s="1380"/>
      <c r="P46" s="1368" t="str">
        <f>IF(OR(Data!$L$5=1,Data!$L$6=2),"",IF(Data!$GV21&lt;&gt;"",Data!$GV21,"---"))</f>
        <v>02 - 20</v>
      </c>
      <c r="Q46" s="1368"/>
      <c r="R46" s="1368"/>
      <c r="S46" s="1381"/>
      <c r="T46" s="1382">
        <f>IF(OR(Data!$L$5=1,Data!$L$6=2),"",IF(Data!$HE21&lt;&gt;"",Data!$HE21,"---"))</f>
        <v>1</v>
      </c>
      <c r="U46" s="1383"/>
      <c r="V46" s="1382" t="str">
        <f>IF(OR(Data!$L$5=1,Data!$L$6=2),"",IF(Data!$HC21&lt;&gt;"",Data!$HC21,"---"))</f>
        <v>EA</v>
      </c>
      <c r="W46" s="1383"/>
      <c r="X46" s="1410">
        <f>IF(OR(Data!$L$5=1,Data!$L$6=2),"",IF(Data!$HD21&lt;&gt;"",Data!$HD21,"---"))</f>
        <v>8350</v>
      </c>
      <c r="Y46" s="1411"/>
      <c r="Z46" s="1367">
        <f t="shared" ref="Z46:Z55" si="0">IFERROR(T46*X46,0)</f>
        <v>8350</v>
      </c>
      <c r="AA46" s="1368"/>
      <c r="AB46" s="1368"/>
      <c r="AC46" s="1399"/>
      <c r="AD46" s="1400"/>
      <c r="AE46" s="1400"/>
      <c r="AF46" s="1400"/>
      <c r="AG46" s="1400"/>
      <c r="AH46" s="1400"/>
      <c r="AI46" s="1400"/>
      <c r="AJ46" s="1401"/>
      <c r="AK46" s="931">
        <f>COUNTIF(C46,"*Cutter*")</f>
        <v>0</v>
      </c>
      <c r="AL46" s="931"/>
      <c r="AM46" s="931"/>
      <c r="AN46" s="931">
        <f>SUMIF(AK46:AK55,1,T46:U55)</f>
        <v>17</v>
      </c>
      <c r="AO46" s="931"/>
    </row>
    <row r="47" spans="1:41" ht="17.25" customHeight="1" x14ac:dyDescent="0.35">
      <c r="A47" s="1376" t="str">
        <f>IF(OR(Data!$L$5=1,Data!$L$6=2),"",IF(Data!$HF22&lt;&gt;"",Data!$HF22,"---"))</f>
        <v>13mm</v>
      </c>
      <c r="B47" s="1377"/>
      <c r="C47" s="1378" t="str">
        <f>IF(OR(Data!$L$5=1,Data!$L$6=2),"",IF(Data!$HG22&lt;&gt;"",Data!$HG22,"---"))</f>
        <v>Cutter Replacement Standard</v>
      </c>
      <c r="D47" s="1379"/>
      <c r="E47" s="1379"/>
      <c r="F47" s="1379"/>
      <c r="G47" s="1379"/>
      <c r="H47" s="1379"/>
      <c r="I47" s="1379"/>
      <c r="J47" s="1379"/>
      <c r="K47" s="1379"/>
      <c r="L47" s="1379"/>
      <c r="M47" s="1379"/>
      <c r="N47" s="1379"/>
      <c r="O47" s="1380"/>
      <c r="P47" s="1368" t="str">
        <f>IF(OR(Data!$L$5=1,Data!$L$6=2),"",IF(Data!$GV22&lt;&gt;"",Data!$GV22,"---"))</f>
        <v>06.3.1 - 10</v>
      </c>
      <c r="Q47" s="1368"/>
      <c r="R47" s="1368"/>
      <c r="S47" s="1381"/>
      <c r="T47" s="1382">
        <f>IF(OR(Data!$L$5=1,Data!$L$6=2),"",IF(Data!$HE22&lt;&gt;"",Data!$HE22,"---"))</f>
        <v>6</v>
      </c>
      <c r="U47" s="1383"/>
      <c r="V47" s="1382" t="str">
        <f>IF(OR(Data!$L$5=1,Data!$L$6=2),"",IF(Data!$HC22&lt;&gt;"",Data!$HC22,"---"))</f>
        <v>EA</v>
      </c>
      <c r="W47" s="1383"/>
      <c r="X47" s="1410">
        <f>IF(OR(Data!$L$5=1,Data!$L$6=2),"",IF(Data!$HD22&lt;&gt;"",Data!$HD22,"---"))</f>
        <v>345</v>
      </c>
      <c r="Y47" s="1411"/>
      <c r="Z47" s="1367">
        <f t="shared" si="0"/>
        <v>2070</v>
      </c>
      <c r="AA47" s="1368"/>
      <c r="AB47" s="1368"/>
      <c r="AC47" s="1399"/>
      <c r="AD47" s="1400"/>
      <c r="AE47" s="1400"/>
      <c r="AF47" s="1400"/>
      <c r="AG47" s="1400"/>
      <c r="AH47" s="1400"/>
      <c r="AI47" s="1400"/>
      <c r="AJ47" s="1401"/>
      <c r="AK47" s="931">
        <f t="shared" ref="AK47:AK55" si="1">COUNTIF(C47,"*Cutter*")</f>
        <v>1</v>
      </c>
      <c r="AL47" s="931"/>
      <c r="AM47" s="931"/>
      <c r="AN47" s="931"/>
      <c r="AO47" s="931"/>
    </row>
    <row r="48" spans="1:41" ht="15.75" customHeight="1" x14ac:dyDescent="0.35">
      <c r="A48" s="1376" t="str">
        <f>IF(OR(Data!$L$5=1,Data!$L$6=2),"",IF(Data!$HF23&lt;&gt;"",Data!$HF23,"---"))</f>
        <v>16mm</v>
      </c>
      <c r="B48" s="1377"/>
      <c r="C48" s="1378" t="str">
        <f>IF(OR(Data!$L$5=1,Data!$L$6=2),"",IF(Data!$HG23&lt;&gt;"",Data!$HG23,"---"))</f>
        <v>Cutter Replacement Standard</v>
      </c>
      <c r="D48" s="1379"/>
      <c r="E48" s="1379"/>
      <c r="F48" s="1379"/>
      <c r="G48" s="1379"/>
      <c r="H48" s="1379"/>
      <c r="I48" s="1379"/>
      <c r="J48" s="1379"/>
      <c r="K48" s="1379"/>
      <c r="L48" s="1379"/>
      <c r="M48" s="1379"/>
      <c r="N48" s="1379"/>
      <c r="O48" s="1380"/>
      <c r="P48" s="1368" t="str">
        <f>IF(OR(Data!$L$5=1,Data!$L$6=2),"",IF(Data!$GV23&lt;&gt;"",Data!$GV23,"---"))</f>
        <v>06.4.1 - 10</v>
      </c>
      <c r="Q48" s="1368"/>
      <c r="R48" s="1368"/>
      <c r="S48" s="1381"/>
      <c r="T48" s="1382">
        <f>IF(OR(Data!$L$5=1,Data!$L$6=2),"",IF(Data!$HE23&lt;&gt;"",Data!$HE23,"---"))</f>
        <v>3</v>
      </c>
      <c r="U48" s="1383"/>
      <c r="V48" s="1382" t="str">
        <f>IF(OR(Data!$L$5=1,Data!$L$6=2),"",IF(Data!$HC23&lt;&gt;"",Data!$HC23,"---"))</f>
        <v>EA</v>
      </c>
      <c r="W48" s="1383"/>
      <c r="X48" s="1410">
        <f>IF(OR(Data!$L$5=1,Data!$L$6=2),"",IF(Data!$HD23&lt;&gt;"",Data!$HD23,"---"))</f>
        <v>490</v>
      </c>
      <c r="Y48" s="1411"/>
      <c r="Z48" s="1367">
        <f t="shared" si="0"/>
        <v>1470</v>
      </c>
      <c r="AA48" s="1368"/>
      <c r="AB48" s="1368"/>
      <c r="AC48" s="1399"/>
      <c r="AD48" s="1400"/>
      <c r="AE48" s="1400"/>
      <c r="AF48" s="1400"/>
      <c r="AG48" s="1400"/>
      <c r="AH48" s="1400"/>
      <c r="AI48" s="1400"/>
      <c r="AJ48" s="1401"/>
      <c r="AK48" s="931">
        <f t="shared" si="1"/>
        <v>1</v>
      </c>
      <c r="AL48" s="931"/>
      <c r="AM48" s="931"/>
      <c r="AN48" s="931"/>
      <c r="AO48" s="931"/>
    </row>
    <row r="49" spans="1:48" ht="15.75" customHeight="1" x14ac:dyDescent="0.35">
      <c r="A49" s="1376" t="str">
        <f>IF(OR(Data!$L$5=1,Data!$L$6=2),"",IF(Data!$HF24&lt;&gt;"",Data!$HF24,"---"))</f>
        <v>16mm</v>
      </c>
      <c r="B49" s="1377"/>
      <c r="C49" s="1378" t="str">
        <f>IF(OR(Data!$L$5=1,Data!$L$6=2),"",IF(Data!$HG24&lt;&gt;"",Data!$HG24,"---"))</f>
        <v>Cutter Replacement Super Premium</v>
      </c>
      <c r="D49" s="1379"/>
      <c r="E49" s="1379"/>
      <c r="F49" s="1379"/>
      <c r="G49" s="1379"/>
      <c r="H49" s="1379"/>
      <c r="I49" s="1379"/>
      <c r="J49" s="1379"/>
      <c r="K49" s="1379"/>
      <c r="L49" s="1379"/>
      <c r="M49" s="1379"/>
      <c r="N49" s="1379"/>
      <c r="O49" s="1380"/>
      <c r="P49" s="1368" t="str">
        <f>IF(OR(Data!$L$5=1,Data!$L$6=2),"",IF(Data!$GV24&lt;&gt;"",Data!$GV24,"---"))</f>
        <v>06.4.1 - 30</v>
      </c>
      <c r="Q49" s="1368"/>
      <c r="R49" s="1368"/>
      <c r="S49" s="1381"/>
      <c r="T49" s="1382">
        <f>IF(OR(Data!$L$5=1,Data!$L$6=2),"",IF(Data!$HE24&lt;&gt;"",Data!$HE24,"---"))</f>
        <v>8</v>
      </c>
      <c r="U49" s="1383"/>
      <c r="V49" s="1382" t="str">
        <f>IF(OR(Data!$L$5=1,Data!$L$6=2),"",IF(Data!$HC24&lt;&gt;"",Data!$HC24,"---"))</f>
        <v>EA</v>
      </c>
      <c r="W49" s="1383"/>
      <c r="X49" s="1410">
        <f>IF(OR(Data!$L$5=1,Data!$L$6=2),"",IF(Data!$HD24&lt;&gt;"",Data!$HD24,"---"))</f>
        <v>662</v>
      </c>
      <c r="Y49" s="1411"/>
      <c r="Z49" s="1367">
        <f t="shared" si="0"/>
        <v>5296</v>
      </c>
      <c r="AA49" s="1368"/>
      <c r="AB49" s="1368"/>
      <c r="AC49" s="1399"/>
      <c r="AD49" s="1400"/>
      <c r="AE49" s="1400"/>
      <c r="AF49" s="1400"/>
      <c r="AG49" s="1400"/>
      <c r="AH49" s="1400"/>
      <c r="AI49" s="1400"/>
      <c r="AJ49" s="1401"/>
      <c r="AK49" s="931">
        <f t="shared" si="1"/>
        <v>1</v>
      </c>
      <c r="AL49" s="931"/>
      <c r="AM49" s="931"/>
      <c r="AN49" s="931"/>
      <c r="AO49" s="931"/>
    </row>
    <row r="50" spans="1:48" ht="15.75" customHeight="1" x14ac:dyDescent="0.35">
      <c r="A50" s="1376" t="str">
        <f>IF(OR(Data!$L$5=1,Data!$L$6=2),"",IF(Data!$HF25&lt;&gt;"",Data!$HF25,"---"))</f>
        <v>---</v>
      </c>
      <c r="B50" s="1377"/>
      <c r="C50" s="1378" t="str">
        <f>IF(OR(Data!$L$5=1,Data!$L$6=2),"",IF(Data!$HG25&lt;&gt;"",Data!$HG25,"---"))</f>
        <v>---</v>
      </c>
      <c r="D50" s="1379"/>
      <c r="E50" s="1379"/>
      <c r="F50" s="1379"/>
      <c r="G50" s="1379"/>
      <c r="H50" s="1379"/>
      <c r="I50" s="1379"/>
      <c r="J50" s="1379"/>
      <c r="K50" s="1379"/>
      <c r="L50" s="1379"/>
      <c r="M50" s="1379"/>
      <c r="N50" s="1379"/>
      <c r="O50" s="1380"/>
      <c r="P50" s="1368" t="str">
        <f>IF(OR(Data!$L$5=1,Data!$L$6=2),"",IF(Data!$GV25&lt;&gt;"",Data!$GV25,"---"))</f>
        <v>---</v>
      </c>
      <c r="Q50" s="1368"/>
      <c r="R50" s="1368"/>
      <c r="S50" s="1381"/>
      <c r="T50" s="1382" t="str">
        <f>IF(OR(Data!$L$5=1,Data!$L$6=2),"",IF(Data!$HE25&lt;&gt;"",Data!$HE25,"---"))</f>
        <v>---</v>
      </c>
      <c r="U50" s="1383"/>
      <c r="V50" s="1382" t="str">
        <f>IF(OR(Data!$L$5=1,Data!$L$6=2),"",IF(Data!$HC25&lt;&gt;"",Data!$HC25,"---"))</f>
        <v>---</v>
      </c>
      <c r="W50" s="1383"/>
      <c r="X50" s="1410" t="str">
        <f>IF(OR(Data!$L$5=1,Data!$L$6=2),"",IF(Data!$HD25&lt;&gt;"",Data!$HD25,"---"))</f>
        <v>---</v>
      </c>
      <c r="Y50" s="1411"/>
      <c r="Z50" s="1367">
        <f t="shared" si="0"/>
        <v>0</v>
      </c>
      <c r="AA50" s="1368"/>
      <c r="AB50" s="1368"/>
      <c r="AC50" s="1399"/>
      <c r="AD50" s="1400"/>
      <c r="AE50" s="1400"/>
      <c r="AF50" s="1400"/>
      <c r="AG50" s="1400"/>
      <c r="AH50" s="1400"/>
      <c r="AI50" s="1400"/>
      <c r="AJ50" s="1401"/>
      <c r="AK50" s="931">
        <f t="shared" si="1"/>
        <v>0</v>
      </c>
      <c r="AL50" s="931"/>
      <c r="AM50" s="931"/>
      <c r="AN50" s="931"/>
      <c r="AO50" s="931"/>
    </row>
    <row r="51" spans="1:48" ht="15.75" customHeight="1" x14ac:dyDescent="0.35">
      <c r="A51" s="1376" t="str">
        <f>IF(OR(Data!$L$5=1,Data!$L$6=2),"",IF(Data!$HF26&lt;&gt;"",Data!$HF26,"---"))</f>
        <v>---</v>
      </c>
      <c r="B51" s="1377"/>
      <c r="C51" s="1378" t="str">
        <f>IF(OR(Data!$L$5=1,Data!$L$6=2),"",IF(Data!$HG26&lt;&gt;"",Data!$HG26,"---"))</f>
        <v>---</v>
      </c>
      <c r="D51" s="1379"/>
      <c r="E51" s="1379"/>
      <c r="F51" s="1379"/>
      <c r="G51" s="1379"/>
      <c r="H51" s="1379"/>
      <c r="I51" s="1379"/>
      <c r="J51" s="1379"/>
      <c r="K51" s="1379"/>
      <c r="L51" s="1379"/>
      <c r="M51" s="1379"/>
      <c r="N51" s="1379"/>
      <c r="O51" s="1380"/>
      <c r="P51" s="1368" t="str">
        <f>IF(OR(Data!$L$5=1,Data!$L$6=2),"",IF(Data!$GV26&lt;&gt;"",Data!$GV26,"---"))</f>
        <v>---</v>
      </c>
      <c r="Q51" s="1368"/>
      <c r="R51" s="1368"/>
      <c r="S51" s="1381"/>
      <c r="T51" s="1382" t="str">
        <f>IF(OR(Data!$L$5=1,Data!$L$6=2),"",IF(Data!$HE26&lt;&gt;"",Data!$HE26,"---"))</f>
        <v>---</v>
      </c>
      <c r="U51" s="1383"/>
      <c r="V51" s="1382" t="str">
        <f>IF(OR(Data!$L$5=1,Data!$L$6=2),"",IF(Data!$HC26&lt;&gt;"",Data!$HC26,"---"))</f>
        <v>---</v>
      </c>
      <c r="W51" s="1383"/>
      <c r="X51" s="1410" t="str">
        <f>IF(OR(Data!$L$5=1,Data!$L$6=2),"",IF(Data!$HD26&lt;&gt;"",Data!$HD26,"---"))</f>
        <v>---</v>
      </c>
      <c r="Y51" s="1411"/>
      <c r="Z51" s="1367">
        <f t="shared" si="0"/>
        <v>0</v>
      </c>
      <c r="AA51" s="1368"/>
      <c r="AB51" s="1368"/>
      <c r="AC51" s="1399"/>
      <c r="AD51" s="1400"/>
      <c r="AE51" s="1400"/>
      <c r="AF51" s="1400"/>
      <c r="AG51" s="1400"/>
      <c r="AH51" s="1400"/>
      <c r="AI51" s="1400"/>
      <c r="AJ51" s="1401"/>
      <c r="AK51" s="931">
        <f t="shared" si="1"/>
        <v>0</v>
      </c>
      <c r="AL51" s="931"/>
      <c r="AM51" s="931"/>
      <c r="AN51" s="931"/>
      <c r="AO51" s="931"/>
    </row>
    <row r="52" spans="1:48" ht="15.75" customHeight="1" thickBot="1" x14ac:dyDescent="0.4">
      <c r="A52" s="1376" t="str">
        <f>IF(OR(Data!$L$5=1,Data!$L$6=2),"",IF(Data!$HF27&lt;&gt;"",Data!$HF27,"---"))</f>
        <v>---</v>
      </c>
      <c r="B52" s="1377"/>
      <c r="C52" s="1378" t="str">
        <f>IF(OR(Data!$L$5=1,Data!$L$6=2),"",IF(Data!$HG27&lt;&gt;"",Data!$HG27,"---"))</f>
        <v>---</v>
      </c>
      <c r="D52" s="1379"/>
      <c r="E52" s="1379"/>
      <c r="F52" s="1379"/>
      <c r="G52" s="1379"/>
      <c r="H52" s="1379"/>
      <c r="I52" s="1379"/>
      <c r="J52" s="1379"/>
      <c r="K52" s="1379"/>
      <c r="L52" s="1379"/>
      <c r="M52" s="1379"/>
      <c r="N52" s="1379"/>
      <c r="O52" s="1380"/>
      <c r="P52" s="1368" t="str">
        <f>IF(OR(Data!$L$5=1,Data!$L$6=2),"",IF(Data!$GV27&lt;&gt;"",Data!$GV27,"---"))</f>
        <v>---</v>
      </c>
      <c r="Q52" s="1368"/>
      <c r="R52" s="1368"/>
      <c r="S52" s="1381"/>
      <c r="T52" s="1382" t="str">
        <f>IF(OR(Data!$L$5=1,Data!$L$6=2),"",IF(Data!$HE27&lt;&gt;"",Data!$HE27,"---"))</f>
        <v>---</v>
      </c>
      <c r="U52" s="1383"/>
      <c r="V52" s="1382" t="str">
        <f>IF(OR(Data!$L$5=1,Data!$L$6=2),"",IF(Data!$HC27&lt;&gt;"",Data!$HC27,"---"))</f>
        <v>---</v>
      </c>
      <c r="W52" s="1383"/>
      <c r="X52" s="1410" t="str">
        <f>IF(OR(Data!$L$5=1,Data!$L$6=2),"",IF(Data!$HD27&lt;&gt;"",Data!$HD27,"---"))</f>
        <v>---</v>
      </c>
      <c r="Y52" s="1411"/>
      <c r="Z52" s="1367">
        <f t="shared" si="0"/>
        <v>0</v>
      </c>
      <c r="AA52" s="1368"/>
      <c r="AB52" s="1368"/>
      <c r="AC52" s="1399"/>
      <c r="AD52" s="1400"/>
      <c r="AE52" s="1400"/>
      <c r="AF52" s="1400"/>
      <c r="AG52" s="1400"/>
      <c r="AH52" s="1400"/>
      <c r="AI52" s="1400"/>
      <c r="AJ52" s="1401"/>
      <c r="AK52" s="931">
        <f t="shared" si="1"/>
        <v>0</v>
      </c>
      <c r="AL52" s="931"/>
      <c r="AM52" s="931"/>
      <c r="AN52" s="931"/>
      <c r="AO52" s="931"/>
    </row>
    <row r="53" spans="1:48" ht="15.75" customHeight="1" x14ac:dyDescent="0.35">
      <c r="A53" s="1376" t="str">
        <f>IF(OR(Data!$L$5=1,Data!$L$6=2),"",IF(Data!$HF28&lt;&gt;"",Data!$HF28,"---"))</f>
        <v>---</v>
      </c>
      <c r="B53" s="1377"/>
      <c r="C53" s="1378" t="str">
        <f>IF(OR(Data!$L$5=1,Data!$L$6=2),"",IF(Data!$HG28&lt;&gt;"",Data!$HG28,"---"))</f>
        <v>---</v>
      </c>
      <c r="D53" s="1379"/>
      <c r="E53" s="1379"/>
      <c r="F53" s="1379"/>
      <c r="G53" s="1379"/>
      <c r="H53" s="1379"/>
      <c r="I53" s="1379"/>
      <c r="J53" s="1379"/>
      <c r="K53" s="1379"/>
      <c r="L53" s="1379"/>
      <c r="M53" s="1379"/>
      <c r="N53" s="1379"/>
      <c r="O53" s="1380"/>
      <c r="P53" s="1368" t="str">
        <f>IF(OR(Data!$L$5=1,Data!$L$6=2),"",IF(Data!$GV28&lt;&gt;"",Data!$GV28,"---"))</f>
        <v>---</v>
      </c>
      <c r="Q53" s="1368"/>
      <c r="R53" s="1368"/>
      <c r="S53" s="1381"/>
      <c r="T53" s="1382" t="str">
        <f>IF(OR(Data!$L$5=1,Data!$L$6=2),"",IF(Data!$HE28&lt;&gt;"",Data!$HE28,"---"))</f>
        <v>---</v>
      </c>
      <c r="U53" s="1383"/>
      <c r="V53" s="1382" t="str">
        <f>IF(OR(Data!$L$5=1,Data!$L$6=2),"",IF(Data!$HC28&lt;&gt;"",Data!$HC28,"---"))</f>
        <v>---</v>
      </c>
      <c r="W53" s="1383"/>
      <c r="X53" s="1410" t="str">
        <f>IF(OR(Data!$L$5=1,Data!$L$6=2),"",IF(Data!$HD28&lt;&gt;"",Data!$HD28,"---"))</f>
        <v>---</v>
      </c>
      <c r="Y53" s="1411"/>
      <c r="Z53" s="1367">
        <f t="shared" si="0"/>
        <v>0</v>
      </c>
      <c r="AA53" s="1368"/>
      <c r="AB53" s="1368"/>
      <c r="AC53" s="1399"/>
      <c r="AD53" s="1400"/>
      <c r="AE53" s="1400"/>
      <c r="AF53" s="1400"/>
      <c r="AG53" s="1400"/>
      <c r="AH53" s="1400"/>
      <c r="AI53" s="1400"/>
      <c r="AJ53" s="1401"/>
      <c r="AK53" s="931">
        <f t="shared" si="1"/>
        <v>0</v>
      </c>
      <c r="AL53" s="931"/>
      <c r="AM53" s="931"/>
      <c r="AN53" s="931"/>
      <c r="AO53" s="931"/>
      <c r="AP53" s="1356" t="s">
        <v>1959</v>
      </c>
      <c r="AQ53" s="1352" t="s">
        <v>1953</v>
      </c>
      <c r="AR53" s="1352" t="s">
        <v>1954</v>
      </c>
      <c r="AS53" s="1352" t="s">
        <v>1955</v>
      </c>
      <c r="AT53" s="1352" t="s">
        <v>1956</v>
      </c>
      <c r="AU53" s="1352" t="s">
        <v>1957</v>
      </c>
      <c r="AV53" s="1354" t="s">
        <v>1958</v>
      </c>
    </row>
    <row r="54" spans="1:48" ht="15.75" customHeight="1" x14ac:dyDescent="0.35">
      <c r="A54" s="1376" t="str">
        <f>IF(OR(Data!$L$5=1,Data!$L$6=2),"",IF(Data!$HF29&lt;&gt;"",Data!$HF29,"---"))</f>
        <v>---</v>
      </c>
      <c r="B54" s="1377"/>
      <c r="C54" s="1378" t="str">
        <f>IF(OR(Data!$L$5=1,Data!$L$6=2),"",IF(Data!$HG29&lt;&gt;"",Data!$HG29,"---"))</f>
        <v>---</v>
      </c>
      <c r="D54" s="1379"/>
      <c r="E54" s="1379"/>
      <c r="F54" s="1379"/>
      <c r="G54" s="1379"/>
      <c r="H54" s="1379"/>
      <c r="I54" s="1379"/>
      <c r="J54" s="1379"/>
      <c r="K54" s="1379"/>
      <c r="L54" s="1379"/>
      <c r="M54" s="1379"/>
      <c r="N54" s="1379"/>
      <c r="O54" s="1380"/>
      <c r="P54" s="1368" t="str">
        <f>IF(OR(Data!$L$5=1,Data!$L$6=2),"",IF(Data!$GV29&lt;&gt;"",Data!$GV29,"---"))</f>
        <v>---</v>
      </c>
      <c r="Q54" s="1368"/>
      <c r="R54" s="1368"/>
      <c r="S54" s="1381"/>
      <c r="T54" s="1382" t="str">
        <f>IF(OR(Data!$L$5=1,Data!$L$6=2),"",IF(Data!$HE29&lt;&gt;"",Data!$HE29,"---"))</f>
        <v>---</v>
      </c>
      <c r="U54" s="1383"/>
      <c r="V54" s="1382" t="str">
        <f>IF(OR(Data!$L$5=1,Data!$L$6=2),"",IF(Data!$HC29&lt;&gt;"",Data!$HC29,"---"))</f>
        <v>---</v>
      </c>
      <c r="W54" s="1383"/>
      <c r="X54" s="1410" t="str">
        <f>IF(OR(Data!$L$5=1,Data!$L$6=2),"",IF(Data!$HD29&lt;&gt;"",Data!$HD29,"---"))</f>
        <v>---</v>
      </c>
      <c r="Y54" s="1411"/>
      <c r="Z54" s="1367">
        <f t="shared" si="0"/>
        <v>0</v>
      </c>
      <c r="AA54" s="1368"/>
      <c r="AB54" s="1368"/>
      <c r="AC54" s="1399"/>
      <c r="AD54" s="1400"/>
      <c r="AE54" s="1400"/>
      <c r="AF54" s="1400"/>
      <c r="AG54" s="1400"/>
      <c r="AH54" s="1400"/>
      <c r="AI54" s="1400"/>
      <c r="AJ54" s="1401"/>
      <c r="AK54" s="931">
        <f t="shared" si="1"/>
        <v>0</v>
      </c>
      <c r="AL54" s="931"/>
      <c r="AM54" s="931"/>
      <c r="AN54" s="931"/>
      <c r="AO54" s="931"/>
      <c r="AP54" s="1357"/>
      <c r="AQ54" s="1353"/>
      <c r="AR54" s="1353"/>
      <c r="AS54" s="1353"/>
      <c r="AT54" s="1353"/>
      <c r="AU54" s="1353"/>
      <c r="AV54" s="1355"/>
    </row>
    <row r="55" spans="1:48" ht="15.75" customHeight="1" thickBot="1" x14ac:dyDescent="0.4">
      <c r="A55" s="1376" t="str">
        <f>IF(OR(Data!$L$5=1,Data!$L$6=2),"",IF(Data!$HF29&lt;&gt;"",Data!$HF29,"---"))</f>
        <v>---</v>
      </c>
      <c r="B55" s="1377"/>
      <c r="C55" s="1378" t="str">
        <f>IF(OR(Data!$L$5=1,Data!$L$6=2),"",IF(Data!$HG30&lt;&gt;"",Data!$HG30,"---"))</f>
        <v>---</v>
      </c>
      <c r="D55" s="1379"/>
      <c r="E55" s="1379"/>
      <c r="F55" s="1379"/>
      <c r="G55" s="1379"/>
      <c r="H55" s="1379"/>
      <c r="I55" s="1379"/>
      <c r="J55" s="1379"/>
      <c r="K55" s="1379"/>
      <c r="L55" s="1379"/>
      <c r="M55" s="1379"/>
      <c r="N55" s="1379"/>
      <c r="O55" s="1380"/>
      <c r="P55" s="1368" t="str">
        <f>IF(OR(Data!$L$5=1,Data!$L$6=2),"",IF(Data!$GV30&lt;&gt;"",Data!$GV30,"---"))</f>
        <v>---</v>
      </c>
      <c r="Q55" s="1368"/>
      <c r="R55" s="1368"/>
      <c r="S55" s="1381"/>
      <c r="T55" s="1382" t="str">
        <f>IF(OR(Data!$L$5=1,Data!$L$6=2),"",IF(Data!$HE30&lt;&gt;"",Data!$HE30,"---"))</f>
        <v>---</v>
      </c>
      <c r="U55" s="1383"/>
      <c r="V55" s="1382" t="str">
        <f>IF(OR(Data!$L$5=1,Data!$L$6=2),"",IF(Data!$HC30&lt;&gt;"",Data!$HC30,"---"))</f>
        <v>---</v>
      </c>
      <c r="W55" s="1383"/>
      <c r="X55" s="1410" t="str">
        <f>IF(OR(Data!$L$5=1,Data!$L$6=2),"",IF(Data!$HD30&lt;&gt;"",Data!$HD30,"---"))</f>
        <v>---</v>
      </c>
      <c r="Y55" s="1411"/>
      <c r="Z55" s="1367">
        <f t="shared" si="0"/>
        <v>0</v>
      </c>
      <c r="AA55" s="1368"/>
      <c r="AB55" s="1368"/>
      <c r="AC55" s="1399"/>
      <c r="AD55" s="1400"/>
      <c r="AE55" s="1400"/>
      <c r="AF55" s="1400"/>
      <c r="AG55" s="1400"/>
      <c r="AH55" s="1400"/>
      <c r="AI55" s="1400"/>
      <c r="AJ55" s="1401"/>
      <c r="AK55" s="931">
        <f t="shared" si="1"/>
        <v>0</v>
      </c>
      <c r="AL55" s="931"/>
      <c r="AM55" s="931"/>
      <c r="AN55" s="931"/>
      <c r="AO55" s="931"/>
      <c r="AP55" s="940">
        <f>IFERROR($Z$56,"")</f>
        <v>17986</v>
      </c>
      <c r="AQ55" s="941">
        <f>IFERROR('ARDT Cutter Entry'!$AK$468,"")</f>
        <v>8</v>
      </c>
      <c r="AR55" s="941">
        <f>IFERROR('ARDT Cutter Entry'!$AL$468,"")</f>
        <v>5</v>
      </c>
      <c r="AS55" s="941">
        <f>IFERROR('ARDT Cutter Entry'!$AM$468,"")</f>
        <v>3</v>
      </c>
      <c r="AT55" s="941">
        <f>IFERROR('ARDT Cutter Entry'!$AN$468,"")</f>
        <v>5</v>
      </c>
      <c r="AU55" s="941">
        <f>IFERROR('ARDT Cutter Entry'!$AO$468,"")</f>
        <v>6</v>
      </c>
      <c r="AV55" s="942">
        <f>IFERROR('ARDT Cutter Entry'!$AP$468,"")</f>
        <v>0</v>
      </c>
    </row>
    <row r="56" spans="1:48" ht="15" customHeight="1" thickBot="1" x14ac:dyDescent="0.4">
      <c r="A56" s="1369" t="s">
        <v>1514</v>
      </c>
      <c r="B56" s="1370"/>
      <c r="C56" s="1370"/>
      <c r="D56" s="1370"/>
      <c r="E56" s="1370"/>
      <c r="F56" s="1370"/>
      <c r="G56" s="1370"/>
      <c r="H56" s="1370"/>
      <c r="I56" s="1370"/>
      <c r="J56" s="1370"/>
      <c r="K56" s="1370"/>
      <c r="L56" s="1370"/>
      <c r="M56" s="1370"/>
      <c r="N56" s="1370"/>
      <c r="O56" s="1371"/>
      <c r="P56" s="1369"/>
      <c r="Q56" s="1370"/>
      <c r="R56" s="1370"/>
      <c r="S56" s="1371"/>
      <c r="T56" s="1369"/>
      <c r="U56" s="1371"/>
      <c r="V56" s="1369"/>
      <c r="W56" s="1371"/>
      <c r="X56" s="1372"/>
      <c r="Y56" s="1373"/>
      <c r="Z56" s="1374">
        <f>SUM(Z45:AB55)</f>
        <v>17986</v>
      </c>
      <c r="AA56" s="1375"/>
      <c r="AB56" s="1375"/>
      <c r="AC56" s="1402"/>
      <c r="AD56" s="1403"/>
      <c r="AE56" s="1403"/>
      <c r="AF56" s="1403"/>
      <c r="AG56" s="1403"/>
      <c r="AH56" s="1403"/>
      <c r="AI56" s="1403"/>
      <c r="AJ56" s="1404"/>
    </row>
    <row r="57" spans="1:48" ht="3.75" customHeight="1" thickBot="1" x14ac:dyDescent="0.4"/>
    <row r="58" spans="1:48" ht="12" customHeight="1" thickBot="1" x14ac:dyDescent="0.4">
      <c r="A58" s="1471" t="s">
        <v>1794</v>
      </c>
      <c r="B58" s="1471"/>
      <c r="C58" s="1471"/>
      <c r="D58" s="1471"/>
      <c r="E58" s="1471"/>
      <c r="F58" s="1471"/>
      <c r="G58" s="1471"/>
      <c r="H58" s="1471"/>
      <c r="I58" s="1477"/>
      <c r="J58" s="1405" t="s">
        <v>46</v>
      </c>
      <c r="K58" s="1406"/>
      <c r="L58" s="1405" t="str">
        <f>IF(Data!B7="SAUDI ARAMCO",IF(Data!L6=1,"√",""),"")</f>
        <v/>
      </c>
      <c r="M58" s="1406"/>
      <c r="N58" s="660"/>
      <c r="O58" s="1405" t="s">
        <v>1186</v>
      </c>
      <c r="P58" s="1407"/>
      <c r="Q58" s="1406"/>
      <c r="R58" s="1405" t="str">
        <f>IF(Data!B7="SAUDI ARAMCO",IF(Data!L6=2,"√",""),"")</f>
        <v/>
      </c>
      <c r="S58" s="1406"/>
      <c r="T58" s="1408" t="s">
        <v>1795</v>
      </c>
      <c r="U58" s="1408"/>
      <c r="V58" s="1408"/>
      <c r="W58" s="1408"/>
      <c r="X58" s="1408"/>
      <c r="Y58" s="1408"/>
      <c r="Z58" s="1408"/>
      <c r="AA58" s="1408"/>
      <c r="AB58" s="1409" t="str">
        <f>IF(Data!B17&lt;&gt;"", Data!B17, "")</f>
        <v>Ramzi Kassab</v>
      </c>
      <c r="AC58" s="1409"/>
      <c r="AD58" s="1409"/>
      <c r="AE58" s="1409"/>
      <c r="AF58" s="1409"/>
      <c r="AG58" s="1409"/>
      <c r="AH58" s="1409"/>
      <c r="AI58" s="1409"/>
      <c r="AJ58" s="1409"/>
    </row>
    <row r="59" spans="1:48" ht="9.75" customHeight="1" thickBot="1" x14ac:dyDescent="0.4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1408"/>
      <c r="U59" s="1408"/>
      <c r="V59" s="1408"/>
      <c r="W59" s="1408"/>
      <c r="X59" s="1408"/>
      <c r="Y59" s="1408"/>
      <c r="Z59" s="1408"/>
      <c r="AA59" s="1408"/>
      <c r="AB59" s="1409"/>
      <c r="AC59" s="1409"/>
      <c r="AD59" s="1409"/>
      <c r="AE59" s="1409"/>
      <c r="AF59" s="1409"/>
      <c r="AG59" s="1409"/>
      <c r="AH59" s="1409"/>
      <c r="AI59" s="1409"/>
      <c r="AJ59" s="1409"/>
    </row>
    <row r="60" spans="1:48" ht="9.75" customHeight="1" thickBot="1" x14ac:dyDescent="0.4">
      <c r="A60" s="1457" t="s">
        <v>1880</v>
      </c>
      <c r="B60" s="1458"/>
      <c r="C60" s="1458"/>
      <c r="D60" s="1458"/>
      <c r="E60" s="1458"/>
      <c r="F60" s="1458"/>
      <c r="G60" s="1458"/>
      <c r="H60" s="1458"/>
      <c r="I60" s="1458"/>
      <c r="J60" s="1458"/>
      <c r="K60" s="1458"/>
      <c r="L60" s="1458"/>
      <c r="M60" s="1458"/>
      <c r="N60" s="1458"/>
      <c r="O60" s="1458"/>
      <c r="P60" s="1458"/>
      <c r="Q60" s="1458"/>
      <c r="R60" s="1458"/>
      <c r="S60" s="1458"/>
      <c r="T60" s="1458"/>
      <c r="U60" s="1458"/>
      <c r="V60" s="1458"/>
      <c r="W60" s="1458"/>
      <c r="X60" s="1458"/>
      <c r="Y60" s="1458"/>
      <c r="Z60" s="1458"/>
      <c r="AA60" s="1458"/>
      <c r="AB60" s="1458"/>
      <c r="AC60" s="1458"/>
      <c r="AD60" s="1458"/>
      <c r="AE60" s="1458"/>
      <c r="AF60" s="1458"/>
      <c r="AG60" s="1458"/>
      <c r="AH60" s="1458"/>
      <c r="AI60" s="1458"/>
      <c r="AJ60" s="1459"/>
    </row>
    <row r="61" spans="1:48" ht="11.25" customHeight="1" x14ac:dyDescent="0.35">
      <c r="A61" s="1474" t="s">
        <v>1910</v>
      </c>
      <c r="B61" s="1475"/>
      <c r="C61" s="1475"/>
      <c r="D61" s="1475"/>
      <c r="E61" s="1475"/>
      <c r="F61" s="1475"/>
      <c r="G61" s="1475"/>
      <c r="H61" s="1475"/>
      <c r="I61" s="1475"/>
      <c r="J61" s="1475"/>
      <c r="K61" s="1475"/>
      <c r="L61" s="1475"/>
      <c r="M61" s="1475"/>
      <c r="N61" s="1475"/>
      <c r="O61" s="1475"/>
      <c r="P61" s="1475"/>
      <c r="Q61" s="1475"/>
      <c r="R61" s="1475"/>
      <c r="S61" s="1475"/>
      <c r="T61" s="1475"/>
      <c r="U61" s="1475"/>
      <c r="V61" s="1475"/>
      <c r="W61" s="1475"/>
      <c r="X61" s="1475"/>
      <c r="Y61" s="1475"/>
      <c r="Z61" s="1475"/>
      <c r="AA61" s="1475"/>
      <c r="AB61" s="1476"/>
      <c r="AC61" s="1390" t="s">
        <v>1011</v>
      </c>
      <c r="AD61" s="1391"/>
      <c r="AE61" s="1391"/>
      <c r="AF61" s="1391"/>
      <c r="AG61" s="1391"/>
      <c r="AH61" s="1391"/>
      <c r="AI61" s="1391"/>
      <c r="AJ61" s="1392"/>
    </row>
    <row r="62" spans="1:48" ht="11.25" customHeight="1" x14ac:dyDescent="0.35">
      <c r="A62" s="1393" t="s">
        <v>1878</v>
      </c>
      <c r="B62" s="1394"/>
      <c r="C62" s="1394"/>
      <c r="D62" s="1394"/>
      <c r="E62" s="1395" t="s">
        <v>2531</v>
      </c>
      <c r="F62" s="1395"/>
      <c r="G62" s="1395"/>
      <c r="H62" s="1395"/>
      <c r="I62" s="1395"/>
      <c r="J62" s="1395"/>
      <c r="K62" s="1395"/>
      <c r="L62" s="1395"/>
      <c r="M62" s="1395"/>
      <c r="N62" s="1395"/>
      <c r="O62" s="1395"/>
      <c r="P62" s="1395"/>
      <c r="Q62" s="1395"/>
      <c r="R62" s="1395"/>
      <c r="S62" s="1395"/>
      <c r="T62" s="1395"/>
      <c r="U62" s="1395"/>
      <c r="V62" s="1395"/>
      <c r="W62" s="1395"/>
      <c r="X62" s="1395"/>
      <c r="Y62" s="1395"/>
      <c r="Z62" s="1395"/>
      <c r="AA62" s="1395"/>
      <c r="AB62" s="1395"/>
      <c r="AC62" s="1396" t="s">
        <v>1881</v>
      </c>
      <c r="AD62" s="1396"/>
      <c r="AE62" s="1396"/>
      <c r="AF62" s="1396"/>
      <c r="AG62" s="1396"/>
      <c r="AH62" s="1396"/>
      <c r="AI62" s="1397" t="str">
        <f>IF(Data!B43="SAUDI ARAMCO",IF(AND(Data!L41&lt;&gt;1,Data!L42=1),"√",""),"")</f>
        <v/>
      </c>
      <c r="AJ62" s="1398"/>
    </row>
    <row r="63" spans="1:48" ht="11.25" customHeight="1" x14ac:dyDescent="0.35">
      <c r="A63" s="1363"/>
      <c r="B63" s="1364"/>
      <c r="C63" s="1364"/>
      <c r="D63" s="1364"/>
      <c r="E63" s="1395"/>
      <c r="F63" s="1395"/>
      <c r="G63" s="1395"/>
      <c r="H63" s="1395"/>
      <c r="I63" s="1395"/>
      <c r="J63" s="1395"/>
      <c r="K63" s="1395"/>
      <c r="L63" s="1395"/>
      <c r="M63" s="1395"/>
      <c r="N63" s="1395"/>
      <c r="O63" s="1395"/>
      <c r="P63" s="1395"/>
      <c r="Q63" s="1395"/>
      <c r="R63" s="1395"/>
      <c r="S63" s="1395"/>
      <c r="T63" s="1395"/>
      <c r="U63" s="1395"/>
      <c r="V63" s="1395"/>
      <c r="W63" s="1395"/>
      <c r="X63" s="1395"/>
      <c r="Y63" s="1395"/>
      <c r="Z63" s="1395"/>
      <c r="AA63" s="1395"/>
      <c r="AB63" s="1395"/>
      <c r="AC63" s="1396" t="s">
        <v>1882</v>
      </c>
      <c r="AD63" s="1396"/>
      <c r="AE63" s="1396"/>
      <c r="AF63" s="1396"/>
      <c r="AG63" s="1396"/>
      <c r="AH63" s="1396"/>
      <c r="AI63" s="1397" t="str">
        <f>IF(Data!B43="SAUDI ARAMCO",IF(Data!L41=1,"√",""),"")</f>
        <v/>
      </c>
      <c r="AJ63" s="1398"/>
    </row>
    <row r="64" spans="1:48" ht="9.75" customHeight="1" x14ac:dyDescent="0.35">
      <c r="A64" s="1363" t="s">
        <v>19</v>
      </c>
      <c r="B64" s="1364"/>
      <c r="C64" s="1364"/>
      <c r="D64" s="1364"/>
      <c r="E64" s="1365"/>
      <c r="F64" s="1365"/>
      <c r="G64" s="1365"/>
      <c r="H64" s="1365"/>
      <c r="I64" s="1365"/>
      <c r="J64" s="1365"/>
      <c r="K64" s="1365"/>
      <c r="L64" s="1365"/>
      <c r="M64" s="1365"/>
      <c r="N64" s="1365"/>
      <c r="O64" s="1365"/>
      <c r="P64" s="1365"/>
      <c r="Q64" s="1365"/>
      <c r="R64" s="1365"/>
      <c r="S64" s="1365"/>
      <c r="T64" s="1365"/>
      <c r="U64" s="1365"/>
      <c r="V64" s="1365"/>
      <c r="W64" s="1365"/>
      <c r="X64" s="1365"/>
      <c r="Y64" s="1365"/>
      <c r="Z64" s="1365"/>
      <c r="AA64" s="1365"/>
      <c r="AB64" s="1365"/>
      <c r="AC64" s="1365"/>
      <c r="AD64" s="1365"/>
      <c r="AE64" s="1365"/>
      <c r="AF64" s="1365"/>
      <c r="AG64" s="1365"/>
      <c r="AH64" s="1365"/>
      <c r="AI64" s="1365"/>
      <c r="AJ64" s="1366"/>
    </row>
    <row r="65" spans="1:36" ht="9.75" customHeight="1" x14ac:dyDescent="0.35">
      <c r="A65" s="1363"/>
      <c r="B65" s="1364"/>
      <c r="C65" s="1364"/>
      <c r="D65" s="1364"/>
      <c r="E65" s="1365"/>
      <c r="F65" s="1365"/>
      <c r="G65" s="1365"/>
      <c r="H65" s="1365"/>
      <c r="I65" s="1365"/>
      <c r="J65" s="1365"/>
      <c r="K65" s="1365"/>
      <c r="L65" s="1365"/>
      <c r="M65" s="1365"/>
      <c r="N65" s="1365"/>
      <c r="O65" s="1365"/>
      <c r="P65" s="1365"/>
      <c r="Q65" s="1365"/>
      <c r="R65" s="1365"/>
      <c r="S65" s="1365"/>
      <c r="T65" s="1365"/>
      <c r="U65" s="1365"/>
      <c r="V65" s="1365"/>
      <c r="W65" s="1365"/>
      <c r="X65" s="1365"/>
      <c r="Y65" s="1365"/>
      <c r="Z65" s="1365"/>
      <c r="AA65" s="1365"/>
      <c r="AB65" s="1365"/>
      <c r="AC65" s="1365"/>
      <c r="AD65" s="1365"/>
      <c r="AE65" s="1365"/>
      <c r="AF65" s="1365"/>
      <c r="AG65" s="1365"/>
      <c r="AH65" s="1365"/>
      <c r="AI65" s="1365"/>
      <c r="AJ65" s="1366"/>
    </row>
    <row r="66" spans="1:36" ht="9.75" customHeight="1" x14ac:dyDescent="0.35">
      <c r="A66" s="1363"/>
      <c r="B66" s="1364"/>
      <c r="C66" s="1364"/>
      <c r="D66" s="1364"/>
      <c r="E66" s="1365"/>
      <c r="F66" s="1365"/>
      <c r="G66" s="1365"/>
      <c r="H66" s="1365"/>
      <c r="I66" s="1365"/>
      <c r="J66" s="1365"/>
      <c r="K66" s="1365"/>
      <c r="L66" s="1365"/>
      <c r="M66" s="1365"/>
      <c r="N66" s="1365"/>
      <c r="O66" s="1365"/>
      <c r="P66" s="1365"/>
      <c r="Q66" s="1365"/>
      <c r="R66" s="1365"/>
      <c r="S66" s="1365"/>
      <c r="T66" s="1365"/>
      <c r="U66" s="1365"/>
      <c r="V66" s="1365"/>
      <c r="W66" s="1365"/>
      <c r="X66" s="1365"/>
      <c r="Y66" s="1365"/>
      <c r="Z66" s="1365"/>
      <c r="AA66" s="1365"/>
      <c r="AB66" s="1365"/>
      <c r="AC66" s="1365"/>
      <c r="AD66" s="1365"/>
      <c r="AE66" s="1365"/>
      <c r="AF66" s="1365"/>
      <c r="AG66" s="1365"/>
      <c r="AH66" s="1365"/>
      <c r="AI66" s="1365"/>
      <c r="AJ66" s="1366"/>
    </row>
    <row r="67" spans="1:36" ht="17.25" customHeight="1" thickBot="1" x14ac:dyDescent="0.4">
      <c r="A67" s="1358" t="s">
        <v>1879</v>
      </c>
      <c r="B67" s="1359"/>
      <c r="C67" s="1359"/>
      <c r="D67" s="1359"/>
      <c r="E67" s="1360"/>
      <c r="F67" s="1360"/>
      <c r="G67" s="1360"/>
      <c r="H67" s="1360"/>
      <c r="I67" s="1360"/>
      <c r="J67" s="1360"/>
      <c r="K67" s="1360"/>
      <c r="L67" s="1360"/>
      <c r="M67" s="1360"/>
      <c r="N67" s="1360"/>
      <c r="O67" s="1360"/>
      <c r="P67" s="1360"/>
      <c r="Q67" s="1360"/>
      <c r="R67" s="1360"/>
      <c r="S67" s="1359" t="s">
        <v>1079</v>
      </c>
      <c r="T67" s="1359"/>
      <c r="U67" s="1359"/>
      <c r="V67" s="1359"/>
      <c r="W67" s="1359"/>
      <c r="X67" s="1361"/>
      <c r="Y67" s="1361"/>
      <c r="Z67" s="1361"/>
      <c r="AA67" s="1361"/>
      <c r="AB67" s="1361"/>
      <c r="AC67" s="1361"/>
      <c r="AD67" s="1361"/>
      <c r="AE67" s="1361"/>
      <c r="AF67" s="1361"/>
      <c r="AG67" s="1361"/>
      <c r="AH67" s="1361"/>
      <c r="AI67" s="1361"/>
      <c r="AJ67" s="1362"/>
    </row>
    <row r="68" spans="1:36" x14ac:dyDescent="0.3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3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3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</mergeCells>
  <conditionalFormatting sqref="C15:AJ15">
    <cfRule type="cellIs" dxfId="500" priority="11" operator="equal">
      <formula>0</formula>
    </cfRule>
  </conditionalFormatting>
  <conditionalFormatting sqref="P32">
    <cfRule type="expression" dxfId="498" priority="10">
      <formula>OR(SUM($A$32:$O$32)&lt;$P$32,SUM($A$32:$O$32)&gt;$P$32)</formula>
    </cfRule>
  </conditionalFormatting>
  <conditionalFormatting sqref="T56">
    <cfRule type="cellIs" dxfId="497" priority="16" operator="equal">
      <formula>0</formula>
    </cfRule>
  </conditionalFormatting>
  <conditionalFormatting sqref="T45:U55 X45:X56">
    <cfRule type="cellIs" dxfId="496" priority="6" operator="equal">
      <formula>0</formula>
    </cfRule>
  </conditionalFormatting>
  <conditionalFormatting sqref="T45:U55">
    <cfRule type="expression" dxfId="495" priority="2">
      <formula>AND($L$32&lt;&gt;$AN$46,COUNTIF($C45,"*Cutter*"))</formula>
    </cfRule>
  </conditionalFormatting>
  <conditionalFormatting sqref="V45:W55">
    <cfRule type="expression" dxfId="494" priority="5">
      <formula>OR(T45=0,T45="")</formula>
    </cfRule>
  </conditionalFormatting>
  <conditionalFormatting sqref="Z45:Z56">
    <cfRule type="cellIs" dxfId="493" priority="4" operator="equal">
      <formula>0</formula>
    </cfRule>
  </conditionalFormatting>
  <conditionalFormatting sqref="AD10">
    <cfRule type="cellIs" dxfId="492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topLeftCell="A15" zoomScaleNormal="100" zoomScaleSheetLayoutView="100" workbookViewId="0">
      <selection activeCell="AJ21" sqref="AJ21"/>
    </sheetView>
  </sheetViews>
  <sheetFormatPr defaultColWidth="9.1796875" defaultRowHeight="14.5" x14ac:dyDescent="0.35"/>
  <cols>
    <col min="1" max="2" width="2.54296875" customWidth="1"/>
    <col min="3" max="27" width="3.7265625" customWidth="1"/>
    <col min="28" max="28" width="3" customWidth="1"/>
    <col min="29" max="30" width="3.1796875" customWidth="1"/>
    <col min="33" max="33" width="12.7265625" customWidth="1"/>
    <col min="34" max="34" width="12.453125" bestFit="1" customWidth="1"/>
    <col min="35" max="35" width="8.54296875" bestFit="1" customWidth="1"/>
    <col min="36" max="36" width="9.54296875" customWidth="1"/>
    <col min="37" max="37" width="40.1796875" bestFit="1" customWidth="1"/>
    <col min="38" max="38" width="30.54296875" bestFit="1" customWidth="1"/>
    <col min="39" max="41" width="3" bestFit="1" customWidth="1"/>
    <col min="130" max="130" width="9.1796875" customWidth="1"/>
  </cols>
  <sheetData>
    <row r="1" spans="1:36" ht="14.25" customHeight="1" x14ac:dyDescent="0.35">
      <c r="A1" s="1141" t="s">
        <v>23</v>
      </c>
      <c r="B1" s="1142"/>
      <c r="C1" s="1143"/>
      <c r="D1" s="1135" t="s">
        <v>967</v>
      </c>
      <c r="E1" s="1135"/>
      <c r="F1" s="1135"/>
      <c r="G1" s="1135"/>
      <c r="H1" s="1135"/>
      <c r="I1" s="1135"/>
      <c r="J1" s="1135"/>
      <c r="K1" s="1135"/>
      <c r="L1" s="1135"/>
      <c r="M1" s="1135"/>
      <c r="N1" s="1135"/>
      <c r="O1" s="1135"/>
      <c r="P1" s="1135"/>
      <c r="Q1" s="1135"/>
      <c r="R1" s="1135"/>
      <c r="S1" s="1135"/>
      <c r="T1" s="1135"/>
      <c r="U1" s="1135"/>
      <c r="V1" s="1135"/>
      <c r="W1" s="1135"/>
      <c r="X1" s="1135"/>
      <c r="Y1" s="1135"/>
      <c r="Z1" s="1135"/>
      <c r="AA1" s="1136"/>
      <c r="AB1" s="1123" t="str">
        <f>IF(
   AND(AG2=AH2,AG2=AI2,AG2=AJ2),
   "✅ OK – all four match",
   "❌ Mismatch – check table / M34 / remarks / Quantity"
)</f>
        <v>✅ OK – all four match</v>
      </c>
      <c r="AG1" s="1123" t="s">
        <v>2526</v>
      </c>
      <c r="AH1" s="1123" t="s">
        <v>2527</v>
      </c>
      <c r="AI1" s="1123" t="s">
        <v>44</v>
      </c>
      <c r="AJ1" s="1123" t="s">
        <v>40</v>
      </c>
    </row>
    <row r="2" spans="1:36" ht="12.75" customHeight="1" x14ac:dyDescent="0.35">
      <c r="A2" s="1138"/>
      <c r="B2" s="1139"/>
      <c r="C2" s="1144"/>
      <c r="D2" s="1128" t="s">
        <v>24</v>
      </c>
      <c r="E2" s="1128"/>
      <c r="F2" s="1128"/>
      <c r="G2" s="1128"/>
      <c r="H2" s="1128"/>
      <c r="I2" s="1128"/>
      <c r="J2" s="1128"/>
      <c r="K2" s="1128"/>
      <c r="L2" s="1128" t="s">
        <v>1062</v>
      </c>
      <c r="M2" s="1128"/>
      <c r="N2" s="1128"/>
      <c r="O2" s="1128"/>
      <c r="P2" s="1128"/>
      <c r="Q2" s="1128"/>
      <c r="R2" s="1128"/>
      <c r="S2" s="1128"/>
      <c r="T2" s="1128" t="s">
        <v>25</v>
      </c>
      <c r="U2" s="1128"/>
      <c r="V2" s="1128"/>
      <c r="W2" s="1128"/>
      <c r="X2" s="1128"/>
      <c r="Y2" s="1128"/>
      <c r="Z2" s="1128"/>
      <c r="AA2" s="1158"/>
      <c r="AG2" s="1123">
        <f>COUNTIF($C$17:$AA$28,"X*")+COUNTIF($C$17:$AA$28,"L*")</f>
        <v>17</v>
      </c>
      <c r="AH2" s="1123">
        <f>IF($M$34&lt;&gt;"",$M$34,0)+IF($P$34&lt;&gt;"",$P$34,0)</f>
        <v>17</v>
      </c>
      <c r="AI2" s="1123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17</v>
      </c>
      <c r="AJ2" s="1123">
        <f>SUM(C44:D60)</f>
        <v>17</v>
      </c>
    </row>
    <row r="3" spans="1:36" ht="12.75" customHeight="1" thickBot="1" x14ac:dyDescent="0.4">
      <c r="A3" s="1145"/>
      <c r="B3" s="1146"/>
      <c r="C3" s="1147"/>
      <c r="D3" s="1137" t="s">
        <v>1118</v>
      </c>
      <c r="E3" s="1137"/>
      <c r="F3" s="1137"/>
      <c r="G3" s="1137"/>
      <c r="H3" s="1137"/>
      <c r="I3" s="1137"/>
      <c r="J3" s="1137"/>
      <c r="K3" s="1137"/>
      <c r="L3" s="1137"/>
      <c r="M3" s="1137"/>
      <c r="N3" s="1137"/>
      <c r="O3" s="1137"/>
      <c r="P3" s="1137"/>
      <c r="Q3" s="1137"/>
      <c r="R3" s="1137"/>
      <c r="S3" s="1137"/>
      <c r="T3" s="1137" t="s">
        <v>26</v>
      </c>
      <c r="U3" s="1137"/>
      <c r="V3" s="1137"/>
      <c r="W3" s="1137"/>
      <c r="X3" s="1137"/>
      <c r="Y3" s="1137"/>
      <c r="Z3" s="1137"/>
      <c r="AA3" s="1159"/>
    </row>
    <row r="4" spans="1:36" ht="5.15" customHeight="1" x14ac:dyDescent="0.3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35">
      <c r="A5" s="395"/>
      <c r="B5" s="1139" t="s">
        <v>27</v>
      </c>
      <c r="C5" s="1139"/>
      <c r="D5" s="1139"/>
      <c r="E5" s="1139"/>
      <c r="F5" s="1160" t="str">
        <f>IF(Data!B1&lt;&gt;"", Data!B1, " ")</f>
        <v>2025-AR-109</v>
      </c>
      <c r="G5" s="1161"/>
      <c r="H5" s="1161"/>
      <c r="I5" s="1161"/>
      <c r="J5" s="1162"/>
      <c r="K5" s="1209" t="s">
        <v>28</v>
      </c>
      <c r="L5" s="1209"/>
      <c r="M5" s="1209"/>
      <c r="N5" s="1160">
        <f>IF(Data!B2&lt;&gt;"", Data!B2, " ")</f>
        <v>13845937</v>
      </c>
      <c r="O5" s="1161"/>
      <c r="P5" s="1161"/>
      <c r="Q5" s="1161"/>
      <c r="R5" s="1162"/>
      <c r="S5" s="1139" t="s">
        <v>731</v>
      </c>
      <c r="T5" s="1139"/>
      <c r="U5" s="1139"/>
      <c r="V5" s="1139"/>
      <c r="W5" s="1160"/>
      <c r="X5" s="1161"/>
      <c r="Y5" s="1161"/>
      <c r="Z5" s="1161"/>
      <c r="AA5" s="1162"/>
    </row>
    <row r="6" spans="1:36" ht="4.5" customHeight="1" x14ac:dyDescent="0.3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166" t="s">
        <v>966</v>
      </c>
      <c r="T6" s="1166"/>
      <c r="U6" s="1166"/>
      <c r="V6" s="1166"/>
      <c r="W6" s="396"/>
      <c r="X6" s="396"/>
      <c r="Y6" s="393"/>
      <c r="Z6" s="393"/>
      <c r="AA6" s="395"/>
    </row>
    <row r="7" spans="1:36" ht="13.5" customHeight="1" x14ac:dyDescent="0.35">
      <c r="A7" s="395"/>
      <c r="B7" s="395"/>
      <c r="C7" s="395"/>
      <c r="D7" s="1209" t="s">
        <v>29</v>
      </c>
      <c r="E7" s="1209"/>
      <c r="F7" s="1160" t="str">
        <f>IF(LEN(Data!B3)&gt;3,IF(AND(Data!B43&lt;&gt;"",Data!B43&lt;&gt;"0 0/1"""),Data!B43,""),IF(Data!B3&lt;&gt;"",Data!B3&amp;"""",""))</f>
        <v>8 3/8"</v>
      </c>
      <c r="G7" s="1161"/>
      <c r="H7" s="1161"/>
      <c r="I7" s="1161"/>
      <c r="J7" s="1162"/>
      <c r="K7" s="1210" t="s">
        <v>30</v>
      </c>
      <c r="L7" s="1210"/>
      <c r="M7" s="1210"/>
      <c r="N7" s="1160">
        <f>IF(Data!B5&lt;&gt;"",Data!B5," ")</f>
        <v>1080537</v>
      </c>
      <c r="O7" s="1161"/>
      <c r="P7" s="1161"/>
      <c r="Q7" s="1161"/>
      <c r="R7" s="1162"/>
      <c r="S7" s="1166"/>
      <c r="T7" s="1166"/>
      <c r="U7" s="1166"/>
      <c r="V7" s="1166"/>
      <c r="W7" s="1163">
        <f>IF(Data!B6&lt;&gt;"",Data!B6," ")</f>
        <v>46002</v>
      </c>
      <c r="X7" s="1164"/>
      <c r="Y7" s="1164"/>
      <c r="Z7" s="1164"/>
      <c r="AA7" s="1165"/>
    </row>
    <row r="8" spans="1:36" ht="5.15" customHeight="1" x14ac:dyDescent="0.3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166"/>
      <c r="T8" s="1166"/>
      <c r="U8" s="1166"/>
      <c r="V8" s="1166"/>
      <c r="W8" s="396"/>
      <c r="X8" s="396"/>
      <c r="Y8" s="393"/>
      <c r="Z8" s="393"/>
      <c r="AA8" s="395"/>
    </row>
    <row r="9" spans="1:36" ht="13.5" customHeight="1" x14ac:dyDescent="0.35">
      <c r="A9" s="395"/>
      <c r="B9" s="395"/>
      <c r="C9" s="395"/>
      <c r="D9" s="1209" t="s">
        <v>31</v>
      </c>
      <c r="E9" s="1209"/>
      <c r="F9" s="1160" t="str">
        <f>IF(Data!B4&lt;&gt;"",Data!B4," ")</f>
        <v>MM65DH-1</v>
      </c>
      <c r="G9" s="1161"/>
      <c r="H9" s="1161"/>
      <c r="I9" s="1161"/>
      <c r="J9" s="1162"/>
      <c r="K9" s="395"/>
      <c r="L9" s="1209" t="s">
        <v>32</v>
      </c>
      <c r="M9" s="1209"/>
      <c r="N9" s="1160" t="str">
        <f>IF(Data!B7&lt;&gt;"",Data!B7, " ")</f>
        <v>SAUDI ARAMCO</v>
      </c>
      <c r="O9" s="1161"/>
      <c r="P9" s="1161"/>
      <c r="Q9" s="1161"/>
      <c r="R9" s="1162"/>
      <c r="S9" s="1139" t="s">
        <v>33</v>
      </c>
      <c r="T9" s="1139"/>
      <c r="U9" s="1139"/>
      <c r="V9" s="1139"/>
      <c r="W9" s="1160">
        <f>IF(Data!B24&lt;&gt;"",Data!B24, " ")</f>
        <v>6600048646</v>
      </c>
      <c r="X9" s="1161"/>
      <c r="Y9" s="1161"/>
      <c r="Z9" s="1161"/>
      <c r="AA9" s="1162"/>
    </row>
    <row r="10" spans="1:36" ht="5.15" customHeight="1" thickBot="1" x14ac:dyDescent="0.4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35">
      <c r="A11" s="1149" t="s">
        <v>2512</v>
      </c>
      <c r="B11" s="1150"/>
      <c r="C11" s="1150"/>
      <c r="D11" s="1150"/>
      <c r="E11" s="1150"/>
      <c r="F11" s="1150"/>
      <c r="G11" s="1150"/>
      <c r="H11" s="1150"/>
      <c r="I11" s="1150"/>
      <c r="J11" s="1150"/>
      <c r="K11" s="1150"/>
      <c r="L11" s="1150"/>
      <c r="M11" s="1150"/>
      <c r="N11" s="1150"/>
      <c r="O11" s="1150"/>
      <c r="P11" s="1150"/>
      <c r="Q11" s="1150"/>
      <c r="R11" s="1150"/>
      <c r="S11" s="1150"/>
      <c r="T11" s="1150"/>
      <c r="U11" s="1150"/>
      <c r="V11" s="1150"/>
      <c r="W11" s="1150"/>
      <c r="X11" s="1150"/>
      <c r="Y11" s="1150"/>
      <c r="Z11" s="1150"/>
      <c r="AA11" s="1151"/>
    </row>
    <row r="12" spans="1:36" ht="9" customHeight="1" x14ac:dyDescent="0.35">
      <c r="A12" s="1152"/>
      <c r="B12" s="1153"/>
      <c r="C12" s="1153"/>
      <c r="D12" s="1153"/>
      <c r="E12" s="1153"/>
      <c r="F12" s="1153"/>
      <c r="G12" s="1153"/>
      <c r="H12" s="1153"/>
      <c r="I12" s="1153"/>
      <c r="J12" s="1153"/>
      <c r="K12" s="1153"/>
      <c r="L12" s="1153"/>
      <c r="M12" s="1153"/>
      <c r="N12" s="1153"/>
      <c r="O12" s="1153"/>
      <c r="P12" s="1153"/>
      <c r="Q12" s="1153"/>
      <c r="R12" s="1153"/>
      <c r="S12" s="1153"/>
      <c r="T12" s="1153"/>
      <c r="U12" s="1153"/>
      <c r="V12" s="1153"/>
      <c r="W12" s="1153"/>
      <c r="X12" s="1153"/>
      <c r="Y12" s="1153"/>
      <c r="Z12" s="1153"/>
      <c r="AA12" s="1154"/>
    </row>
    <row r="13" spans="1:36" ht="9" customHeight="1" x14ac:dyDescent="0.35">
      <c r="A13" s="1152"/>
      <c r="B13" s="1153"/>
      <c r="C13" s="1153"/>
      <c r="D13" s="1153"/>
      <c r="E13" s="1153"/>
      <c r="F13" s="1153"/>
      <c r="G13" s="1153"/>
      <c r="H13" s="1153"/>
      <c r="I13" s="1153"/>
      <c r="J13" s="1153"/>
      <c r="K13" s="1153"/>
      <c r="L13" s="1153"/>
      <c r="M13" s="1153"/>
      <c r="N13" s="1153"/>
      <c r="O13" s="1153"/>
      <c r="P13" s="1153"/>
      <c r="Q13" s="1153"/>
      <c r="R13" s="1153"/>
      <c r="S13" s="1153"/>
      <c r="T13" s="1153"/>
      <c r="U13" s="1153"/>
      <c r="V13" s="1153"/>
      <c r="W13" s="1153"/>
      <c r="X13" s="1153"/>
      <c r="Y13" s="1153"/>
      <c r="Z13" s="1153"/>
      <c r="AA13" s="1154"/>
    </row>
    <row r="14" spans="1:36" ht="9" customHeight="1" thickBot="1" x14ac:dyDescent="0.4">
      <c r="A14" s="1155"/>
      <c r="B14" s="1156"/>
      <c r="C14" s="1156"/>
      <c r="D14" s="1156"/>
      <c r="E14" s="1156"/>
      <c r="F14" s="1156"/>
      <c r="G14" s="1156"/>
      <c r="H14" s="1156"/>
      <c r="I14" s="1156"/>
      <c r="J14" s="1156"/>
      <c r="K14" s="1156"/>
      <c r="L14" s="1156"/>
      <c r="M14" s="1156"/>
      <c r="N14" s="1156"/>
      <c r="O14" s="1156"/>
      <c r="P14" s="1156"/>
      <c r="Q14" s="1156"/>
      <c r="R14" s="1156"/>
      <c r="S14" s="1156"/>
      <c r="T14" s="1156"/>
      <c r="U14" s="1156"/>
      <c r="V14" s="1156"/>
      <c r="W14" s="1156"/>
      <c r="X14" s="1156"/>
      <c r="Y14" s="1156"/>
      <c r="Z14" s="1156"/>
      <c r="AA14" s="1157"/>
    </row>
    <row r="15" spans="1:36" ht="10.5" customHeight="1" x14ac:dyDescent="0.35">
      <c r="A15" s="1211" t="s">
        <v>17</v>
      </c>
      <c r="B15" s="1212"/>
      <c r="C15" s="1212"/>
      <c r="D15" s="1212"/>
      <c r="E15" s="1212"/>
      <c r="F15" s="1212"/>
      <c r="G15" s="1212"/>
      <c r="H15" s="1212"/>
      <c r="I15" s="1212"/>
      <c r="J15" s="1212"/>
      <c r="K15" s="1212"/>
      <c r="L15" s="1212"/>
      <c r="M15" s="1212"/>
      <c r="N15" s="1212"/>
      <c r="O15" s="1212"/>
      <c r="P15" s="1212"/>
      <c r="Q15" s="1212"/>
      <c r="R15" s="1212"/>
      <c r="S15" s="1212"/>
      <c r="T15" s="1212"/>
      <c r="U15" s="1212"/>
      <c r="V15" s="1212"/>
      <c r="W15" s="1212"/>
      <c r="X15" s="1212"/>
      <c r="Y15" s="1212"/>
      <c r="Z15" s="1212"/>
      <c r="AA15" s="1213"/>
    </row>
    <row r="16" spans="1:36" ht="10.5" customHeight="1" thickBot="1" x14ac:dyDescent="0.4">
      <c r="A16" s="484"/>
      <c r="B16" s="401"/>
      <c r="C16" s="396" t="str">
        <f>IF(Data!BR42&lt;&gt;"",Data!BR42,"")</f>
        <v>1a</v>
      </c>
      <c r="D16" s="396" t="str">
        <f>IF(Data!BS42&lt;&gt;"",Data!BS42,"")</f>
        <v>2a</v>
      </c>
      <c r="E16" s="396" t="str">
        <f>IF(Data!BT42&lt;&gt;"",Data!BT42,"")</f>
        <v>3a</v>
      </c>
      <c r="F16" s="396" t="str">
        <f>IF(Data!BU42&lt;&gt;"",Data!BU42,"")</f>
        <v>4a</v>
      </c>
      <c r="G16" s="396" t="str">
        <f>IF(Data!BV42&lt;&gt;"",Data!BV42,"")</f>
        <v>5a</v>
      </c>
      <c r="H16" s="396" t="str">
        <f>IF(Data!BW42&lt;&gt;"",Data!BW42,"")</f>
        <v>6a</v>
      </c>
      <c r="I16" s="396" t="str">
        <f>IF(Data!BX42&lt;&gt;"",Data!BX42,"")</f>
        <v>7a</v>
      </c>
      <c r="J16" s="396" t="str">
        <f>IF(Data!BY42&lt;&gt;"",Data!BY42,"")</f>
        <v>8a</v>
      </c>
      <c r="K16" s="396" t="str">
        <f>IF(Data!BZ42&lt;&gt;"",Data!BZ42,"")</f>
        <v>0a</v>
      </c>
      <c r="L16" s="396" t="str">
        <f>IF(Data!CA42&lt;&gt;"",Data!CA42,"")</f>
        <v>1b</v>
      </c>
      <c r="M16" s="396" t="str">
        <f>IF(Data!CB42&lt;&gt;"",Data!CB42,"")</f>
        <v>2b</v>
      </c>
      <c r="N16" s="396" t="str">
        <f>IF(Data!CC42&lt;&gt;"",Data!CC42,"")</f>
        <v>3b</v>
      </c>
      <c r="O16" s="396" t="str">
        <f>IF(Data!CD42&lt;&gt;"",Data!CD42,"")</f>
        <v>4b</v>
      </c>
      <c r="P16" s="396" t="str">
        <f>IF(Data!CE42&lt;&gt;"",Data!CE42,"")</f>
        <v>0a</v>
      </c>
      <c r="Q16" s="396" t="str">
        <f>IF(Data!CF42&lt;&gt;"",Data!CF42,"")</f>
        <v>0a</v>
      </c>
      <c r="R16" s="396" t="str">
        <f>IF(Data!CG42&lt;&gt;"",Data!CG42,"")</f>
        <v>0a</v>
      </c>
      <c r="S16" s="396" t="str">
        <f>IF(Data!CH42&lt;&gt;"",Data!CH42,"")</f>
        <v>0a</v>
      </c>
      <c r="T16" s="396" t="str">
        <f>IF(Data!CI42&lt;&gt;"",Data!CI42,"")</f>
        <v>0a</v>
      </c>
      <c r="U16" s="396" t="str">
        <f>IF(Data!CJ42&lt;&gt;"",Data!CJ42,"")</f>
        <v>0a</v>
      </c>
      <c r="V16" s="396" t="str">
        <f>IF(Data!CK42&lt;&gt;"",Data!CK42,"")</f>
        <v>0a</v>
      </c>
      <c r="W16" s="396" t="str">
        <f>IF(Data!CL42&lt;&gt;"",Data!CL42,"")</f>
        <v>0a</v>
      </c>
      <c r="X16" s="396" t="str">
        <f>IF(Data!CM42&lt;&gt;"",Data!CM42,"")</f>
        <v>0a</v>
      </c>
      <c r="Y16" s="396" t="str">
        <f>IF(Data!CN42&lt;&gt;"",Data!CN42,"")</f>
        <v>0a</v>
      </c>
      <c r="Z16" s="396" t="str">
        <f>IF(Data!CO42&lt;&gt;"",Data!CO42,"")</f>
        <v>0a</v>
      </c>
      <c r="AA16" s="481" t="str">
        <f>IF(Data!CP42&lt;&gt;"",Data!CP42,"")</f>
        <v>0a</v>
      </c>
    </row>
    <row r="17" spans="1:27" ht="18.75" customHeight="1" x14ac:dyDescent="0.35">
      <c r="A17" s="1206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>S1</v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>S1</v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>S1</v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>S1</v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>S1</v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>X1</v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>R1</v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>X3</v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/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>S2</v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>S2</v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>X2</v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>X2</v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/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/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/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/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/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/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/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/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/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/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/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35">
      <c r="A18" s="1207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>S1</v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>S1</v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>X1</v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>R1</v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>X3</v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/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/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/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/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>S2</v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>S2</v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>S2</v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>R2</v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/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/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/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/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/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/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/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/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/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/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/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35">
      <c r="A19" s="1207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>S1</v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>S1</v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>S1</v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>S1</v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>X1</v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>R1</v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>X3</v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/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/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>S2</v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>S2</v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>R2</v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/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/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/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/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/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/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/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/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/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/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/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35">
      <c r="A20" s="1207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>S1</v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>S1</v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>X1</v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>R1</v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>X1</v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>X3</v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/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/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/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>S2</v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>S2</v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>S2</v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>R2</v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/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/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/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/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/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/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/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/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/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/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/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35">
      <c r="A21" s="1207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>S1</v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>S1</v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>S1</v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>S1</v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>S1</v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>X1</v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>R1</v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>X3</v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/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>S2</v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>S2</v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>X2</v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>R2</v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/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/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/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/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/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/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/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/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/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/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/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35">
      <c r="A22" s="1207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>S1</v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>X1</v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>S1</v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>X1</v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>X3</v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/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/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/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/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>S2</v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>S2</v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>S2</v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>R2</v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/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/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/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/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/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/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/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/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/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/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/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35">
      <c r="A23" s="1207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/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/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/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/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/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/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/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/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/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/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/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/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/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/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/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/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/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35">
      <c r="A24" s="1207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/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/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/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/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/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/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/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/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/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/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/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/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/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/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/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/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/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35">
      <c r="A25" s="1207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35">
      <c r="A26" s="1207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35">
      <c r="A27" s="1207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4">
      <c r="A28" s="1208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3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8" customFormat="1" ht="16.5" customHeight="1" x14ac:dyDescent="0.3">
      <c r="A30" s="1129" t="s">
        <v>34</v>
      </c>
      <c r="B30" s="1130"/>
      <c r="C30" s="1130"/>
      <c r="D30" s="1130"/>
      <c r="E30" s="1130"/>
      <c r="F30" s="1188" t="str">
        <f>IF(Data!L32=1,IF(Data!B11&lt;&gt;"",Data!B11,""),"")</f>
        <v>Ali Alhammad</v>
      </c>
      <c r="G30" s="1188"/>
      <c r="H30" s="1188"/>
      <c r="I30" s="1188"/>
      <c r="J30" s="1130" t="s">
        <v>35</v>
      </c>
      <c r="K30" s="1130"/>
      <c r="L30" s="1130"/>
      <c r="M30" s="1187" t="str">
        <f>IF(Data!L32=1,IF(Data!B12&lt;&gt;"",Data!B12,""),"")</f>
        <v>Habeeb Radi</v>
      </c>
      <c r="N30" s="1187"/>
      <c r="O30" s="1187"/>
      <c r="P30" s="1187"/>
      <c r="Q30" s="1130" t="s">
        <v>36</v>
      </c>
      <c r="R30" s="1130"/>
      <c r="S30" s="1187">
        <f>IF(Data!L32=1,IF(Data!B13&lt;&gt;"",Data!B13,""),"")</f>
        <v>46029</v>
      </c>
      <c r="T30" s="1187"/>
      <c r="U30" s="1187"/>
      <c r="V30" s="1187"/>
      <c r="W30" s="1184" t="s">
        <v>37</v>
      </c>
      <c r="X30" s="1184"/>
      <c r="Y30" s="1205"/>
      <c r="Z30" s="1106" t="str">
        <f>IF(Data!G32&lt;&gt;"","",IF(Data!G32=1,"",IF(Data!L32=1,IF(Data!B5&lt;&gt;"",IF(OR(Z32="√",Z34="√"),"","√"),""),"")))</f>
        <v>√</v>
      </c>
      <c r="AA30" s="1117"/>
    </row>
    <row r="31" spans="1:27" ht="3.75" customHeight="1" x14ac:dyDescent="0.35">
      <c r="A31" s="1138"/>
      <c r="B31" s="1139"/>
      <c r="C31" s="1139"/>
      <c r="D31" s="1139"/>
      <c r="E31" s="1139"/>
      <c r="F31" s="1139"/>
      <c r="G31" s="1139"/>
      <c r="H31" s="1139"/>
      <c r="I31" s="1139"/>
      <c r="J31" s="1139"/>
      <c r="K31" s="1139"/>
      <c r="L31" s="1139"/>
      <c r="M31" s="1139"/>
      <c r="N31" s="1139"/>
      <c r="O31" s="1139"/>
      <c r="P31" s="1139"/>
      <c r="Q31" s="1139"/>
      <c r="R31" s="1139"/>
      <c r="S31" s="1139"/>
      <c r="T31" s="1139"/>
      <c r="U31" s="1139"/>
      <c r="V31" s="1139"/>
      <c r="W31" s="1139"/>
      <c r="X31" s="1139"/>
      <c r="Y31" s="1139"/>
      <c r="Z31" s="1139"/>
      <c r="AA31" s="1140"/>
    </row>
    <row r="32" spans="1:27" s="1118" customFormat="1" ht="16.5" customHeight="1" x14ac:dyDescent="0.3">
      <c r="A32" s="1148" t="s">
        <v>20</v>
      </c>
      <c r="B32" s="1128"/>
      <c r="C32" s="1128"/>
      <c r="D32" s="1128" t="s">
        <v>968</v>
      </c>
      <c r="E32" s="1128"/>
      <c r="F32" s="1128"/>
      <c r="G32" s="1128" t="s">
        <v>969</v>
      </c>
      <c r="H32" s="1128"/>
      <c r="I32" s="1128"/>
      <c r="J32" s="1128" t="s">
        <v>970</v>
      </c>
      <c r="K32" s="1128"/>
      <c r="L32" s="1128"/>
      <c r="M32" s="1128" t="s">
        <v>971</v>
      </c>
      <c r="N32" s="1128"/>
      <c r="O32" s="1128"/>
      <c r="P32" s="1128" t="s">
        <v>972</v>
      </c>
      <c r="Q32" s="1128"/>
      <c r="R32" s="1128"/>
      <c r="S32" s="1128" t="s">
        <v>21</v>
      </c>
      <c r="T32" s="1128"/>
      <c r="U32" s="1128"/>
      <c r="W32" s="1184" t="s">
        <v>734</v>
      </c>
      <c r="X32" s="1184"/>
      <c r="Y32" s="1205"/>
      <c r="Z32" s="1106" t="str">
        <f>IF(Data!L32=1,IF(OR(Data!L2=1,Data!L3=1),"√",""),"")</f>
        <v/>
      </c>
      <c r="AA32" s="1117"/>
    </row>
    <row r="33" spans="1:66" ht="3.75" customHeight="1" x14ac:dyDescent="0.35">
      <c r="A33" s="1148"/>
      <c r="B33" s="1128"/>
      <c r="C33" s="1128"/>
      <c r="D33" s="1128"/>
      <c r="E33" s="1128"/>
      <c r="F33" s="1128"/>
      <c r="G33" s="1128"/>
      <c r="H33" s="1128"/>
      <c r="I33" s="1128"/>
      <c r="J33" s="1128"/>
      <c r="K33" s="1128"/>
      <c r="L33" s="1128"/>
      <c r="M33" s="1128"/>
      <c r="N33" s="1128"/>
      <c r="O33" s="1128"/>
      <c r="P33" s="1128"/>
      <c r="Q33" s="1128"/>
      <c r="R33" s="1128"/>
      <c r="S33" s="1128"/>
      <c r="T33" s="1128"/>
      <c r="U33" s="1128"/>
      <c r="V33" s="396"/>
      <c r="W33" s="396"/>
      <c r="X33" s="396"/>
      <c r="Y33" s="396"/>
      <c r="Z33" s="396"/>
      <c r="AA33" s="481"/>
    </row>
    <row r="34" spans="1:66" s="1118" customFormat="1" ht="16.5" customHeight="1" x14ac:dyDescent="0.3">
      <c r="A34" s="1194">
        <f>IF(Data!L32=1,IF('Eng. Cutter Entry'!C4&lt;&gt;"",'ARDT Cutter Entry'!BI62,'ARDT Cutter Entry'!BI6),"")</f>
        <v>10</v>
      </c>
      <c r="B34" s="1195"/>
      <c r="C34" s="1195"/>
      <c r="D34" s="1169">
        <f>IF(Data!L32=1,IF('Eng. Cutter Entry'!C4&lt;&gt;"",'ARDT Cutter Entry'!BI63,'ARDT Cutter Entry'!BI7),"")</f>
        <v>35</v>
      </c>
      <c r="E34" s="1169"/>
      <c r="F34" s="1169"/>
      <c r="G34" s="1169">
        <f>IF(Data!L32=1,IF('Eng. Cutter Entry'!C4&lt;&gt;"",'ARDT Cutter Entry'!BI65,'ARDT Cutter Entry'!BI9),"")</f>
        <v>0</v>
      </c>
      <c r="H34" s="1169"/>
      <c r="I34" s="1169"/>
      <c r="J34" s="1169">
        <f>IF(Data!L32=1,IF('Eng. Cutter Entry'!C4&lt;&gt;"",'ARDT Cutter Entry'!BI64,'ARDT Cutter Entry'!BI8),"")</f>
        <v>0</v>
      </c>
      <c r="K34" s="1169"/>
      <c r="L34" s="1169"/>
      <c r="M34" s="1169">
        <f>IF(Data!L32=1,IF('Eng. Cutter Entry'!C4&lt;&gt;"",'ARDT Cutter Entry'!BI58+'ARDT Cutter Entry'!BI59,'ARDT Cutter Entry'!BI2+'ARDT Cutter Entry'!BI3),"")</f>
        <v>17</v>
      </c>
      <c r="N34" s="1169"/>
      <c r="O34" s="1169"/>
      <c r="P34" s="1169">
        <f>IF(Data!L32=1,IF('Eng. Cutter Entry'!C4&lt;&gt;"",'ARDT Cutter Entry'!BI60+'ARDT Cutter Entry'!BI61,'ARDT Cutter Entry'!BI4+'ARDT Cutter Entry'!BI5),"")</f>
        <v>0</v>
      </c>
      <c r="Q34" s="1169"/>
      <c r="R34" s="1169"/>
      <c r="S34" s="1169">
        <f>IF(Data!BO63&lt;&gt;"",Data!BO63," ")</f>
        <v>62</v>
      </c>
      <c r="T34" s="1169"/>
      <c r="U34" s="1169"/>
      <c r="V34" s="1119"/>
      <c r="W34" s="1184" t="s">
        <v>38</v>
      </c>
      <c r="X34" s="1184"/>
      <c r="Y34" s="1205"/>
      <c r="Z34" s="1106" t="str">
        <f>IF(Instructions!U58&lt;&gt;"","√",IF(Data!L32=1,IF(OR(Data!L4=1,Data!L5=1),"√",""),""))</f>
        <v/>
      </c>
      <c r="AA34" s="1117"/>
    </row>
    <row r="35" spans="1:66" ht="3.75" customHeight="1" thickBot="1" x14ac:dyDescent="0.4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4">
      <c r="A36" s="1196" t="s">
        <v>19</v>
      </c>
      <c r="B36" s="1197"/>
      <c r="C36" s="1198"/>
      <c r="D36" s="1189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>Shank need machining, Breaker slot needs cleaning. Build up the following: pockets B1P6, B1P11, B3P7 and B4P6.</v>
      </c>
      <c r="E36" s="1189"/>
      <c r="F36" s="1189"/>
      <c r="G36" s="1189"/>
      <c r="H36" s="1189"/>
      <c r="I36" s="1189"/>
      <c r="J36" s="1189"/>
      <c r="K36" s="1189"/>
      <c r="L36" s="1189"/>
      <c r="M36" s="1189"/>
      <c r="N36" s="1189"/>
      <c r="O36" s="1189"/>
      <c r="P36" s="1189"/>
      <c r="Q36" s="1189"/>
      <c r="R36" s="1189"/>
      <c r="S36" s="1189"/>
      <c r="T36" s="1189"/>
      <c r="U36" s="1189"/>
      <c r="V36" s="1189"/>
      <c r="W36" s="1189"/>
      <c r="X36" s="1189"/>
      <c r="Y36" s="1189"/>
      <c r="Z36" s="1189"/>
      <c r="AA36" s="1190"/>
    </row>
    <row r="37" spans="1:66" ht="15" customHeight="1" x14ac:dyDescent="0.35">
      <c r="A37" s="1199" t="str">
        <f>IF(Instructions!$L$1&lt;&gt;"",Instructions!$L$1,"")</f>
        <v/>
      </c>
      <c r="B37" s="1200"/>
      <c r="C37" s="1201"/>
      <c r="D37" s="1166"/>
      <c r="E37" s="1166"/>
      <c r="F37" s="1166"/>
      <c r="G37" s="1166"/>
      <c r="H37" s="1166"/>
      <c r="I37" s="1166"/>
      <c r="J37" s="1166"/>
      <c r="K37" s="1166"/>
      <c r="L37" s="1166"/>
      <c r="M37" s="1166"/>
      <c r="N37" s="1166"/>
      <c r="O37" s="1166"/>
      <c r="P37" s="1166"/>
      <c r="Q37" s="1166"/>
      <c r="R37" s="1166"/>
      <c r="S37" s="1166"/>
      <c r="T37" s="1166"/>
      <c r="U37" s="1166"/>
      <c r="V37" s="1166"/>
      <c r="W37" s="1166"/>
      <c r="X37" s="1166"/>
      <c r="Y37" s="1166"/>
      <c r="Z37" s="1166"/>
      <c r="AA37" s="1191"/>
    </row>
    <row r="38" spans="1:66" ht="15" customHeight="1" thickBot="1" x14ac:dyDescent="0.4">
      <c r="A38" s="1202"/>
      <c r="B38" s="1203"/>
      <c r="C38" s="1204"/>
      <c r="D38" s="1192"/>
      <c r="E38" s="1192"/>
      <c r="F38" s="1192"/>
      <c r="G38" s="1192"/>
      <c r="H38" s="1192"/>
      <c r="I38" s="1192"/>
      <c r="J38" s="1192"/>
      <c r="K38" s="1192"/>
      <c r="L38" s="1192"/>
      <c r="M38" s="1192"/>
      <c r="N38" s="1192"/>
      <c r="O38" s="1192"/>
      <c r="P38" s="1192"/>
      <c r="Q38" s="1192"/>
      <c r="R38" s="1192"/>
      <c r="S38" s="1192"/>
      <c r="T38" s="1192"/>
      <c r="U38" s="1192"/>
      <c r="V38" s="1192"/>
      <c r="W38" s="1192"/>
      <c r="X38" s="1192"/>
      <c r="Y38" s="1192"/>
      <c r="Z38" s="1192"/>
      <c r="AA38" s="1193"/>
    </row>
    <row r="39" spans="1:66" s="5" customFormat="1" ht="17.25" customHeight="1" x14ac:dyDescent="0.35">
      <c r="A39" s="1183" t="s">
        <v>1119</v>
      </c>
      <c r="B39" s="1184"/>
      <c r="C39" s="1184"/>
      <c r="D39" s="1185"/>
      <c r="E39" s="1185"/>
      <c r="F39" s="1185"/>
      <c r="G39" s="1185"/>
      <c r="H39" s="1185"/>
      <c r="I39" s="1185"/>
      <c r="J39" s="1186" t="str">
        <f>IF(Data!L32=1,IF(Data!B14&lt;&gt;"",Data!B14,"")&amp;"  "&amp;IF(Data!B14&lt;&gt;"N/A",IF(Data!B15&lt;&gt;"",TEXT(Data!B15,"MM/DD/YYYY"),""),""),"")</f>
        <v xml:space="preserve">  </v>
      </c>
      <c r="K39" s="1186"/>
      <c r="L39" s="1186"/>
      <c r="M39" s="1186"/>
      <c r="N39" s="1186"/>
      <c r="O39" s="1186"/>
      <c r="P39" s="1185" t="s">
        <v>1059</v>
      </c>
      <c r="Q39" s="1185"/>
      <c r="R39" s="1185"/>
      <c r="S39" s="1185"/>
      <c r="T39" s="1185"/>
      <c r="U39" s="1185"/>
      <c r="V39" s="1167"/>
      <c r="W39" s="1167"/>
      <c r="X39" s="1167"/>
      <c r="Y39" s="1167"/>
      <c r="Z39" s="1167"/>
      <c r="AA39" s="1168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4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4">
      <c r="A41" s="1141" t="s">
        <v>39</v>
      </c>
      <c r="B41" s="1142"/>
      <c r="C41" s="1142"/>
      <c r="D41" s="1142"/>
      <c r="E41" s="1142"/>
      <c r="F41" s="1142"/>
      <c r="G41" s="1142"/>
      <c r="H41" s="1142"/>
      <c r="I41" s="1142"/>
      <c r="J41" s="1142"/>
      <c r="K41" s="1142"/>
      <c r="L41" s="1142"/>
      <c r="M41" s="1142"/>
      <c r="N41" s="1142"/>
      <c r="O41" s="1142"/>
      <c r="P41" s="1142"/>
      <c r="Q41" s="1142"/>
      <c r="R41" s="1142"/>
      <c r="S41" s="1142"/>
      <c r="T41" s="1142"/>
      <c r="U41" s="1142"/>
      <c r="V41" s="1142"/>
      <c r="W41" s="1142"/>
      <c r="X41" s="1142"/>
      <c r="Y41" s="1142"/>
      <c r="Z41" s="1142"/>
      <c r="AA41" s="1178"/>
    </row>
    <row r="42" spans="1:66" ht="10.5" customHeight="1" x14ac:dyDescent="0.35">
      <c r="A42" s="1176" t="s">
        <v>108</v>
      </c>
      <c r="B42" s="1174"/>
      <c r="C42" s="1174" t="s">
        <v>40</v>
      </c>
      <c r="D42" s="1174"/>
      <c r="E42" s="1174" t="s">
        <v>41</v>
      </c>
      <c r="F42" s="1174"/>
      <c r="G42" s="1174"/>
      <c r="H42" s="1174" t="s">
        <v>730</v>
      </c>
      <c r="I42" s="1174"/>
      <c r="J42" s="1174"/>
      <c r="K42" s="1174" t="s">
        <v>43</v>
      </c>
      <c r="L42" s="1174"/>
      <c r="M42" s="1174"/>
      <c r="N42" s="1174"/>
      <c r="O42" s="1174"/>
      <c r="P42" s="1174"/>
      <c r="Q42" s="1174"/>
      <c r="R42" s="1179" t="s">
        <v>44</v>
      </c>
      <c r="S42" s="1179"/>
      <c r="T42" s="1179"/>
      <c r="U42" s="1179"/>
      <c r="V42" s="1179"/>
      <c r="W42" s="1179"/>
      <c r="X42" s="1179"/>
      <c r="Y42" s="1179"/>
      <c r="Z42" s="1179"/>
      <c r="AA42" s="1180"/>
      <c r="AJ42" t="s">
        <v>2488</v>
      </c>
    </row>
    <row r="43" spans="1:66" ht="12" customHeight="1" x14ac:dyDescent="0.35">
      <c r="A43" s="1177"/>
      <c r="B43" s="1175"/>
      <c r="C43" s="1175"/>
      <c r="D43" s="1175"/>
      <c r="E43" s="1175"/>
      <c r="F43" s="1175"/>
      <c r="G43" s="1175"/>
      <c r="H43" s="1175"/>
      <c r="I43" s="1175"/>
      <c r="J43" s="1175"/>
      <c r="K43" s="1175"/>
      <c r="L43" s="1175"/>
      <c r="M43" s="1175"/>
      <c r="N43" s="1175"/>
      <c r="O43" s="1175"/>
      <c r="P43" s="1175"/>
      <c r="Q43" s="1175"/>
      <c r="R43" s="1181"/>
      <c r="S43" s="1181"/>
      <c r="T43" s="1181"/>
      <c r="U43" s="1181"/>
      <c r="V43" s="1181"/>
      <c r="W43" s="1181"/>
      <c r="X43" s="1181"/>
      <c r="Y43" s="1181"/>
      <c r="Z43" s="1181"/>
      <c r="AA43" s="1182"/>
    </row>
    <row r="44" spans="1:66" ht="15" customHeight="1" x14ac:dyDescent="0.35">
      <c r="A44" s="1133">
        <f>IF(TRIM(H44)="","",IF(Data!CX60&gt;0,IF(Data!CX60&lt;&gt;"", Data!CX60, " ")," "))</f>
        <v>1</v>
      </c>
      <c r="B44" s="1126"/>
      <c r="C44" s="1126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8</v>
      </c>
      <c r="D44" s="1126"/>
      <c r="E44" s="1126">
        <f>IF(Data!GK2&gt;0,IF(Data!GK2&lt;&gt;"",Data!GK2," ")," ")</f>
        <v>1613</v>
      </c>
      <c r="F44" s="1126"/>
      <c r="G44" s="1126"/>
      <c r="H44" s="1126">
        <f>IF(Data!GG2&gt;0,IF(Data!GG2&lt;&gt;"",IF(Data!GG2&lt;&gt;"Add the cutter in list",Data!GG2,""),""),"")</f>
        <v>1130198</v>
      </c>
      <c r="I44" s="1126"/>
      <c r="J44" s="1126"/>
      <c r="K44" s="1126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4" s="1126"/>
      <c r="M44" s="1126"/>
      <c r="N44" s="1126"/>
      <c r="O44" s="1126"/>
      <c r="P44" s="1126"/>
      <c r="Q44" s="1126"/>
      <c r="R44" s="1126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>[RTRO 8]</v>
      </c>
      <c r="S44" s="1126"/>
      <c r="T44" s="1126"/>
      <c r="U44" s="1126"/>
      <c r="V44" s="1126"/>
      <c r="W44" s="1126"/>
      <c r="X44" s="1126"/>
      <c r="Y44" s="1126"/>
      <c r="Z44" s="1126"/>
      <c r="AA44" s="1127"/>
      <c r="AE44" t="str">
        <f>"["&amp;C44&amp;" ENO]"</f>
        <v>[8 ENO]</v>
      </c>
      <c r="AF44" t="str">
        <f>"[9 ENO]"</f>
        <v>[9 ENO]</v>
      </c>
      <c r="AG44" t="str">
        <f>"[33 New]"</f>
        <v>[33 New]</v>
      </c>
    </row>
    <row r="45" spans="1:66" ht="15" customHeight="1" x14ac:dyDescent="0.35">
      <c r="A45" s="1133">
        <f>IF(TRIM(H45)="","",IF(Data!CX61&gt;0,IF(Data!CX61&lt;&gt;"",Data!CX61," ")," "))</f>
        <v>2</v>
      </c>
      <c r="B45" s="1126"/>
      <c r="C45" s="1126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3</v>
      </c>
      <c r="D45" s="1126"/>
      <c r="E45" s="1126">
        <f>IF(Data!GK3&gt;0,IF(Data!GK3&lt;&gt;"",Data!GK3," ")," ")</f>
        <v>1608</v>
      </c>
      <c r="F45" s="1126"/>
      <c r="G45" s="1126"/>
      <c r="H45" s="1126">
        <f>IF(Data!GG3&gt;0,IF(Data!GG3&lt;&gt;"",IF(Data!GG3&lt;&gt;"Add the cutter in list",Data!GG3,""),""),"")</f>
        <v>647435</v>
      </c>
      <c r="I45" s="1126"/>
      <c r="J45" s="1126"/>
      <c r="K45" s="1126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5" s="1126"/>
      <c r="M45" s="1126"/>
      <c r="N45" s="1126"/>
      <c r="O45" s="1126"/>
      <c r="P45" s="1126"/>
      <c r="Q45" s="1126"/>
      <c r="R45" s="1126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>[ ENO 3]</v>
      </c>
      <c r="S45" s="1126"/>
      <c r="T45" s="1126"/>
      <c r="U45" s="1126"/>
      <c r="V45" s="1126"/>
      <c r="W45" s="1126"/>
      <c r="X45" s="1126"/>
      <c r="Y45" s="1126"/>
      <c r="Z45" s="1126"/>
      <c r="AA45" s="1127"/>
      <c r="AE45" t="str">
        <f t="shared" ref="AE45:AE60" si="0">"["&amp;C45&amp;" ENO]"</f>
        <v>[3 ENO]</v>
      </c>
    </row>
    <row r="46" spans="1:66" ht="15" customHeight="1" x14ac:dyDescent="0.35">
      <c r="A46" s="1133">
        <f>IF(TRIM(H46)="","",IF(Data!CX62&gt;0,IF(Data!CX62&lt;&gt;"",Data!CX62," ")," "))</f>
        <v>3</v>
      </c>
      <c r="B46" s="1126"/>
      <c r="C46" s="1126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6</v>
      </c>
      <c r="D46" s="1126"/>
      <c r="E46" s="1126">
        <f>IF(Data!GK4&gt;0,IF(Data!GK4&lt;&gt;"",Data!GK4," ")," ")</f>
        <v>1308</v>
      </c>
      <c r="F46" s="1126"/>
      <c r="G46" s="1126"/>
      <c r="H46" s="1126">
        <f>IF(Data!GG4&gt;0,IF(Data!GG4&lt;&gt;"",IF(Data!GG4&lt;&gt;"Add the cutter in list",Data!GG4,""),""),"")</f>
        <v>418525</v>
      </c>
      <c r="I46" s="1126"/>
      <c r="J46" s="1126"/>
      <c r="K46" s="1126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6" s="1126"/>
      <c r="M46" s="1126"/>
      <c r="N46" s="1126"/>
      <c r="O46" s="1126"/>
      <c r="P46" s="1126"/>
      <c r="Q46" s="1126"/>
      <c r="R46" s="1126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 xml:space="preserve">  [6 New] </v>
      </c>
      <c r="S46" s="1126"/>
      <c r="T46" s="1126"/>
      <c r="U46" s="1126"/>
      <c r="V46" s="1126"/>
      <c r="W46" s="1126"/>
      <c r="X46" s="1126"/>
      <c r="Y46" s="1126"/>
      <c r="Z46" s="1126"/>
      <c r="AA46" s="1127"/>
      <c r="AE46" t="str">
        <f t="shared" si="0"/>
        <v>[6 ENO]</v>
      </c>
      <c r="AG46" t="s">
        <v>2056</v>
      </c>
      <c r="AH46" t="s">
        <v>2055</v>
      </c>
    </row>
    <row r="47" spans="1:66" ht="15" customHeight="1" x14ac:dyDescent="0.35">
      <c r="A47" s="1133" t="str">
        <f>IF(TRIM(H47)="","",IF(Data!CX63&gt;0,IF(Data!CX63&lt;&gt;"",Data!CX63," ")," "))</f>
        <v/>
      </c>
      <c r="B47" s="1126"/>
      <c r="C47" s="1126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0</v>
      </c>
      <c r="D47" s="1126"/>
      <c r="E47" s="1126" t="str">
        <f>IF(Data!GK5&gt;0,IF(Data!GK5&lt;&gt;"",Data!GK5," ")," ")</f>
        <v xml:space="preserve"> </v>
      </c>
      <c r="F47" s="1126"/>
      <c r="G47" s="1126"/>
      <c r="H47" s="1126" t="str">
        <f>IF(Data!GG5&gt;0,IF(Data!GG5&lt;&gt;"",IF(Data!GG5&lt;&gt;"Add the cutter in list",Data!GG5,""),""),"")</f>
        <v/>
      </c>
      <c r="I47" s="1126"/>
      <c r="J47" s="1126"/>
      <c r="K47" s="1126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47" s="1126"/>
      <c r="M47" s="1126"/>
      <c r="N47" s="1126"/>
      <c r="O47" s="1126"/>
      <c r="P47" s="1126"/>
      <c r="Q47" s="1126"/>
      <c r="R47" s="1126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/>
      </c>
      <c r="S47" s="1126"/>
      <c r="T47" s="1126"/>
      <c r="U47" s="1126"/>
      <c r="V47" s="1126"/>
      <c r="W47" s="1126"/>
      <c r="X47" s="1126"/>
      <c r="Y47" s="1126"/>
      <c r="Z47" s="1126"/>
      <c r="AA47" s="1127"/>
      <c r="AE47" t="str">
        <f t="shared" si="0"/>
        <v>[0 ENO]</v>
      </c>
      <c r="AI47" t="str">
        <f>IF(H48=1228501, "[" &amp; INDEX(C:C, MATCH(1228502, H:H, 0)) &amp; " NEW]", "")</f>
        <v/>
      </c>
    </row>
    <row r="48" spans="1:66" ht="15" customHeight="1" x14ac:dyDescent="0.35">
      <c r="A48" s="1133" t="str">
        <f>IF(TRIM(H48)="","",IF(Data!CX64&gt;0,IF(Data!CX64&lt;&gt;"",Data!CX64," ")," "))</f>
        <v/>
      </c>
      <c r="B48" s="1126"/>
      <c r="C48" s="1126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8" s="1126"/>
      <c r="E48" s="1126" t="str">
        <f>IF(Data!GK6&gt;0,IF(Data!GK6&lt;&gt;"",Data!GK6," ")," ")</f>
        <v xml:space="preserve"> </v>
      </c>
      <c r="F48" s="1126"/>
      <c r="G48" s="1126"/>
      <c r="H48" s="1126" t="str">
        <f>IF(Data!GG6&gt;0,IF(Data!GG6&lt;&gt;"",IF(Data!GG6&lt;&gt;"Add the cutter in list",Data!GG6,""),""),"")</f>
        <v/>
      </c>
      <c r="I48" s="1126"/>
      <c r="J48" s="1126"/>
      <c r="K48" s="1126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8" s="1126"/>
      <c r="M48" s="1126"/>
      <c r="N48" s="1126"/>
      <c r="O48" s="1126"/>
      <c r="P48" s="1126"/>
      <c r="Q48" s="1126"/>
      <c r="R48" s="1126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/>
      </c>
      <c r="S48" s="1126"/>
      <c r="T48" s="1126"/>
      <c r="U48" s="1126"/>
      <c r="V48" s="1126"/>
      <c r="W48" s="1126"/>
      <c r="X48" s="1126"/>
      <c r="Y48" s="1126"/>
      <c r="Z48" s="1126"/>
      <c r="AA48" s="1127"/>
      <c r="AE48" t="str">
        <f t="shared" si="0"/>
        <v>[0 ENO]</v>
      </c>
    </row>
    <row r="49" spans="1:33" ht="15" customHeight="1" x14ac:dyDescent="0.35">
      <c r="A49" s="1133" t="str">
        <f>IF(TRIM(H49)="","",IF(Data!CX65&gt;0,IF(Data!CX65&lt;&gt;"",Data!CX65," ")," "))</f>
        <v/>
      </c>
      <c r="B49" s="1126"/>
      <c r="C49" s="1126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9" s="1126"/>
      <c r="E49" s="1126" t="str">
        <f>IF(Data!GK7&gt;0,IF(Data!GK7&lt;&gt;"",Data!GK7," ")," ")</f>
        <v xml:space="preserve"> </v>
      </c>
      <c r="F49" s="1126"/>
      <c r="G49" s="1126"/>
      <c r="H49" s="1126" t="str">
        <f>IF(Data!GG7&gt;0,IF(Data!GG7&lt;&gt;"",IF(Data!GG7&lt;&gt;"Add the cutter in list",Data!GG7,""),""),"")</f>
        <v/>
      </c>
      <c r="I49" s="1126"/>
      <c r="J49" s="1126"/>
      <c r="K49" s="1126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126"/>
      <c r="M49" s="1126"/>
      <c r="N49" s="1126"/>
      <c r="O49" s="1126"/>
      <c r="P49" s="1126"/>
      <c r="Q49" s="1126"/>
      <c r="R49" s="1126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126"/>
      <c r="T49" s="1126"/>
      <c r="U49" s="1126"/>
      <c r="V49" s="1126"/>
      <c r="W49" s="1126"/>
      <c r="X49" s="1126"/>
      <c r="Y49" s="1126"/>
      <c r="Z49" s="1126"/>
      <c r="AA49" s="1127"/>
      <c r="AE49" t="str">
        <f t="shared" si="0"/>
        <v>[0 ENO]</v>
      </c>
    </row>
    <row r="50" spans="1:33" ht="15" customHeight="1" x14ac:dyDescent="0.35">
      <c r="A50" s="1133" t="str">
        <f>IF(TRIM(H50)="","",IF(Data!CX66&gt;0,IF(Data!CX66&lt;&gt;"",Data!CX66," ")," "))</f>
        <v/>
      </c>
      <c r="B50" s="1126"/>
      <c r="C50" s="1126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50" s="1126"/>
      <c r="E50" s="1126" t="str">
        <f>IF(Data!GK8&gt;0,IF(Data!GK8&lt;&gt;"",Data!GK8," ")," ")</f>
        <v xml:space="preserve"> </v>
      </c>
      <c r="F50" s="1126"/>
      <c r="G50" s="1126"/>
      <c r="H50" s="1126" t="str">
        <f>IF(Data!GG8&gt;0,IF(Data!GG8&lt;&gt;"",IF(Data!GG8&lt;&gt;"Add the cutter in list",Data!GG8,""),""),"")</f>
        <v/>
      </c>
      <c r="I50" s="1126"/>
      <c r="J50" s="1126"/>
      <c r="K50" s="1126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126"/>
      <c r="M50" s="1126"/>
      <c r="N50" s="1126"/>
      <c r="O50" s="1126"/>
      <c r="P50" s="1126"/>
      <c r="Q50" s="1126"/>
      <c r="R50" s="1126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126"/>
      <c r="T50" s="1126"/>
      <c r="U50" s="1126"/>
      <c r="V50" s="1126"/>
      <c r="W50" s="1126"/>
      <c r="X50" s="1126"/>
      <c r="Y50" s="1126"/>
      <c r="Z50" s="1126"/>
      <c r="AA50" s="1127"/>
      <c r="AE50" t="str">
        <f t="shared" si="0"/>
        <v>[0 ENO]</v>
      </c>
      <c r="AG50" t="s">
        <v>2489</v>
      </c>
    </row>
    <row r="51" spans="1:33" ht="15" customHeight="1" x14ac:dyDescent="0.35">
      <c r="A51" s="1133" t="str">
        <f>IF(TRIM(H51)="","",IF(Data!CX67&gt;0,IF(Data!CX67&lt;&gt;"",Data!CX67," ")," "))</f>
        <v/>
      </c>
      <c r="B51" s="1126"/>
      <c r="C51" s="1126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>0</v>
      </c>
      <c r="D51" s="1126"/>
      <c r="E51" s="1126" t="str">
        <f>IF(Data!GK9&gt;0,IF(Data!GK9&lt;&gt;"",Data!GK9," ")," ")</f>
        <v xml:space="preserve"> </v>
      </c>
      <c r="F51" s="1126"/>
      <c r="G51" s="1126"/>
      <c r="H51" s="1126" t="str">
        <f>IF(Data!GG9&gt;0,IF(Data!GG9&lt;&gt;"",IF(Data!GG9&lt;&gt;"Add the cutter in list",Data!GG9,""),""),"")</f>
        <v/>
      </c>
      <c r="I51" s="1126"/>
      <c r="J51" s="1126"/>
      <c r="K51" s="1126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126"/>
      <c r="M51" s="1126"/>
      <c r="N51" s="1126"/>
      <c r="O51" s="1126"/>
      <c r="P51" s="1126"/>
      <c r="Q51" s="1126"/>
      <c r="R51" s="1126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126"/>
      <c r="T51" s="1126"/>
      <c r="U51" s="1126"/>
      <c r="V51" s="1126"/>
      <c r="W51" s="1126"/>
      <c r="X51" s="1126"/>
      <c r="Y51" s="1126"/>
      <c r="Z51" s="1126"/>
      <c r="AA51" s="1127"/>
      <c r="AE51" t="str">
        <f t="shared" ref="AE51:AE56" si="1">"["&amp;C51&amp;" ENO]"</f>
        <v>[0 ENO]</v>
      </c>
      <c r="AG51" t="s">
        <v>2514</v>
      </c>
    </row>
    <row r="52" spans="1:33" ht="15" customHeight="1" x14ac:dyDescent="0.35">
      <c r="A52" s="1133" t="str">
        <f>IF(TRIM(H52)="","",IF(Data!CX68&gt;0,IF(Data!CX68&lt;&gt;"",Data!CX68," ")," "))</f>
        <v/>
      </c>
      <c r="B52" s="1126"/>
      <c r="C52" s="1126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>0</v>
      </c>
      <c r="D52" s="1126"/>
      <c r="E52" s="1126" t="str">
        <f>IF(Data!GK10&gt;0,IF(Data!GK10&lt;&gt;"",Data!GK10," ")," ")</f>
        <v xml:space="preserve"> </v>
      </c>
      <c r="F52" s="1126"/>
      <c r="G52" s="1126"/>
      <c r="H52" s="1126" t="str">
        <f>IF(Data!GG10&gt;0,IF(Data!GG10&lt;&gt;"",IF(Data!GG10&lt;&gt;"Add the cutter in list",Data!GG10,""),""),"")</f>
        <v/>
      </c>
      <c r="I52" s="1126"/>
      <c r="J52" s="1126"/>
      <c r="K52" s="1126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126"/>
      <c r="M52" s="1126"/>
      <c r="N52" s="1126"/>
      <c r="O52" s="1126"/>
      <c r="P52" s="1126"/>
      <c r="Q52" s="1126"/>
      <c r="R52" s="1126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126"/>
      <c r="T52" s="1126"/>
      <c r="U52" s="1126"/>
      <c r="V52" s="1126"/>
      <c r="W52" s="1126"/>
      <c r="X52" s="1126"/>
      <c r="Y52" s="1126"/>
      <c r="Z52" s="1126"/>
      <c r="AA52" s="1127"/>
      <c r="AE52" t="str">
        <f t="shared" si="1"/>
        <v>[0 ENO]</v>
      </c>
    </row>
    <row r="53" spans="1:33" ht="15" customHeight="1" x14ac:dyDescent="0.35">
      <c r="A53" s="1133" t="str">
        <f>IF(TRIM(H53)="","",IF(Data!CX69&gt;0,IF(Data!CX69&lt;&gt;"",Data!CX69," ")," "))</f>
        <v/>
      </c>
      <c r="B53" s="1126"/>
      <c r="C53" s="1126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>0</v>
      </c>
      <c r="D53" s="1126"/>
      <c r="E53" s="1126" t="str">
        <f>IF(Data!GK11&gt;0,IF(Data!GK11&lt;&gt;"",Data!GK11," ")," ")</f>
        <v xml:space="preserve"> </v>
      </c>
      <c r="F53" s="1126"/>
      <c r="G53" s="1126"/>
      <c r="H53" s="1126" t="str">
        <f>IF(Data!GG11&gt;0,IF(Data!GG11&lt;&gt;"",IF(Data!GG11&lt;&gt;"Add the cutter in list",Data!GG11,""),""),"")</f>
        <v/>
      </c>
      <c r="I53" s="1126"/>
      <c r="J53" s="1126"/>
      <c r="K53" s="1126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126"/>
      <c r="M53" s="1126"/>
      <c r="N53" s="1126"/>
      <c r="O53" s="1126"/>
      <c r="P53" s="1126"/>
      <c r="Q53" s="1126"/>
      <c r="R53" s="1126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126"/>
      <c r="T53" s="1126"/>
      <c r="U53" s="1126"/>
      <c r="V53" s="1126"/>
      <c r="W53" s="1126"/>
      <c r="X53" s="1126"/>
      <c r="Y53" s="1126"/>
      <c r="Z53" s="1126"/>
      <c r="AA53" s="1127"/>
      <c r="AE53" t="str">
        <f t="shared" si="1"/>
        <v>[0 ENO]</v>
      </c>
    </row>
    <row r="54" spans="1:33" ht="15" customHeight="1" x14ac:dyDescent="0.35">
      <c r="A54" s="1133" t="str">
        <f>IF(TRIM(H54)="","",IF(Data!CX70&gt;0,IF(Data!CX70&lt;&gt;"",Data!CX70," ")," "))</f>
        <v/>
      </c>
      <c r="B54" s="1126"/>
      <c r="C54" s="1126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>0</v>
      </c>
      <c r="D54" s="1126"/>
      <c r="E54" s="1126" t="str">
        <f>IF(Data!GK12&gt;0,IF(Data!GK12&lt;&gt;"",Data!GK12," ")," ")</f>
        <v xml:space="preserve"> </v>
      </c>
      <c r="F54" s="1126"/>
      <c r="G54" s="1126"/>
      <c r="H54" s="1126" t="str">
        <f>IF(Data!GG12&gt;0,IF(Data!GG12&lt;&gt;"",IF(Data!GG12&lt;&gt;"Add the cutter in list",Data!GG12,""),""),"")</f>
        <v/>
      </c>
      <c r="I54" s="1126"/>
      <c r="J54" s="1126"/>
      <c r="K54" s="1126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126"/>
      <c r="M54" s="1126"/>
      <c r="N54" s="1126"/>
      <c r="O54" s="1126"/>
      <c r="P54" s="1126"/>
      <c r="Q54" s="1126"/>
      <c r="R54" s="1126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126"/>
      <c r="T54" s="1126"/>
      <c r="U54" s="1126"/>
      <c r="V54" s="1126"/>
      <c r="W54" s="1126"/>
      <c r="X54" s="1126"/>
      <c r="Y54" s="1126"/>
      <c r="Z54" s="1126"/>
      <c r="AA54" s="1127"/>
      <c r="AE54" t="str">
        <f t="shared" si="1"/>
        <v>[0 ENO]</v>
      </c>
      <c r="AG54" t="s">
        <v>2490</v>
      </c>
    </row>
    <row r="55" spans="1:33" ht="15" customHeight="1" x14ac:dyDescent="0.35">
      <c r="A55" s="1133" t="str">
        <f>IF(TRIM(H55)="","",IF(Data!CX71&gt;0,IF(Data!CX71&lt;&gt;"",Data!CX71," ")," "))</f>
        <v/>
      </c>
      <c r="B55" s="1126"/>
      <c r="C55" s="1126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>0</v>
      </c>
      <c r="D55" s="1126"/>
      <c r="E55" s="1126" t="str">
        <f>IF(Data!GK13&gt;0,IF(Data!GK13&lt;&gt;"",Data!GK13," ")," ")</f>
        <v xml:space="preserve"> </v>
      </c>
      <c r="F55" s="1126"/>
      <c r="G55" s="1126"/>
      <c r="H55" s="1126" t="str">
        <f>IF(Data!GG13&gt;0,IF(Data!GG13&lt;&gt;"",IF(Data!GG13&lt;&gt;"Add the cutter in list",Data!GG13,""),""),"")</f>
        <v/>
      </c>
      <c r="I55" s="1126"/>
      <c r="J55" s="1126"/>
      <c r="K55" s="1126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126"/>
      <c r="M55" s="1126"/>
      <c r="N55" s="1126"/>
      <c r="O55" s="1126"/>
      <c r="P55" s="1126"/>
      <c r="Q55" s="1126"/>
      <c r="R55" s="1126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126"/>
      <c r="T55" s="1126"/>
      <c r="U55" s="1126"/>
      <c r="V55" s="1126"/>
      <c r="W55" s="1126"/>
      <c r="X55" s="1126"/>
      <c r="Y55" s="1126"/>
      <c r="Z55" s="1126"/>
      <c r="AA55" s="1127"/>
      <c r="AE55" t="str">
        <f t="shared" si="1"/>
        <v>[0 ENO]</v>
      </c>
    </row>
    <row r="56" spans="1:33" ht="15" customHeight="1" x14ac:dyDescent="0.35">
      <c r="A56" s="1133" t="str">
        <f>IF(TRIM(H56)="","",IF(Data!CX72&gt;0,IF(Data!CX72&lt;&gt;"",Data!CX72," ")," "))</f>
        <v/>
      </c>
      <c r="B56" s="1126"/>
      <c r="C56" s="1126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>0</v>
      </c>
      <c r="D56" s="1126"/>
      <c r="E56" s="1126" t="str">
        <f>IF(Data!GK14&gt;0,IF(Data!GK14&lt;&gt;"",Data!GK14," ")," ")</f>
        <v xml:space="preserve"> </v>
      </c>
      <c r="F56" s="1126"/>
      <c r="G56" s="1126"/>
      <c r="H56" s="1126" t="str">
        <f>IF(Data!GG14&gt;0,IF(Data!GG14&lt;&gt;"",IF(Data!GG14&lt;&gt;"Add the cutter in list",Data!GG14,""),""),"")</f>
        <v/>
      </c>
      <c r="I56" s="1126"/>
      <c r="J56" s="1126"/>
      <c r="K56" s="1126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126"/>
      <c r="M56" s="1126"/>
      <c r="N56" s="1126"/>
      <c r="O56" s="1126"/>
      <c r="P56" s="1126"/>
      <c r="Q56" s="1126"/>
      <c r="R56" s="1126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126"/>
      <c r="T56" s="1126"/>
      <c r="U56" s="1126"/>
      <c r="V56" s="1126"/>
      <c r="W56" s="1126"/>
      <c r="X56" s="1126"/>
      <c r="Y56" s="1126"/>
      <c r="Z56" s="1126"/>
      <c r="AA56" s="1127"/>
      <c r="AE56" t="str">
        <f t="shared" si="1"/>
        <v>[0 ENO]</v>
      </c>
    </row>
    <row r="57" spans="1:33" ht="15" customHeight="1" x14ac:dyDescent="0.35">
      <c r="A57" s="1133" t="str">
        <f>IF(TRIM(H57)="","",IF(Data!CX73&gt;0,IF(Data!CX73&lt;&gt;"",Data!CX73," ")," "))</f>
        <v/>
      </c>
      <c r="B57" s="1126"/>
      <c r="C57" s="1126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>0</v>
      </c>
      <c r="D57" s="1126"/>
      <c r="E57" s="1126" t="str">
        <f>IF(Data!GK15&gt;0,IF(Data!GK15&lt;&gt;"",Data!GK15," ")," ")</f>
        <v xml:space="preserve"> </v>
      </c>
      <c r="F57" s="1126"/>
      <c r="G57" s="1126"/>
      <c r="H57" s="1126" t="str">
        <f>IF(Data!GG15&gt;0,IF(Data!GG15&lt;&gt;"",IF(Data!GG15&lt;&gt;"Add the cutter in list",Data!GG15,""),""),"")</f>
        <v/>
      </c>
      <c r="I57" s="1126"/>
      <c r="J57" s="1126"/>
      <c r="K57" s="1126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126"/>
      <c r="M57" s="1126"/>
      <c r="N57" s="1126"/>
      <c r="O57" s="1126"/>
      <c r="P57" s="1126"/>
      <c r="Q57" s="1126"/>
      <c r="R57" s="1126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126"/>
      <c r="T57" s="1126"/>
      <c r="U57" s="1126"/>
      <c r="V57" s="1126"/>
      <c r="W57" s="1126"/>
      <c r="X57" s="1126"/>
      <c r="Y57" s="1126"/>
      <c r="Z57" s="1126"/>
      <c r="AA57" s="1127"/>
      <c r="AE57" t="str">
        <f t="shared" si="0"/>
        <v>[0 ENO]</v>
      </c>
      <c r="AG57" t="s">
        <v>2490</v>
      </c>
    </row>
    <row r="58" spans="1:33" ht="15" customHeight="1" x14ac:dyDescent="0.35">
      <c r="A58" s="1133" t="str">
        <f>IF(TRIM(H58)="","",IF(Data!CX74&gt;0,IF(Data!CX74&lt;&gt;"",Data!CX74," ")," "))</f>
        <v/>
      </c>
      <c r="B58" s="1126"/>
      <c r="C58" s="1126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>0</v>
      </c>
      <c r="D58" s="1126"/>
      <c r="E58" s="1126" t="str">
        <f>IF(Data!GK16&gt;0,IF(Data!GK16&lt;&gt;"",Data!GK16," ")," ")</f>
        <v xml:space="preserve"> </v>
      </c>
      <c r="F58" s="1126"/>
      <c r="G58" s="1126"/>
      <c r="H58" s="1126" t="str">
        <f>IF(Data!GG16&gt;0,IF(Data!GG16&lt;&gt;"",IF(Data!GG16&lt;&gt;"Add the cutter in list",Data!GG16,""),""),"")</f>
        <v/>
      </c>
      <c r="I58" s="1126"/>
      <c r="J58" s="1126"/>
      <c r="K58" s="1126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126"/>
      <c r="M58" s="1126"/>
      <c r="N58" s="1126"/>
      <c r="O58" s="1126"/>
      <c r="P58" s="1126"/>
      <c r="Q58" s="1126"/>
      <c r="R58" s="1126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126"/>
      <c r="T58" s="1126"/>
      <c r="U58" s="1126"/>
      <c r="V58" s="1126"/>
      <c r="W58" s="1126"/>
      <c r="X58" s="1126"/>
      <c r="Y58" s="1126"/>
      <c r="Z58" s="1126"/>
      <c r="AA58" s="1127"/>
      <c r="AE58" t="str">
        <f t="shared" si="0"/>
        <v>[0 ENO]</v>
      </c>
    </row>
    <row r="59" spans="1:33" ht="15" customHeight="1" x14ac:dyDescent="0.35">
      <c r="A59" s="1133" t="str">
        <f>IF(TRIM(H59)="","",IF(Data!CX75&gt;0,IF(Data!CX75&lt;&gt;"",Data!CX75," ")," "))</f>
        <v/>
      </c>
      <c r="B59" s="1126"/>
      <c r="C59" s="1126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>0</v>
      </c>
      <c r="D59" s="1126"/>
      <c r="E59" s="1126" t="str">
        <f>IF(Data!GK17&gt;0,IF(Data!GK17&lt;&gt;"",Data!GK17," ")," ")</f>
        <v xml:space="preserve"> </v>
      </c>
      <c r="F59" s="1126"/>
      <c r="G59" s="1126"/>
      <c r="H59" s="1126" t="str">
        <f>IF(Data!GG17&gt;0,IF(Data!GG17&lt;&gt;"",IF(Data!GG17&lt;&gt;"Add the cutter in list",Data!GG17,""),""),"")</f>
        <v/>
      </c>
      <c r="I59" s="1126"/>
      <c r="J59" s="1126"/>
      <c r="K59" s="1126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126"/>
      <c r="M59" s="1126"/>
      <c r="N59" s="1126"/>
      <c r="O59" s="1126"/>
      <c r="P59" s="1126"/>
      <c r="Q59" s="1126"/>
      <c r="R59" s="1126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126"/>
      <c r="T59" s="1126"/>
      <c r="U59" s="1126"/>
      <c r="V59" s="1126"/>
      <c r="W59" s="1126"/>
      <c r="X59" s="1126"/>
      <c r="Y59" s="1126"/>
      <c r="Z59" s="1126"/>
      <c r="AA59" s="1127"/>
      <c r="AE59" t="str">
        <f t="shared" ref="AE59" si="2">"["&amp;C59&amp;" ENO]"</f>
        <v>[0 ENO]</v>
      </c>
    </row>
    <row r="60" spans="1:33" ht="15" customHeight="1" thickBot="1" x14ac:dyDescent="0.4">
      <c r="A60" s="1131" t="str">
        <f>IF(TRIM(H60)="","",IF(Data!CX76&gt;0,IF(Data!CX76&lt;&gt;"",Data!CX76," ")," "))</f>
        <v/>
      </c>
      <c r="B60" s="1132"/>
      <c r="C60" s="1132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>0</v>
      </c>
      <c r="D60" s="1132"/>
      <c r="E60" s="1132" t="str">
        <f>IF(Data!GK18&gt;0,IF(Data!GK18&lt;&gt;"",Data!GK18," ")," ")</f>
        <v xml:space="preserve"> </v>
      </c>
      <c r="F60" s="1132"/>
      <c r="G60" s="1132"/>
      <c r="H60" s="1132" t="str">
        <f>IF(Data!GG18&gt;0,IF(Data!GG18&lt;&gt;"",IF(Data!GG18&lt;&gt;"Add the cutter in list",Data!GG18,""),""),"")</f>
        <v/>
      </c>
      <c r="I60" s="1132"/>
      <c r="J60" s="1132"/>
      <c r="K60" s="1132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132"/>
      <c r="M60" s="1132"/>
      <c r="N60" s="1132"/>
      <c r="O60" s="1132"/>
      <c r="P60" s="1132"/>
      <c r="Q60" s="1132"/>
      <c r="R60" s="1132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132"/>
      <c r="T60" s="1132"/>
      <c r="U60" s="1132"/>
      <c r="V60" s="1132"/>
      <c r="W60" s="1132"/>
      <c r="X60" s="1132"/>
      <c r="Y60" s="1132"/>
      <c r="Z60" s="1132"/>
      <c r="AA60" s="1134"/>
      <c r="AE60" t="str">
        <f t="shared" si="0"/>
        <v>[0 ENO]</v>
      </c>
    </row>
    <row r="61" spans="1:33" ht="3" customHeight="1" x14ac:dyDescent="0.3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35">
      <c r="A62" s="1170" t="s">
        <v>1056</v>
      </c>
      <c r="B62" s="1170"/>
      <c r="C62" s="1170"/>
      <c r="D62" s="1170"/>
      <c r="E62" s="1171" t="str">
        <f>IF(Data!B16&lt;&gt;"",Data!B16," ")</f>
        <v>SAUDI ARAMCO</v>
      </c>
      <c r="F62" s="1171"/>
      <c r="G62" s="1171"/>
      <c r="H62" s="1171"/>
      <c r="I62" s="396"/>
      <c r="J62" s="1172" t="s">
        <v>2513</v>
      </c>
      <c r="K62" s="1172"/>
      <c r="L62" s="1172"/>
      <c r="M62" s="1172"/>
      <c r="N62" s="1172"/>
      <c r="O62" s="1172"/>
      <c r="P62" s="1172"/>
      <c r="Q62" s="1173"/>
      <c r="R62" s="1173"/>
      <c r="S62" s="1173"/>
      <c r="T62" s="1173"/>
      <c r="U62" s="1173"/>
      <c r="V62" s="1173"/>
      <c r="W62" s="1173"/>
      <c r="X62" s="1173"/>
      <c r="Y62" s="1173"/>
      <c r="Z62" s="1173"/>
      <c r="AA62" s="1173"/>
    </row>
    <row r="63" spans="1:33" ht="4.5" customHeight="1" x14ac:dyDescent="0.3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15" customHeight="1" x14ac:dyDescent="0.3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" thickBot="1" x14ac:dyDescent="0.4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" thickBot="1" x14ac:dyDescent="0.4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2334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35">
      <c r="AJ69" t="s">
        <v>2328</v>
      </c>
      <c r="AL69" s="1065"/>
      <c r="AM69" s="1060" t="s">
        <v>2432</v>
      </c>
      <c r="AN69" s="1060" t="s">
        <v>2433</v>
      </c>
      <c r="AO69" s="1060" t="s">
        <v>2434</v>
      </c>
      <c r="AP69" s="1060" t="s">
        <v>2435</v>
      </c>
      <c r="AQ69" s="1060" t="s">
        <v>2436</v>
      </c>
      <c r="AR69" s="1060" t="s">
        <v>2437</v>
      </c>
      <c r="AS69" s="1060" t="s">
        <v>2438</v>
      </c>
      <c r="AT69" s="1060" t="s">
        <v>2439</v>
      </c>
      <c r="AU69" s="1060" t="s">
        <v>2440</v>
      </c>
      <c r="AV69" s="1060" t="s">
        <v>2441</v>
      </c>
      <c r="AW69" s="1060" t="s">
        <v>2442</v>
      </c>
      <c r="AX69" s="1060" t="s">
        <v>2443</v>
      </c>
      <c r="AY69" s="1060" t="s">
        <v>2440</v>
      </c>
      <c r="AZ69" s="1060" t="s">
        <v>2440</v>
      </c>
      <c r="BA69" s="1060" t="s">
        <v>2440</v>
      </c>
      <c r="BB69" s="1060" t="s">
        <v>2440</v>
      </c>
      <c r="BC69" s="1060" t="s">
        <v>2440</v>
      </c>
      <c r="BD69" s="1060" t="s">
        <v>2440</v>
      </c>
      <c r="BE69" s="1060" t="s">
        <v>2440</v>
      </c>
      <c r="BF69" s="1060" t="s">
        <v>2440</v>
      </c>
      <c r="BG69" s="1060" t="s">
        <v>2440</v>
      </c>
      <c r="BH69" s="1060" t="s">
        <v>2440</v>
      </c>
      <c r="BI69" s="1060" t="s">
        <v>2440</v>
      </c>
      <c r="BJ69" s="1060" t="s">
        <v>2440</v>
      </c>
      <c r="BK69" s="1061" t="s">
        <v>2440</v>
      </c>
    </row>
    <row r="70" spans="22:63" x14ac:dyDescent="0.35">
      <c r="AJ70" t="s">
        <v>2329</v>
      </c>
      <c r="AL70" s="1059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35">
      <c r="AJ71" t="s">
        <v>2330</v>
      </c>
      <c r="AL71" s="1059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35">
      <c r="AJ72" t="s">
        <v>2331</v>
      </c>
      <c r="AL72" s="1059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35">
      <c r="AJ73" t="s">
        <v>2332</v>
      </c>
      <c r="AL73" s="1059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35">
      <c r="AJ74" t="s">
        <v>2333</v>
      </c>
      <c r="AL74" s="1059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35">
      <c r="AL75" s="1059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35">
      <c r="AL76" s="1059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35">
      <c r="AL77" s="1059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35">
      <c r="AL78" s="1059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35">
      <c r="AL79" s="1059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35">
      <c r="AL80" s="1059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" thickBot="1" x14ac:dyDescent="0.4">
      <c r="AL81" s="1066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</mergeCells>
  <conditionalFormatting sqref="A44">
    <cfRule type="expression" dxfId="491" priority="222">
      <formula>COUNTIF($A$44,"1")</formula>
    </cfRule>
  </conditionalFormatting>
  <conditionalFormatting sqref="A45">
    <cfRule type="expression" dxfId="490" priority="213">
      <formula>COUNTIF($A$45,"2")</formula>
    </cfRule>
  </conditionalFormatting>
  <conditionalFormatting sqref="A46">
    <cfRule type="expression" dxfId="489" priority="206">
      <formula>COUNTIF($A$46,"3")</formula>
    </cfRule>
  </conditionalFormatting>
  <conditionalFormatting sqref="A47">
    <cfRule type="expression" dxfId="488" priority="198">
      <formula>COUNTIF($A$47,"4")</formula>
    </cfRule>
  </conditionalFormatting>
  <conditionalFormatting sqref="A48">
    <cfRule type="expression" dxfId="487" priority="190">
      <formula>COUNTIF($A$48,"5")</formula>
    </cfRule>
  </conditionalFormatting>
  <conditionalFormatting sqref="A49">
    <cfRule type="expression" dxfId="486" priority="182">
      <formula>COUNTIF($A$49,"6")</formula>
    </cfRule>
  </conditionalFormatting>
  <conditionalFormatting sqref="A50">
    <cfRule type="expression" dxfId="485" priority="174">
      <formula>COUNTIF($A$50,"7")</formula>
    </cfRule>
  </conditionalFormatting>
  <conditionalFormatting sqref="A51">
    <cfRule type="expression" dxfId="484" priority="11">
      <formula>COUNTIF($A51,"8")</formula>
    </cfRule>
  </conditionalFormatting>
  <conditionalFormatting sqref="A52">
    <cfRule type="expression" dxfId="483" priority="7">
      <formula>COUNTIF($A52,"9")</formula>
    </cfRule>
  </conditionalFormatting>
  <conditionalFormatting sqref="A53">
    <cfRule type="expression" dxfId="482" priority="9">
      <formula>COUNTIF($A53,"10")</formula>
    </cfRule>
  </conditionalFormatting>
  <conditionalFormatting sqref="A54">
    <cfRule type="expression" dxfId="481" priority="8">
      <formula>COUNTIF($A$54,"11")</formula>
    </cfRule>
  </conditionalFormatting>
  <conditionalFormatting sqref="A55">
    <cfRule type="expression" dxfId="480" priority="4">
      <formula>COUNTIF($A$54,"11")</formula>
    </cfRule>
  </conditionalFormatting>
  <conditionalFormatting sqref="A44:B52">
    <cfRule type="expression" dxfId="479" priority="6">
      <formula>COUNTIF($A55,"12")</formula>
    </cfRule>
  </conditionalFormatting>
  <conditionalFormatting sqref="A53:B53">
    <cfRule type="expression" dxfId="478" priority="25053">
      <formula>COUNTIF(#REF!,"12")</formula>
    </cfRule>
  </conditionalFormatting>
  <conditionalFormatting sqref="A54:B60">
    <cfRule type="expression" dxfId="477" priority="25052">
      <formula>COUNTIF($A64,"12")</formula>
    </cfRule>
  </conditionalFormatting>
  <conditionalFormatting sqref="A37:C38">
    <cfRule type="expression" dxfId="476" priority="122">
      <formula>$A$37&lt;&gt;""</formula>
    </cfRule>
  </conditionalFormatting>
  <conditionalFormatting sqref="A34:U34">
    <cfRule type="cellIs" dxfId="475" priority="157" operator="equal">
      <formula>0</formula>
    </cfRule>
  </conditionalFormatting>
  <conditionalFormatting sqref="C44:D60">
    <cfRule type="cellIs" dxfId="473" priority="158" operator="equal">
      <formula>0</formula>
    </cfRule>
  </conditionalFormatting>
  <conditionalFormatting sqref="C16:AA16">
    <cfRule type="beginsWith" dxfId="472" priority="261" operator="beginsWith" text="0a">
      <formula>LEFT(C16,LEN("0a"))="0a"</formula>
    </cfRule>
  </conditionalFormatting>
  <conditionalFormatting sqref="C17:AA28">
    <cfRule type="expression" dxfId="468" priority="154">
      <formula>COUNTIF(C17,"*10*")</formula>
    </cfRule>
    <cfRule type="expression" dxfId="467" priority="155">
      <formula>COUNTIF(C17,"*9*")</formula>
    </cfRule>
    <cfRule type="expression" dxfId="466" priority="156">
      <formula>COUNTIF(C17,"*8*")</formula>
    </cfRule>
    <cfRule type="expression" dxfId="465" priority="159">
      <formula>AND(COUNTIF(C17,"*V*"),AND(NOT(COUNTIF(B17,"*V*")),NOT(COUNTIF(D17,"*V*"))))</formula>
    </cfRule>
    <cfRule type="expression" dxfId="464" priority="160">
      <formula>COUNTIF(C17,"*7*")</formula>
    </cfRule>
    <cfRule type="expression" dxfId="463" priority="162">
      <formula>COUNTIF(C17,"*5*")</formula>
    </cfRule>
    <cfRule type="expression" dxfId="462" priority="163">
      <formula>COUNTIF(C17,"*4*")</formula>
    </cfRule>
    <cfRule type="expression" dxfId="461" priority="164">
      <formula>COUNTIF(C17,"*3*")</formula>
    </cfRule>
    <cfRule type="expression" dxfId="460" priority="165">
      <formula>COUNTIF(C17,"*2*")</formula>
    </cfRule>
    <cfRule type="expression" dxfId="459" priority="166">
      <formula>COUNTIF(C17,"*1*")</formula>
    </cfRule>
    <cfRule type="expression" dxfId="455" priority="161">
      <formula>COUNTIF(C17,"*6*")</formula>
    </cfRule>
    <cfRule type="expression" dxfId="450" priority="2">
      <formula>COUNTIF(C17,"*12*")</formula>
    </cfRule>
    <cfRule type="expression" dxfId="448" priority="5">
      <formula>COUNTIF(C17,"*11*")</formula>
    </cfRule>
  </conditionalFormatting>
  <conditionalFormatting sqref="D36">
    <cfRule type="beginsWith" dxfId="44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45" priority="1">
      <formula>$AB$1="❌ Mismatch – check table / M34 / remarks / Quantity"</formula>
    </cfRule>
  </conditionalFormatting>
  <conditionalFormatting sqref="W9:AA9">
    <cfRule type="cellIs" dxfId="442" priority="123" operator="equal">
      <formula>0</formula>
    </cfRule>
  </conditionalFormatting>
  <conditionalFormatting sqref="AM69:BK69">
    <cfRule type="beginsWith" dxfId="440" priority="72" operator="beginsWith" text="0a">
      <formula>LEFT(AM69,LEN("0a"))="0a"</formula>
    </cfRule>
  </conditionalFormatting>
  <conditionalFormatting sqref="AM70:BK81">
    <cfRule type="expression" dxfId="436" priority="24726">
      <formula>COUNTIF(AM70,"*10*")</formula>
    </cfRule>
    <cfRule type="expression" dxfId="435" priority="24727">
      <formula>COUNTIF(AM70,"*9*")</formula>
    </cfRule>
    <cfRule type="expression" dxfId="434" priority="24729">
      <formula>AND(COUNTIF(AM70,"*V*"),AND(NOT(COUNTIF(AL70,"*V*")),NOT(COUNTIF(AN70,"*V*"))))</formula>
    </cfRule>
    <cfRule type="expression" dxfId="433" priority="24730">
      <formula>COUNTIF(AM70,"*7*")</formula>
    </cfRule>
    <cfRule type="expression" dxfId="432" priority="24731">
      <formula>COUNTIF(AM70,"*6*")</formula>
    </cfRule>
    <cfRule type="expression" dxfId="431" priority="24732">
      <formula>COUNTIF(AM70,"*5*")</formula>
    </cfRule>
    <cfRule type="expression" dxfId="430" priority="24733">
      <formula>COUNTIF(AM70,"*4*")</formula>
    </cfRule>
    <cfRule type="expression" dxfId="429" priority="24734">
      <formula>COUNTIF(AM70,"*3*")</formula>
    </cfRule>
    <cfRule type="expression" dxfId="428" priority="24735">
      <formula>COUNTIF(AM70,"*2*")</formula>
    </cfRule>
    <cfRule type="expression" dxfId="427" priority="24736">
      <formula>COUNTIF(AM70,"*1*")</formula>
    </cfRule>
    <cfRule type="expression" dxfId="426" priority="24728">
      <formula>COUNTIF(AM70,"*8*")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S19" sqref="S19"/>
    </sheetView>
  </sheetViews>
  <sheetFormatPr defaultColWidth="9.1796875" defaultRowHeight="15.5" x14ac:dyDescent="0.35"/>
  <cols>
    <col min="1" max="1" width="4.7265625" style="412" customWidth="1"/>
    <col min="2" max="2" width="10.7265625" style="412" customWidth="1"/>
    <col min="3" max="3" width="15.7265625" style="412" customWidth="1"/>
    <col min="4" max="4" width="3.7265625" style="412" customWidth="1"/>
    <col min="5" max="5" width="6.7265625" style="412" customWidth="1"/>
    <col min="6" max="6" width="14.7265625" style="412" customWidth="1"/>
    <col min="7" max="7" width="3.7265625" style="412" customWidth="1"/>
    <col min="8" max="8" width="6.7265625" style="412" customWidth="1"/>
    <col min="9" max="9" width="22.7265625" style="412" customWidth="1"/>
    <col min="10" max="27" width="3" style="412" customWidth="1"/>
    <col min="28" max="35" width="3.1796875" style="412" customWidth="1"/>
    <col min="36" max="16384" width="9.1796875" style="412"/>
  </cols>
  <sheetData>
    <row r="1" spans="1:22" ht="22" customHeight="1" x14ac:dyDescent="0.35">
      <c r="A1" s="417"/>
      <c r="B1" s="1514" t="s">
        <v>977</v>
      </c>
      <c r="C1" s="1514"/>
      <c r="D1" s="1514"/>
      <c r="E1" s="1514"/>
      <c r="F1" s="1514"/>
      <c r="G1" s="1527" t="s">
        <v>974</v>
      </c>
      <c r="H1" s="1527"/>
      <c r="I1" s="1527"/>
      <c r="J1" s="1528"/>
    </row>
    <row r="2" spans="1:22" ht="22" customHeight="1" x14ac:dyDescent="0.35">
      <c r="A2" s="418"/>
      <c r="B2" s="1515"/>
      <c r="C2" s="1515"/>
      <c r="D2" s="1515"/>
      <c r="E2" s="1515"/>
      <c r="F2" s="1515"/>
      <c r="G2" s="1529" t="s">
        <v>1063</v>
      </c>
      <c r="H2" s="1529"/>
      <c r="I2" s="1529"/>
      <c r="J2" s="1530"/>
    </row>
    <row r="3" spans="1:22" ht="22" customHeight="1" x14ac:dyDescent="0.35">
      <c r="A3" s="1516" t="s">
        <v>45</v>
      </c>
      <c r="B3" s="1517"/>
      <c r="C3" s="1517"/>
      <c r="D3" s="1517"/>
      <c r="E3" s="1517"/>
      <c r="F3" s="1518"/>
      <c r="G3" s="1529" t="s">
        <v>975</v>
      </c>
      <c r="H3" s="1529"/>
      <c r="I3" s="1529"/>
      <c r="J3" s="1530"/>
    </row>
    <row r="4" spans="1:22" ht="22" customHeight="1" thickBot="1" x14ac:dyDescent="0.4">
      <c r="A4" s="1519"/>
      <c r="B4" s="1520"/>
      <c r="C4" s="1520"/>
      <c r="D4" s="1520"/>
      <c r="E4" s="1520"/>
      <c r="F4" s="1521"/>
      <c r="G4" s="1531" t="s">
        <v>976</v>
      </c>
      <c r="H4" s="1531"/>
      <c r="I4" s="1531"/>
      <c r="J4" s="1532"/>
    </row>
    <row r="5" spans="1:22" ht="12.65" customHeight="1" thickBot="1" x14ac:dyDescent="0.4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8" customHeight="1" thickBot="1" x14ac:dyDescent="0.4">
      <c r="A6" s="1522" t="s">
        <v>27</v>
      </c>
      <c r="B6" s="1523"/>
      <c r="C6" s="531" t="str">
        <f>IF(Data!B1&lt;&gt;"", Data!B1, " ")</f>
        <v>2025-AR-109</v>
      </c>
      <c r="D6" s="1524" t="s">
        <v>28</v>
      </c>
      <c r="E6" s="1525"/>
      <c r="F6" s="427">
        <f>IF(Data!B2&lt;&gt;"",Data!B2," ")</f>
        <v>13845937</v>
      </c>
      <c r="H6" s="240" t="s">
        <v>845</v>
      </c>
      <c r="I6" s="1533" t="str">
        <f>IF(Data!B7&lt;&gt;"",Data!B7," ")</f>
        <v>SAUDI ARAMCO</v>
      </c>
      <c r="J6" s="1534"/>
    </row>
    <row r="7" spans="1:22" ht="12.65" customHeight="1" thickBot="1" x14ac:dyDescent="0.4">
      <c r="A7" s="413"/>
      <c r="B7" s="413"/>
      <c r="C7" s="413"/>
      <c r="D7" s="413"/>
      <c r="E7" s="413"/>
      <c r="F7" s="413"/>
      <c r="G7" s="1508" t="str">
        <f>IF(Instructions!$L$1&lt;&gt;"",Instructions!$L$1,"")</f>
        <v/>
      </c>
      <c r="H7" s="1508"/>
      <c r="I7" s="1508"/>
      <c r="J7" s="1508"/>
      <c r="V7" s="433"/>
    </row>
    <row r="8" spans="1:22" ht="25" customHeight="1" thickBot="1" x14ac:dyDescent="0.4">
      <c r="A8" s="1522" t="s">
        <v>29</v>
      </c>
      <c r="B8" s="1523"/>
      <c r="C8" s="423" t="str">
        <f>IF(LEN(Data!B3)&gt;3,IF(AND(Data!B43&lt;&gt;"",Data!B43&lt;&gt;"0 0/1"""),Data!B43,""),IF(Data!B3&lt;&gt;"",Data!B3&amp;"""",""))</f>
        <v>8 3/8"</v>
      </c>
      <c r="D8" s="1526" t="s">
        <v>31</v>
      </c>
      <c r="E8" s="1523"/>
      <c r="F8" s="419" t="str">
        <f>IF(Data!B4&lt;&gt;"",Data!B4," ")</f>
        <v>MM65DH-1</v>
      </c>
      <c r="G8" s="1508"/>
      <c r="H8" s="1508"/>
      <c r="I8" s="1508"/>
      <c r="J8" s="1508"/>
      <c r="M8" s="420"/>
    </row>
    <row r="9" spans="1:22" ht="12.65" customHeight="1" thickBot="1" x14ac:dyDescent="0.4">
      <c r="A9" s="421"/>
      <c r="B9" s="421"/>
      <c r="C9" s="421"/>
      <c r="D9" s="421"/>
      <c r="E9" s="421"/>
      <c r="F9" s="421"/>
      <c r="G9" s="1509"/>
      <c r="H9" s="1509"/>
      <c r="I9" s="1509"/>
      <c r="J9" s="1509"/>
    </row>
    <row r="10" spans="1:22" ht="35.15" customHeight="1" thickBot="1" x14ac:dyDescent="0.4">
      <c r="A10" s="428" t="s">
        <v>993</v>
      </c>
      <c r="B10" s="1535" t="s">
        <v>973</v>
      </c>
      <c r="C10" s="1535"/>
      <c r="D10" s="1535"/>
      <c r="E10" s="429" t="s">
        <v>46</v>
      </c>
      <c r="F10" s="429" t="s">
        <v>951</v>
      </c>
      <c r="G10" s="1535" t="s">
        <v>44</v>
      </c>
      <c r="H10" s="1535"/>
      <c r="I10" s="1535"/>
      <c r="J10" s="1536"/>
    </row>
    <row r="11" spans="1:22" s="422" customFormat="1" ht="32.15" customHeight="1" x14ac:dyDescent="0.35">
      <c r="A11" s="230">
        <v>1</v>
      </c>
      <c r="B11" s="1537" t="s">
        <v>994</v>
      </c>
      <c r="C11" s="1537"/>
      <c r="D11" s="1537"/>
      <c r="E11" s="430"/>
      <c r="F11" s="430"/>
      <c r="G11" s="1537"/>
      <c r="H11" s="1537"/>
      <c r="I11" s="1537"/>
      <c r="J11" s="1538"/>
    </row>
    <row r="12" spans="1:22" ht="25" customHeight="1" x14ac:dyDescent="0.35">
      <c r="A12" s="233">
        <v>2</v>
      </c>
      <c r="B12" s="1507" t="s">
        <v>783</v>
      </c>
      <c r="C12" s="1507"/>
      <c r="D12" s="1507"/>
      <c r="E12" s="431"/>
      <c r="F12" s="431"/>
      <c r="G12" s="1507"/>
      <c r="H12" s="1507"/>
      <c r="I12" s="1507"/>
      <c r="J12" s="1510"/>
    </row>
    <row r="13" spans="1:22" ht="25" customHeight="1" x14ac:dyDescent="0.35">
      <c r="A13" s="233">
        <v>3</v>
      </c>
      <c r="B13" s="1507" t="s">
        <v>978</v>
      </c>
      <c r="C13" s="1507"/>
      <c r="D13" s="1507"/>
      <c r="E13" s="431"/>
      <c r="F13" s="431"/>
      <c r="G13" s="1507"/>
      <c r="H13" s="1507"/>
      <c r="I13" s="1507"/>
      <c r="J13" s="1510"/>
    </row>
    <row r="14" spans="1:22" ht="25" customHeight="1" x14ac:dyDescent="0.35">
      <c r="A14" s="233">
        <v>4</v>
      </c>
      <c r="B14" s="1507" t="s">
        <v>979</v>
      </c>
      <c r="C14" s="1507"/>
      <c r="D14" s="1507"/>
      <c r="E14" s="431"/>
      <c r="F14" s="431"/>
      <c r="G14" s="1507"/>
      <c r="H14" s="1507"/>
      <c r="I14" s="1507"/>
      <c r="J14" s="1510"/>
    </row>
    <row r="15" spans="1:22" ht="25" customHeight="1" x14ac:dyDescent="0.35">
      <c r="A15" s="233">
        <v>5</v>
      </c>
      <c r="B15" s="1507" t="s">
        <v>980</v>
      </c>
      <c r="C15" s="1507"/>
      <c r="D15" s="1507"/>
      <c r="E15" s="431"/>
      <c r="F15" s="431"/>
      <c r="G15" s="1507"/>
      <c r="H15" s="1507"/>
      <c r="I15" s="1507"/>
      <c r="J15" s="1510"/>
    </row>
    <row r="16" spans="1:22" ht="25" customHeight="1" x14ac:dyDescent="0.35">
      <c r="A16" s="233">
        <v>6</v>
      </c>
      <c r="B16" s="1507" t="s">
        <v>981</v>
      </c>
      <c r="C16" s="1507"/>
      <c r="D16" s="1507"/>
      <c r="E16" s="431"/>
      <c r="F16" s="431"/>
      <c r="G16" s="1507"/>
      <c r="H16" s="1507"/>
      <c r="I16" s="1507"/>
      <c r="J16" s="1510"/>
    </row>
    <row r="17" spans="1:10" ht="32.15" customHeight="1" x14ac:dyDescent="0.35">
      <c r="A17" s="233">
        <v>7</v>
      </c>
      <c r="B17" s="1507" t="s">
        <v>982</v>
      </c>
      <c r="C17" s="1507"/>
      <c r="D17" s="1507"/>
      <c r="E17" s="431"/>
      <c r="F17" s="431"/>
      <c r="G17" s="1507"/>
      <c r="H17" s="1507"/>
      <c r="I17" s="1507"/>
      <c r="J17" s="1510"/>
    </row>
    <row r="18" spans="1:10" ht="25" customHeight="1" x14ac:dyDescent="0.35">
      <c r="A18" s="233">
        <v>8</v>
      </c>
      <c r="B18" s="1507" t="s">
        <v>983</v>
      </c>
      <c r="C18" s="1507"/>
      <c r="D18" s="1507"/>
      <c r="E18" s="431"/>
      <c r="F18" s="431"/>
      <c r="G18" s="1507"/>
      <c r="H18" s="1507"/>
      <c r="I18" s="1507"/>
      <c r="J18" s="1510"/>
    </row>
    <row r="19" spans="1:10" ht="25" customHeight="1" x14ac:dyDescent="0.35">
      <c r="A19" s="233">
        <v>9</v>
      </c>
      <c r="B19" s="1507" t="s">
        <v>784</v>
      </c>
      <c r="C19" s="1507"/>
      <c r="D19" s="1507"/>
      <c r="E19" s="431"/>
      <c r="F19" s="431"/>
      <c r="G19" s="1507"/>
      <c r="H19" s="1507"/>
      <c r="I19" s="1507"/>
      <c r="J19" s="1510"/>
    </row>
    <row r="20" spans="1:10" ht="25" customHeight="1" x14ac:dyDescent="0.35">
      <c r="A20" s="233">
        <v>10</v>
      </c>
      <c r="B20" s="1507" t="s">
        <v>984</v>
      </c>
      <c r="C20" s="1507"/>
      <c r="D20" s="1507"/>
      <c r="E20" s="431"/>
      <c r="F20" s="431"/>
      <c r="G20" s="1507"/>
      <c r="H20" s="1507"/>
      <c r="I20" s="1507"/>
      <c r="J20" s="1510"/>
    </row>
    <row r="21" spans="1:10" ht="25" customHeight="1" x14ac:dyDescent="0.35">
      <c r="A21" s="233">
        <v>11</v>
      </c>
      <c r="B21" s="1507" t="s">
        <v>985</v>
      </c>
      <c r="C21" s="1507"/>
      <c r="D21" s="1507"/>
      <c r="E21" s="431"/>
      <c r="F21" s="431"/>
      <c r="G21" s="1507"/>
      <c r="H21" s="1507"/>
      <c r="I21" s="1507"/>
      <c r="J21" s="1510"/>
    </row>
    <row r="22" spans="1:10" ht="25" customHeight="1" x14ac:dyDescent="0.35">
      <c r="A22" s="233">
        <v>12</v>
      </c>
      <c r="B22" s="1507" t="s">
        <v>986</v>
      </c>
      <c r="C22" s="1507"/>
      <c r="D22" s="1507"/>
      <c r="E22" s="431"/>
      <c r="F22" s="431"/>
      <c r="G22" s="1507"/>
      <c r="H22" s="1507"/>
      <c r="I22" s="1507"/>
      <c r="J22" s="1510"/>
    </row>
    <row r="23" spans="1:10" ht="25" customHeight="1" x14ac:dyDescent="0.35">
      <c r="A23" s="233">
        <v>13</v>
      </c>
      <c r="B23" s="1507" t="s">
        <v>987</v>
      </c>
      <c r="C23" s="1507"/>
      <c r="D23" s="1507"/>
      <c r="E23" s="431"/>
      <c r="F23" s="431"/>
      <c r="G23" s="1507"/>
      <c r="H23" s="1507"/>
      <c r="I23" s="1507"/>
      <c r="J23" s="1510"/>
    </row>
    <row r="24" spans="1:10" ht="25" customHeight="1" x14ac:dyDescent="0.35">
      <c r="A24" s="233">
        <v>14</v>
      </c>
      <c r="B24" s="1507" t="s">
        <v>988</v>
      </c>
      <c r="C24" s="1507"/>
      <c r="D24" s="1507"/>
      <c r="E24" s="431"/>
      <c r="F24" s="431"/>
      <c r="G24" s="1507"/>
      <c r="H24" s="1507"/>
      <c r="I24" s="1507"/>
      <c r="J24" s="1510"/>
    </row>
    <row r="25" spans="1:10" ht="25" customHeight="1" x14ac:dyDescent="0.35">
      <c r="A25" s="233">
        <v>15</v>
      </c>
      <c r="B25" s="1507" t="s">
        <v>989</v>
      </c>
      <c r="C25" s="1507"/>
      <c r="D25" s="1507"/>
      <c r="E25" s="431"/>
      <c r="F25" s="431"/>
      <c r="G25" s="1507"/>
      <c r="H25" s="1507"/>
      <c r="I25" s="1507"/>
      <c r="J25" s="1510"/>
    </row>
    <row r="26" spans="1:10" ht="25" customHeight="1" x14ac:dyDescent="0.35">
      <c r="A26" s="233">
        <v>16</v>
      </c>
      <c r="B26" s="1507" t="s">
        <v>1057</v>
      </c>
      <c r="C26" s="1507"/>
      <c r="D26" s="1507"/>
      <c r="E26" s="431"/>
      <c r="F26" s="431"/>
      <c r="G26" s="1507"/>
      <c r="H26" s="1507"/>
      <c r="I26" s="1507"/>
      <c r="J26" s="1510"/>
    </row>
    <row r="27" spans="1:10" ht="25" customHeight="1" x14ac:dyDescent="0.35">
      <c r="A27" s="233">
        <v>17</v>
      </c>
      <c r="B27" s="1507" t="s">
        <v>990</v>
      </c>
      <c r="C27" s="1507"/>
      <c r="D27" s="1507"/>
      <c r="E27" s="431"/>
      <c r="F27" s="431"/>
      <c r="G27" s="1507"/>
      <c r="H27" s="1507"/>
      <c r="I27" s="1507"/>
      <c r="J27" s="1510"/>
    </row>
    <row r="28" spans="1:10" ht="25" customHeight="1" thickBot="1" x14ac:dyDescent="0.4">
      <c r="A28" s="249">
        <v>18</v>
      </c>
      <c r="B28" s="1512" t="s">
        <v>991</v>
      </c>
      <c r="C28" s="1512"/>
      <c r="D28" s="1512"/>
      <c r="E28" s="432"/>
      <c r="F28" s="432"/>
      <c r="G28" s="1512"/>
      <c r="H28" s="1512"/>
      <c r="I28" s="1512"/>
      <c r="J28" s="1513"/>
    </row>
    <row r="29" spans="1:10" ht="12.65" customHeight="1" x14ac:dyDescent="0.3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5" customHeight="1" x14ac:dyDescent="0.35">
      <c r="A30" s="1511" t="s">
        <v>992</v>
      </c>
      <c r="B30" s="1511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5" customHeight="1" x14ac:dyDescent="0.3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  <mergeCell ref="B16:D16"/>
    <mergeCell ref="G17:J17"/>
    <mergeCell ref="B22:D22"/>
    <mergeCell ref="B23:D23"/>
    <mergeCell ref="B19:D19"/>
    <mergeCell ref="B20:D20"/>
    <mergeCell ref="G19:J19"/>
    <mergeCell ref="B21:D21"/>
    <mergeCell ref="G1:J1"/>
    <mergeCell ref="G2:J2"/>
    <mergeCell ref="G3:J3"/>
    <mergeCell ref="G4:J4"/>
    <mergeCell ref="I6:J6"/>
    <mergeCell ref="B1:F2"/>
    <mergeCell ref="A3:F4"/>
    <mergeCell ref="A6:B6"/>
    <mergeCell ref="A8:B8"/>
    <mergeCell ref="D6:E6"/>
    <mergeCell ref="D8:E8"/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</mergeCells>
  <conditionalFormatting sqref="G7">
    <cfRule type="expression" dxfId="418" priority="24368">
      <formula>$G$7&lt;&gt;""</formula>
    </cfRule>
  </conditionalFormatting>
  <pageMargins left="0.5" right="0.5" top="0.5" bottom="0.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796875" defaultRowHeight="14.5" x14ac:dyDescent="0.35"/>
  <cols>
    <col min="1" max="1" width="4.54296875" customWidth="1"/>
    <col min="2" max="2" width="12.7265625" customWidth="1"/>
    <col min="3" max="3" width="30" customWidth="1"/>
    <col min="4" max="4" width="3.7265625" customWidth="1"/>
    <col min="5" max="5" width="9.7265625" customWidth="1"/>
    <col min="6" max="6" width="15" customWidth="1"/>
    <col min="7" max="7" width="3.7265625" customWidth="1"/>
    <col min="8" max="8" width="14.453125" customWidth="1"/>
    <col min="9" max="10" width="14.7265625" customWidth="1"/>
    <col min="11" max="11" width="3.26953125" customWidth="1"/>
    <col min="12" max="28" width="3" customWidth="1"/>
    <col min="29" max="36" width="3.1796875" customWidth="1"/>
  </cols>
  <sheetData>
    <row r="1" spans="1:10" ht="18" customHeight="1" x14ac:dyDescent="0.35">
      <c r="A1" s="761"/>
      <c r="B1" s="1539" t="s">
        <v>977</v>
      </c>
      <c r="C1" s="1539"/>
      <c r="D1" s="1539"/>
      <c r="E1" s="1539"/>
      <c r="F1" s="1539"/>
      <c r="G1" s="1540"/>
      <c r="H1" s="1543" t="s">
        <v>1025</v>
      </c>
      <c r="I1" s="1544"/>
      <c r="J1" s="1545"/>
    </row>
    <row r="2" spans="1:10" ht="18" customHeight="1" x14ac:dyDescent="0.35">
      <c r="A2" s="762"/>
      <c r="B2" s="1541"/>
      <c r="C2" s="1541"/>
      <c r="D2" s="1541"/>
      <c r="E2" s="1541"/>
      <c r="F2" s="1541"/>
      <c r="G2" s="1542"/>
      <c r="H2" s="1546" t="s">
        <v>1569</v>
      </c>
      <c r="I2" s="1529"/>
      <c r="J2" s="1530"/>
    </row>
    <row r="3" spans="1:10" ht="18" customHeight="1" x14ac:dyDescent="0.35">
      <c r="A3" s="1547" t="s">
        <v>47</v>
      </c>
      <c r="B3" s="1548"/>
      <c r="C3" s="1548"/>
      <c r="D3" s="1548"/>
      <c r="E3" s="1548"/>
      <c r="F3" s="1548"/>
      <c r="G3" s="1548"/>
      <c r="H3" s="1529" t="s">
        <v>975</v>
      </c>
      <c r="I3" s="1529"/>
      <c r="J3" s="1530"/>
    </row>
    <row r="4" spans="1:10" ht="18" customHeight="1" thickBot="1" x14ac:dyDescent="0.4">
      <c r="A4" s="1549"/>
      <c r="B4" s="1550"/>
      <c r="C4" s="1550"/>
      <c r="D4" s="1550"/>
      <c r="E4" s="1550"/>
      <c r="F4" s="1550"/>
      <c r="G4" s="1550"/>
      <c r="H4" s="1531" t="s">
        <v>976</v>
      </c>
      <c r="I4" s="1531"/>
      <c r="J4" s="1532"/>
    </row>
    <row r="5" spans="1:10" ht="7" customHeight="1" thickBot="1" x14ac:dyDescent="0.4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49999999999999" customHeight="1" thickBot="1" x14ac:dyDescent="0.4">
      <c r="A6" s="1522" t="s">
        <v>27</v>
      </c>
      <c r="B6" s="1522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2025-AR-109 </v>
      </c>
      <c r="D6" s="1522" t="s">
        <v>28</v>
      </c>
      <c r="E6" s="1522"/>
      <c r="F6" s="1556">
        <f>IF(Data!B2&lt;&gt;"",Data!B2," ")</f>
        <v>13845937</v>
      </c>
      <c r="G6" s="1557"/>
      <c r="I6" s="765" t="s">
        <v>32</v>
      </c>
      <c r="J6" s="766" t="str">
        <f>IF(Data!B7&lt;&gt;"",Data!B7," ")</f>
        <v>SAUDI ARAMCO</v>
      </c>
    </row>
    <row r="7" spans="1:10" ht="7" customHeight="1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49999999999999" customHeight="1" thickBot="1" x14ac:dyDescent="0.4">
      <c r="A8" s="1522" t="s">
        <v>29</v>
      </c>
      <c r="B8" s="1522"/>
      <c r="C8" s="767" t="str">
        <f>IF(LEN(Data!B3)&gt;3,IF(AND(Data!B43&lt;&gt;"",Data!B43&lt;&gt;"0 0/1"""),Data!B43,""),IF(Data!B3&lt;&gt;"",Data!B3&amp;"""",""))</f>
        <v>8 3/8"</v>
      </c>
      <c r="D8" s="1522" t="s">
        <v>31</v>
      </c>
      <c r="E8" s="1522"/>
      <c r="F8" s="1556" t="str">
        <f>IF(Data!B4&lt;&gt;"",Data!B4," ")</f>
        <v>MM65DH-1</v>
      </c>
      <c r="G8" s="1557"/>
      <c r="H8" s="240"/>
      <c r="I8" s="240"/>
      <c r="J8" s="240"/>
    </row>
    <row r="9" spans="1:10" ht="7" customHeight="1" thickBot="1" x14ac:dyDescent="0.4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2" customHeight="1" thickBot="1" x14ac:dyDescent="0.4">
      <c r="A10" s="768" t="s">
        <v>1570</v>
      </c>
      <c r="B10" s="1551" t="s">
        <v>43</v>
      </c>
      <c r="C10" s="1551"/>
      <c r="D10" s="1551" t="s">
        <v>1571</v>
      </c>
      <c r="E10" s="1551"/>
      <c r="F10" s="769" t="s">
        <v>1572</v>
      </c>
      <c r="G10" s="1552" t="s">
        <v>1573</v>
      </c>
      <c r="H10" s="1552"/>
      <c r="I10" s="1551" t="s">
        <v>44</v>
      </c>
      <c r="J10" s="1553"/>
    </row>
    <row r="11" spans="1:10" ht="18" customHeight="1" x14ac:dyDescent="0.35">
      <c r="A11" s="261">
        <v>1</v>
      </c>
      <c r="B11" s="1554" t="s">
        <v>996</v>
      </c>
      <c r="C11" s="1554"/>
      <c r="D11" s="1555" t="str">
        <f>IF(OR(COUNTIF(Data!$B$1,"*LV3*"),COUNTIF(Data!$B$1,"*LV4*")),"---","")</f>
        <v/>
      </c>
      <c r="E11" s="1555"/>
      <c r="F11" s="705" t="str">
        <f>IF(OR(COUNTIF(Data!$B$1,"*LV3*"),COUNTIF(Data!$B$1,"*LV4*")),"---","")</f>
        <v/>
      </c>
      <c r="G11" s="1555" t="str">
        <f>IF(OR(COUNTIF(Data!$B$1,"*LV3*"),COUNTIF(Data!$B$1,"*LV4*")),"---","")</f>
        <v/>
      </c>
      <c r="H11" s="1555"/>
      <c r="I11" s="1544"/>
      <c r="J11" s="1545"/>
    </row>
    <row r="12" spans="1:10" ht="18" customHeight="1" x14ac:dyDescent="0.35">
      <c r="A12" s="233">
        <v>2</v>
      </c>
      <c r="B12" s="1560" t="s">
        <v>1574</v>
      </c>
      <c r="C12" s="1560"/>
      <c r="D12" s="1559" t="str">
        <f>IF(OR(COUNTIF(Data!$B$1,"*LV3*"),COUNTIF(Data!$B$1,"*LV4*")),"---","")</f>
        <v/>
      </c>
      <c r="E12" s="1559"/>
      <c r="F12" s="166" t="str">
        <f>IF(OR(COUNTIF(Data!$B$1,"*LV3*"),COUNTIF(Data!$B$1,"*LV4*")),"---","")</f>
        <v/>
      </c>
      <c r="G12" s="1559" t="str">
        <f>IF(OR(COUNTIF(Data!$B$1,"*LV3*"),COUNTIF(Data!$B$1,"*LV4*")),"---","")</f>
        <v/>
      </c>
      <c r="H12" s="1559"/>
      <c r="I12" s="1529"/>
      <c r="J12" s="1530"/>
    </row>
    <row r="13" spans="1:10" ht="18" customHeight="1" x14ac:dyDescent="0.35">
      <c r="A13" s="233">
        <v>3</v>
      </c>
      <c r="B13" s="1560" t="s">
        <v>1575</v>
      </c>
      <c r="C13" s="1560"/>
      <c r="D13" s="1559" t="str">
        <f>IF(OR(COUNTIF(Data!$B$1,"*LV3*"),COUNTIF(Data!$B$1,"*LV4*")),"---","")</f>
        <v/>
      </c>
      <c r="E13" s="1559"/>
      <c r="F13" s="166" t="str">
        <f>IF(OR(COUNTIF(Data!$B$1,"*LV3*"),COUNTIF(Data!$B$1,"*LV4*")),"---","")</f>
        <v/>
      </c>
      <c r="G13" s="1559" t="str">
        <f>IF(OR(COUNTIF(Data!$B$1,"*LV3*"),COUNTIF(Data!$B$1,"*LV4*")),"---","")</f>
        <v/>
      </c>
      <c r="H13" s="1559"/>
      <c r="I13" s="1529"/>
      <c r="J13" s="1530"/>
    </row>
    <row r="14" spans="1:10" ht="18" customHeight="1" x14ac:dyDescent="0.35">
      <c r="A14" s="233">
        <v>4</v>
      </c>
      <c r="B14" s="1558" t="s">
        <v>997</v>
      </c>
      <c r="C14" s="1558"/>
      <c r="D14" s="1559" t="str">
        <f>IF(OR(COUNTIF(Data!$B$1,"*LV3*"),COUNTIF(Data!$B$1,"*LV4*")),"---","")</f>
        <v/>
      </c>
      <c r="E14" s="1559"/>
      <c r="F14" s="166" t="str">
        <f>IF(OR(COUNTIF(Data!$B$1,"*LV3*"),COUNTIF(Data!$B$1,"*LV4*")),"---","")</f>
        <v/>
      </c>
      <c r="G14" s="1559" t="str">
        <f>IF(OR(COUNTIF(Data!$B$1,"*LV3*"),COUNTIF(Data!$B$1,"*LV4*")),"---","")</f>
        <v/>
      </c>
      <c r="H14" s="1559"/>
      <c r="I14" s="1529"/>
      <c r="J14" s="1530"/>
    </row>
    <row r="15" spans="1:10" ht="18" customHeight="1" x14ac:dyDescent="0.35">
      <c r="A15" s="233">
        <v>5</v>
      </c>
      <c r="B15" s="1558" t="s">
        <v>998</v>
      </c>
      <c r="C15" s="1558"/>
      <c r="D15" s="1559" t="str">
        <f>IF(OR(COUNTIF(Data!$B$1,"*LV3*"),COUNTIF(Data!$B$1,"*LV4*")),"---","")</f>
        <v/>
      </c>
      <c r="E15" s="1559"/>
      <c r="F15" s="166" t="str">
        <f>IF(OR(COUNTIF(Data!$B$1,"*LV3*"),COUNTIF(Data!$B$1,"*LV4*")),"---","")</f>
        <v/>
      </c>
      <c r="G15" s="1559" t="str">
        <f>IF(OR(COUNTIF(Data!$B$1,"*LV3*"),COUNTIF(Data!$B$1,"*LV4*")),"---","")</f>
        <v/>
      </c>
      <c r="H15" s="1559"/>
      <c r="I15" s="1529"/>
      <c r="J15" s="1530"/>
    </row>
    <row r="16" spans="1:10" ht="18" customHeight="1" x14ac:dyDescent="0.35">
      <c r="A16" s="233">
        <v>6</v>
      </c>
      <c r="B16" s="1558" t="s">
        <v>999</v>
      </c>
      <c r="C16" s="1558"/>
      <c r="D16" s="1559" t="str">
        <f>IF(OR(COUNTIF(Data!$B$1,"*LV3*"),COUNTIF(Data!$B$1,"*LV4*")),"---","")</f>
        <v/>
      </c>
      <c r="E16" s="1559"/>
      <c r="F16" s="166" t="str">
        <f>IF(OR(COUNTIF(Data!$B$1,"*LV3*"),COUNTIF(Data!$B$1,"*LV4*")),"---","")</f>
        <v/>
      </c>
      <c r="G16" s="1559" t="str">
        <f>IF(OR(COUNTIF(Data!$B$1,"*LV3*"),COUNTIF(Data!$B$1,"*LV4*")),"---","")</f>
        <v/>
      </c>
      <c r="H16" s="1559"/>
      <c r="I16" s="1529"/>
      <c r="J16" s="1530"/>
    </row>
    <row r="17" spans="1:10" ht="18" customHeight="1" x14ac:dyDescent="0.35">
      <c r="A17" s="233">
        <v>7</v>
      </c>
      <c r="B17" s="1558" t="s">
        <v>979</v>
      </c>
      <c r="C17" s="1558"/>
      <c r="D17" s="1559" t="str">
        <f>IF(OR(COUNTIF(Data!$B$1,"*LV3*"),COUNTIF(Data!$B$1,"*LV4*")),"---","")</f>
        <v/>
      </c>
      <c r="E17" s="1559"/>
      <c r="F17" s="166" t="str">
        <f>IF(OR(COUNTIF(Data!$B$1,"*LV3*"),COUNTIF(Data!$B$1,"*LV4*")),"---","")</f>
        <v/>
      </c>
      <c r="G17" s="1559" t="str">
        <f>IF(OR(COUNTIF(Data!$B$1,"*LV3*"),COUNTIF(Data!$B$1,"*LV4*")),"---","")</f>
        <v/>
      </c>
      <c r="H17" s="1559"/>
      <c r="I17" s="1529"/>
      <c r="J17" s="1530"/>
    </row>
    <row r="18" spans="1:10" ht="18" customHeight="1" thickBot="1" x14ac:dyDescent="0.4">
      <c r="A18" s="249">
        <v>8</v>
      </c>
      <c r="B18" s="1561" t="s">
        <v>1000</v>
      </c>
      <c r="C18" s="1561"/>
      <c r="D18" s="1562"/>
      <c r="E18" s="1562"/>
      <c r="F18" s="714"/>
      <c r="G18" s="1562"/>
      <c r="H18" s="1562"/>
      <c r="I18" s="1531"/>
      <c r="J18" s="1532"/>
    </row>
    <row r="19" spans="1:10" ht="18" customHeight="1" x14ac:dyDescent="0.35">
      <c r="A19" s="261">
        <v>9</v>
      </c>
      <c r="B19" s="1554" t="s">
        <v>1001</v>
      </c>
      <c r="C19" s="1554"/>
      <c r="D19" s="1555"/>
      <c r="E19" s="1555"/>
      <c r="F19" s="705"/>
      <c r="G19" s="1555"/>
      <c r="H19" s="1555"/>
      <c r="I19" s="1544"/>
      <c r="J19" s="1545"/>
    </row>
    <row r="20" spans="1:10" ht="18" customHeight="1" x14ac:dyDescent="0.35">
      <c r="A20" s="1567">
        <v>10</v>
      </c>
      <c r="B20" s="1558" t="s">
        <v>1016</v>
      </c>
      <c r="C20" s="1558"/>
      <c r="D20" s="1564"/>
      <c r="E20" s="1564"/>
      <c r="F20" s="770"/>
      <c r="G20" s="1529" t="s">
        <v>48</v>
      </c>
      <c r="H20" s="1529"/>
      <c r="I20" s="1529"/>
      <c r="J20" s="1530"/>
    </row>
    <row r="21" spans="1:10" ht="18" customHeight="1" x14ac:dyDescent="0.35">
      <c r="A21" s="1567"/>
      <c r="B21" s="1558"/>
      <c r="C21" s="1558"/>
      <c r="D21" s="1564"/>
      <c r="E21" s="1564"/>
      <c r="F21" s="770"/>
      <c r="G21" s="1529" t="s">
        <v>49</v>
      </c>
      <c r="H21" s="1529"/>
      <c r="I21" s="1529"/>
      <c r="J21" s="1530"/>
    </row>
    <row r="22" spans="1:10" ht="18" customHeight="1" x14ac:dyDescent="0.35">
      <c r="A22" s="233">
        <v>11</v>
      </c>
      <c r="B22" s="1563" t="s">
        <v>1576</v>
      </c>
      <c r="C22" s="1563"/>
      <c r="D22" s="1564"/>
      <c r="E22" s="1564"/>
      <c r="F22" s="166"/>
      <c r="G22" s="1564"/>
      <c r="H22" s="1564"/>
      <c r="I22" s="1529"/>
      <c r="J22" s="1530"/>
    </row>
    <row r="23" spans="1:10" ht="18" customHeight="1" x14ac:dyDescent="0.35">
      <c r="A23" s="233">
        <v>12</v>
      </c>
      <c r="B23" s="1507" t="s">
        <v>1004</v>
      </c>
      <c r="C23" s="1507"/>
      <c r="D23" s="1559"/>
      <c r="E23" s="1559"/>
      <c r="F23" s="166"/>
      <c r="G23" s="1564"/>
      <c r="H23" s="1564"/>
      <c r="I23" s="1565"/>
      <c r="J23" s="1566"/>
    </row>
    <row r="24" spans="1:10" ht="18" customHeight="1" x14ac:dyDescent="0.35">
      <c r="A24" s="233">
        <v>13</v>
      </c>
      <c r="B24" s="1558" t="s">
        <v>998</v>
      </c>
      <c r="C24" s="1558"/>
      <c r="D24" s="1559"/>
      <c r="E24" s="1559"/>
      <c r="F24" s="166"/>
      <c r="G24" s="1564"/>
      <c r="H24" s="1564"/>
      <c r="I24" s="1529"/>
      <c r="J24" s="1530"/>
    </row>
    <row r="25" spans="1:10" ht="18" customHeight="1" x14ac:dyDescent="0.35">
      <c r="A25" s="233">
        <v>14</v>
      </c>
      <c r="B25" s="1558" t="s">
        <v>1002</v>
      </c>
      <c r="C25" s="1558"/>
      <c r="D25" s="1559"/>
      <c r="E25" s="1559"/>
      <c r="F25" s="166"/>
      <c r="G25" s="1564"/>
      <c r="H25" s="1564"/>
      <c r="I25" s="1529"/>
      <c r="J25" s="1530"/>
    </row>
    <row r="26" spans="1:10" ht="18" customHeight="1" x14ac:dyDescent="0.35">
      <c r="A26" s="1567">
        <v>15</v>
      </c>
      <c r="B26" s="1558" t="s">
        <v>1003</v>
      </c>
      <c r="C26" s="1558"/>
      <c r="D26" s="1559"/>
      <c r="E26" s="1559"/>
      <c r="F26" s="770"/>
      <c r="G26" s="1529" t="s">
        <v>48</v>
      </c>
      <c r="H26" s="1529"/>
      <c r="I26" s="1529"/>
      <c r="J26" s="1530"/>
    </row>
    <row r="27" spans="1:10" ht="18" customHeight="1" x14ac:dyDescent="0.35">
      <c r="A27" s="1567"/>
      <c r="B27" s="1558"/>
      <c r="C27" s="1558"/>
      <c r="D27" s="1559"/>
      <c r="E27" s="1559"/>
      <c r="F27" s="770"/>
      <c r="G27" s="1529" t="s">
        <v>49</v>
      </c>
      <c r="H27" s="1529"/>
      <c r="I27" s="1529"/>
      <c r="J27" s="1530"/>
    </row>
    <row r="28" spans="1:10" ht="18" customHeight="1" x14ac:dyDescent="0.35">
      <c r="A28" s="233">
        <v>16</v>
      </c>
      <c r="B28" s="1558" t="s">
        <v>997</v>
      </c>
      <c r="C28" s="1558"/>
      <c r="D28" s="1559"/>
      <c r="E28" s="1559"/>
      <c r="F28" s="166"/>
      <c r="G28" s="1559"/>
      <c r="H28" s="1559"/>
      <c r="I28" s="1529"/>
      <c r="J28" s="1530"/>
    </row>
    <row r="29" spans="1:10" ht="18" customHeight="1" x14ac:dyDescent="0.35">
      <c r="A29" s="233">
        <v>17</v>
      </c>
      <c r="B29" s="1558" t="s">
        <v>998</v>
      </c>
      <c r="C29" s="1558"/>
      <c r="D29" s="1559"/>
      <c r="E29" s="1559"/>
      <c r="F29" s="166"/>
      <c r="G29" s="1559"/>
      <c r="H29" s="1559"/>
      <c r="I29" s="1529"/>
      <c r="J29" s="1530"/>
    </row>
    <row r="30" spans="1:10" ht="18" customHeight="1" x14ac:dyDescent="0.35">
      <c r="A30" s="233">
        <v>18</v>
      </c>
      <c r="B30" s="1558" t="s">
        <v>979</v>
      </c>
      <c r="C30" s="1558"/>
      <c r="D30" s="1559"/>
      <c r="E30" s="1559"/>
      <c r="F30" s="166"/>
      <c r="G30" s="1559"/>
      <c r="H30" s="1559"/>
      <c r="I30" s="1529"/>
      <c r="J30" s="1530"/>
    </row>
    <row r="31" spans="1:10" ht="18" customHeight="1" x14ac:dyDescent="0.35">
      <c r="A31" s="233">
        <v>19</v>
      </c>
      <c r="B31" s="1558" t="s">
        <v>1007</v>
      </c>
      <c r="C31" s="1558"/>
      <c r="D31" s="1559"/>
      <c r="E31" s="1559"/>
      <c r="F31" s="166"/>
      <c r="G31" s="1559"/>
      <c r="H31" s="1559"/>
      <c r="I31" s="1529"/>
      <c r="J31" s="1530"/>
    </row>
    <row r="32" spans="1:10" ht="18" customHeight="1" x14ac:dyDescent="0.35">
      <c r="A32" s="233">
        <v>20</v>
      </c>
      <c r="B32" s="1558" t="s">
        <v>1008</v>
      </c>
      <c r="C32" s="1558"/>
      <c r="D32" s="1559"/>
      <c r="E32" s="1559"/>
      <c r="F32" s="166"/>
      <c r="G32" s="1559"/>
      <c r="H32" s="1559"/>
      <c r="I32" s="1529"/>
      <c r="J32" s="1530"/>
    </row>
    <row r="33" spans="1:10" ht="18" customHeight="1" x14ac:dyDescent="0.35">
      <c r="A33" s="233">
        <v>21</v>
      </c>
      <c r="B33" s="1558" t="s">
        <v>997</v>
      </c>
      <c r="C33" s="1558"/>
      <c r="D33" s="1559"/>
      <c r="E33" s="1559"/>
      <c r="F33" s="166"/>
      <c r="G33" s="1559"/>
      <c r="H33" s="1559"/>
      <c r="I33" s="1529"/>
      <c r="J33" s="1530"/>
    </row>
    <row r="34" spans="1:10" ht="18" customHeight="1" x14ac:dyDescent="0.35">
      <c r="A34" s="233">
        <v>22</v>
      </c>
      <c r="B34" s="1558" t="s">
        <v>998</v>
      </c>
      <c r="C34" s="1558"/>
      <c r="D34" s="1559"/>
      <c r="E34" s="1559"/>
      <c r="F34" s="166"/>
      <c r="G34" s="1559"/>
      <c r="H34" s="1559"/>
      <c r="I34" s="1529"/>
      <c r="J34" s="1530"/>
    </row>
    <row r="35" spans="1:10" ht="18" customHeight="1" x14ac:dyDescent="0.35">
      <c r="A35" s="233">
        <v>23</v>
      </c>
      <c r="B35" s="1558" t="s">
        <v>979</v>
      </c>
      <c r="C35" s="1558"/>
      <c r="D35" s="1559"/>
      <c r="E35" s="1559"/>
      <c r="F35" s="166"/>
      <c r="G35" s="1559"/>
      <c r="H35" s="1559"/>
      <c r="I35" s="1529"/>
      <c r="J35" s="1530"/>
    </row>
    <row r="36" spans="1:10" ht="30" customHeight="1" x14ac:dyDescent="0.35">
      <c r="A36" s="233">
        <v>24</v>
      </c>
      <c r="B36" s="1507" t="s">
        <v>1577</v>
      </c>
      <c r="C36" s="1507"/>
      <c r="D36" s="1564"/>
      <c r="E36" s="1564"/>
      <c r="F36" s="166"/>
      <c r="G36" s="1559"/>
      <c r="H36" s="1559"/>
      <c r="I36" s="1565"/>
      <c r="J36" s="1566"/>
    </row>
    <row r="37" spans="1:10" ht="30" customHeight="1" x14ac:dyDescent="0.35">
      <c r="A37" s="233">
        <v>25</v>
      </c>
      <c r="B37" s="1507" t="s">
        <v>1005</v>
      </c>
      <c r="C37" s="1507"/>
      <c r="D37" s="1564"/>
      <c r="E37" s="1564"/>
      <c r="F37" s="166"/>
      <c r="G37" s="1559"/>
      <c r="H37" s="1559"/>
      <c r="I37" s="1565"/>
      <c r="J37" s="1566"/>
    </row>
    <row r="38" spans="1:10" ht="18" customHeight="1" x14ac:dyDescent="0.35">
      <c r="A38" s="233">
        <v>26</v>
      </c>
      <c r="B38" s="1507" t="s">
        <v>1006</v>
      </c>
      <c r="C38" s="1507"/>
      <c r="D38" s="1564"/>
      <c r="E38" s="1564"/>
      <c r="F38" s="166"/>
      <c r="G38" s="1559"/>
      <c r="H38" s="1559"/>
      <c r="I38" s="1565"/>
      <c r="J38" s="1566"/>
    </row>
    <row r="39" spans="1:10" ht="18" customHeight="1" x14ac:dyDescent="0.35">
      <c r="A39" s="233">
        <v>27</v>
      </c>
      <c r="B39" s="1558" t="s">
        <v>999</v>
      </c>
      <c r="C39" s="1558"/>
      <c r="D39" s="1559"/>
      <c r="E39" s="1559"/>
      <c r="F39" s="166"/>
      <c r="G39" s="1559"/>
      <c r="H39" s="1559"/>
      <c r="I39" s="1529"/>
      <c r="J39" s="1530"/>
    </row>
    <row r="40" spans="1:10" ht="18" customHeight="1" x14ac:dyDescent="0.35">
      <c r="A40" s="233">
        <v>28</v>
      </c>
      <c r="B40" s="1558" t="s">
        <v>1009</v>
      </c>
      <c r="C40" s="1558"/>
      <c r="D40" s="1559"/>
      <c r="E40" s="1559"/>
      <c r="F40" s="166"/>
      <c r="G40" s="1559"/>
      <c r="H40" s="1559"/>
      <c r="I40" s="1529"/>
      <c r="J40" s="1530"/>
    </row>
    <row r="41" spans="1:10" ht="18" customHeight="1" x14ac:dyDescent="0.35">
      <c r="A41" s="233">
        <v>29</v>
      </c>
      <c r="B41" s="1558" t="s">
        <v>1010</v>
      </c>
      <c r="C41" s="1558"/>
      <c r="D41" s="1559"/>
      <c r="E41" s="1559"/>
      <c r="F41" s="166"/>
      <c r="G41" s="1559"/>
      <c r="H41" s="1559"/>
      <c r="I41" s="1529"/>
      <c r="J41" s="1530"/>
    </row>
    <row r="42" spans="1:10" ht="18" customHeight="1" x14ac:dyDescent="0.35">
      <c r="A42" s="233">
        <v>30</v>
      </c>
      <c r="B42" s="1558" t="s">
        <v>1011</v>
      </c>
      <c r="C42" s="1558"/>
      <c r="D42" s="1559"/>
      <c r="E42" s="1559"/>
      <c r="F42" s="166"/>
      <c r="G42" s="1559"/>
      <c r="H42" s="1559"/>
      <c r="I42" s="1529"/>
      <c r="J42" s="1530"/>
    </row>
    <row r="43" spans="1:10" ht="18" customHeight="1" x14ac:dyDescent="0.35">
      <c r="A43" s="233">
        <v>31</v>
      </c>
      <c r="B43" s="1558" t="s">
        <v>1012</v>
      </c>
      <c r="C43" s="1558"/>
      <c r="D43" s="1559"/>
      <c r="E43" s="1559"/>
      <c r="F43" s="166"/>
      <c r="G43" s="1559"/>
      <c r="H43" s="1559"/>
      <c r="I43" s="1529"/>
      <c r="J43" s="1530"/>
    </row>
    <row r="44" spans="1:10" ht="18" customHeight="1" x14ac:dyDescent="0.35">
      <c r="A44" s="233">
        <v>32</v>
      </c>
      <c r="B44" s="1563" t="s">
        <v>1578</v>
      </c>
      <c r="C44" s="1563"/>
      <c r="D44" s="1559"/>
      <c r="E44" s="1559"/>
      <c r="F44" s="166"/>
      <c r="G44" s="1559"/>
      <c r="H44" s="1559"/>
      <c r="I44" s="1529"/>
      <c r="J44" s="1530"/>
    </row>
    <row r="45" spans="1:10" ht="18" customHeight="1" thickBot="1" x14ac:dyDescent="0.4">
      <c r="A45" s="233">
        <v>33</v>
      </c>
      <c r="B45" s="1563" t="s">
        <v>1579</v>
      </c>
      <c r="C45" s="1563"/>
      <c r="D45" s="1559"/>
      <c r="E45" s="1559"/>
      <c r="F45" s="166"/>
      <c r="G45" s="1559"/>
      <c r="H45" s="1559"/>
      <c r="I45" s="1529"/>
      <c r="J45" s="1530"/>
    </row>
    <row r="46" spans="1:10" ht="18" customHeight="1" thickBot="1" x14ac:dyDescent="0.4">
      <c r="A46" s="1568"/>
      <c r="B46" s="1535"/>
      <c r="C46" s="1535"/>
      <c r="D46" s="1535"/>
      <c r="E46" s="1535"/>
      <c r="F46" s="1535" t="s">
        <v>1013</v>
      </c>
      <c r="G46" s="1535"/>
      <c r="H46" s="1535"/>
      <c r="I46" s="1535" t="s">
        <v>1014</v>
      </c>
      <c r="J46" s="1536"/>
    </row>
    <row r="47" spans="1:10" ht="18" customHeight="1" x14ac:dyDescent="0.35">
      <c r="A47" s="1569" t="s">
        <v>1023</v>
      </c>
      <c r="B47" s="1570"/>
      <c r="C47" s="1570"/>
      <c r="D47" s="1570"/>
      <c r="E47" s="1570"/>
      <c r="F47" s="1571"/>
      <c r="G47" s="1571"/>
      <c r="H47" s="1571"/>
      <c r="I47" s="1570"/>
      <c r="J47" s="1572"/>
    </row>
    <row r="48" spans="1:10" ht="18" customHeight="1" x14ac:dyDescent="0.35">
      <c r="A48" s="1573" t="s">
        <v>1015</v>
      </c>
      <c r="B48" s="1574"/>
      <c r="C48" s="1574"/>
      <c r="D48" s="1574"/>
      <c r="E48" s="1574"/>
      <c r="F48" s="1564"/>
      <c r="G48" s="1564"/>
      <c r="H48" s="1564"/>
      <c r="I48" s="1574"/>
      <c r="J48" s="1575"/>
    </row>
    <row r="49" spans="1:10" ht="18" customHeight="1" x14ac:dyDescent="0.35">
      <c r="A49" s="1573" t="s">
        <v>1024</v>
      </c>
      <c r="B49" s="1574"/>
      <c r="C49" s="1574"/>
      <c r="D49" s="1574"/>
      <c r="E49" s="1574"/>
      <c r="F49" s="1564"/>
      <c r="G49" s="1564"/>
      <c r="H49" s="1564"/>
      <c r="I49" s="1574"/>
      <c r="J49" s="1575"/>
    </row>
    <row r="50" spans="1:10" ht="18" customHeight="1" x14ac:dyDescent="0.35">
      <c r="A50" s="1573" t="s">
        <v>1017</v>
      </c>
      <c r="B50" s="1574"/>
      <c r="C50" s="1574"/>
      <c r="D50" s="1574"/>
      <c r="E50" s="1574"/>
      <c r="F50" s="1564"/>
      <c r="G50" s="1564"/>
      <c r="H50" s="1564"/>
      <c r="I50" s="1574"/>
      <c r="J50" s="1575"/>
    </row>
    <row r="51" spans="1:10" ht="18" customHeight="1" thickBot="1" x14ac:dyDescent="0.4">
      <c r="A51" s="1576" t="s">
        <v>1018</v>
      </c>
      <c r="B51" s="1577"/>
      <c r="C51" s="1577"/>
      <c r="D51" s="1577"/>
      <c r="E51" s="1577"/>
      <c r="F51" s="1578"/>
      <c r="G51" s="1578"/>
      <c r="H51" s="1578"/>
      <c r="I51" s="1577"/>
      <c r="J51" s="1579"/>
    </row>
    <row r="52" spans="1:10" ht="18" customHeight="1" x14ac:dyDescent="0.35">
      <c r="A52" s="1580" t="s">
        <v>1019</v>
      </c>
      <c r="B52" s="1581"/>
      <c r="C52" s="1586" t="s">
        <v>1020</v>
      </c>
      <c r="D52" s="1586"/>
      <c r="E52" s="1586"/>
      <c r="F52" s="1587"/>
      <c r="G52" s="1587"/>
      <c r="H52" s="1587"/>
      <c r="I52" s="1587"/>
      <c r="J52" s="1588"/>
    </row>
    <row r="53" spans="1:10" ht="18" customHeight="1" x14ac:dyDescent="0.35">
      <c r="A53" s="1582"/>
      <c r="B53" s="1583"/>
      <c r="C53" s="1589" t="s">
        <v>1021</v>
      </c>
      <c r="D53" s="1589"/>
      <c r="E53" s="1589"/>
      <c r="F53" s="1564"/>
      <c r="G53" s="1564"/>
      <c r="H53" s="1564"/>
      <c r="I53" s="1564"/>
      <c r="J53" s="1590"/>
    </row>
    <row r="54" spans="1:10" ht="18" customHeight="1" thickBot="1" x14ac:dyDescent="0.4">
      <c r="A54" s="1584"/>
      <c r="B54" s="1585"/>
      <c r="C54" s="1591" t="s">
        <v>1022</v>
      </c>
      <c r="D54" s="1591"/>
      <c r="E54" s="1591"/>
      <c r="F54" s="1578"/>
      <c r="G54" s="1578"/>
      <c r="H54" s="1578"/>
      <c r="I54" s="1578"/>
      <c r="J54" s="1592"/>
    </row>
    <row r="55" spans="1:10" ht="12.75" hidden="1" customHeight="1" x14ac:dyDescent="0.35">
      <c r="E55" s="771"/>
    </row>
    <row r="56" spans="1:10" ht="12.75" hidden="1" customHeight="1" x14ac:dyDescent="0.35">
      <c r="E56" s="771"/>
    </row>
    <row r="57" spans="1:10" ht="12.75" hidden="1" customHeight="1" x14ac:dyDescent="0.35">
      <c r="E57" s="771"/>
    </row>
    <row r="58" spans="1:10" ht="12.75" hidden="1" customHeight="1" x14ac:dyDescent="0.35">
      <c r="E58" s="771"/>
    </row>
    <row r="59" spans="1:10" ht="12.75" hidden="1" customHeight="1" x14ac:dyDescent="0.35">
      <c r="E59" s="772"/>
      <c r="F59" s="773"/>
      <c r="G59" s="773"/>
      <c r="H59" s="773"/>
      <c r="I59" s="773"/>
      <c r="J59" s="773"/>
    </row>
    <row r="60" spans="1:10" ht="12.75" hidden="1" customHeight="1" x14ac:dyDescent="0.35">
      <c r="E60" s="771"/>
    </row>
    <row r="61" spans="1:10" ht="12.75" hidden="1" customHeight="1" x14ac:dyDescent="0.35">
      <c r="A61" s="773"/>
      <c r="B61" s="773"/>
      <c r="C61" s="773"/>
      <c r="D61" s="773"/>
      <c r="E61" s="771"/>
    </row>
    <row r="62" spans="1:10" ht="15.75" customHeight="1" x14ac:dyDescent="0.35"/>
  </sheetData>
  <sheetProtection formatCells="0" formatColumns="0" formatRows="0" insertColumns="0" insertRows="0" insertHyperlinks="0" deleteColumns="0" deleteRows="0" sort="0" autoFilter="0" pivotTables="0"/>
  <mergeCells count="182"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</mergeCells>
  <pageMargins left="0.5" right="0.25" top="0.5" bottom="0.5" header="0.3" footer="0.3"/>
  <pageSetup paperSize="9" scale="77" orientation="portrait" r:id="rId1"/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8" s="440" customFormat="1" ht="25" customHeight="1" x14ac:dyDescent="0.35">
      <c r="A1" s="443"/>
      <c r="B1" s="1596" t="s">
        <v>50</v>
      </c>
      <c r="C1" s="1596"/>
      <c r="D1" s="1596"/>
      <c r="E1" s="1597"/>
      <c r="F1" s="1543" t="s">
        <v>1027</v>
      </c>
      <c r="G1" s="1544"/>
      <c r="H1" s="1545"/>
    </row>
    <row r="2" spans="1:8" s="440" customFormat="1" ht="25" customHeight="1" x14ac:dyDescent="0.35">
      <c r="A2" s="444"/>
      <c r="B2" s="1598"/>
      <c r="C2" s="1598"/>
      <c r="D2" s="1598"/>
      <c r="E2" s="1599"/>
      <c r="F2" s="1546" t="s">
        <v>1568</v>
      </c>
      <c r="G2" s="1529"/>
      <c r="H2" s="1530"/>
    </row>
    <row r="3" spans="1:8" s="440" customFormat="1" ht="25" customHeight="1" x14ac:dyDescent="0.35">
      <c r="A3" s="1547" t="s">
        <v>51</v>
      </c>
      <c r="B3" s="1548"/>
      <c r="C3" s="1548"/>
      <c r="D3" s="1548"/>
      <c r="E3" s="1548"/>
      <c r="F3" s="1529" t="s">
        <v>975</v>
      </c>
      <c r="G3" s="1529"/>
      <c r="H3" s="1530"/>
    </row>
    <row r="4" spans="1:8" s="440" customFormat="1" ht="25" customHeight="1" thickBot="1" x14ac:dyDescent="0.4">
      <c r="A4" s="1549"/>
      <c r="B4" s="1550"/>
      <c r="C4" s="1550"/>
      <c r="D4" s="1550"/>
      <c r="E4" s="1550"/>
      <c r="F4" s="1531" t="s">
        <v>1028</v>
      </c>
      <c r="G4" s="1531"/>
      <c r="H4" s="1532"/>
    </row>
    <row r="5" spans="1:8" s="440" customFormat="1" ht="20.149999999999999" customHeight="1" thickBot="1" x14ac:dyDescent="0.4">
      <c r="A5" s="1600"/>
      <c r="B5" s="1600"/>
      <c r="C5" s="1600"/>
      <c r="D5" s="1600"/>
      <c r="E5" s="1600"/>
      <c r="F5" s="1600"/>
      <c r="G5" s="1600"/>
      <c r="H5" s="1600"/>
    </row>
    <row r="6" spans="1:8" s="441" customFormat="1" ht="25" customHeight="1" thickBot="1" x14ac:dyDescent="0.4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2025-AR-109 </v>
      </c>
      <c r="C6" s="629" t="s">
        <v>1032</v>
      </c>
      <c r="D6" s="427">
        <f>IF(Data!B2&lt;&gt;"",Data!B2," ")</f>
        <v>13845937</v>
      </c>
      <c r="E6" s="629" t="s">
        <v>29</v>
      </c>
      <c r="F6" s="427" t="str">
        <f>IF(LEN(Data!B3)&gt;3,IF(AND(Data!B43&lt;&gt;"",Data!B43&lt;&gt;"0 0/1"""),Data!B43,""),IF(Data!B3&lt;&gt;"",Data!B3&amp;"""",""))</f>
        <v>8 3/8"</v>
      </c>
      <c r="G6" s="629" t="s">
        <v>31</v>
      </c>
      <c r="H6" s="427" t="str">
        <f>IF(Data!B4&lt;&gt;"",Data!B4," ")</f>
        <v>MM65DH-1</v>
      </c>
    </row>
    <row r="7" spans="1:8" s="441" customFormat="1" ht="20.149999999999999" customHeight="1" thickBot="1" x14ac:dyDescent="0.4">
      <c r="A7" s="1601"/>
      <c r="B7" s="1601"/>
      <c r="C7" s="1601"/>
      <c r="D7" s="1601"/>
      <c r="E7" s="1601"/>
      <c r="F7" s="1601"/>
      <c r="G7" s="1601"/>
      <c r="H7" s="1601"/>
    </row>
    <row r="8" spans="1:8" s="440" customFormat="1" ht="25" customHeight="1" thickBot="1" x14ac:dyDescent="0.4">
      <c r="A8" s="1568" t="s">
        <v>52</v>
      </c>
      <c r="B8" s="1535"/>
      <c r="C8" s="1535"/>
      <c r="D8" s="1535"/>
      <c r="E8" s="1535" t="s">
        <v>53</v>
      </c>
      <c r="F8" s="1535"/>
      <c r="G8" s="1535"/>
      <c r="H8" s="1536"/>
    </row>
    <row r="9" spans="1:8" s="440" customFormat="1" ht="20.149999999999999" customHeight="1" thickBot="1" x14ac:dyDescent="0.4">
      <c r="A9" s="1602"/>
      <c r="B9" s="1602"/>
      <c r="C9" s="1602"/>
      <c r="D9" s="1602"/>
      <c r="E9" s="1602"/>
      <c r="F9" s="1602"/>
      <c r="G9" s="1602"/>
      <c r="H9" s="1602"/>
    </row>
    <row r="10" spans="1:8" s="440" customFormat="1" ht="27" customHeight="1" thickBot="1" x14ac:dyDescent="0.4">
      <c r="A10" s="1593" t="s">
        <v>1138</v>
      </c>
      <c r="B10" s="1594"/>
      <c r="C10" s="1594"/>
      <c r="D10" s="1594"/>
      <c r="E10" s="1594"/>
      <c r="F10" s="1594"/>
      <c r="G10" s="1594"/>
      <c r="H10" s="1595"/>
    </row>
    <row r="11" spans="1:8" s="440" customFormat="1" ht="27" customHeight="1" x14ac:dyDescent="0.35">
      <c r="A11" s="1603" t="s">
        <v>1036</v>
      </c>
      <c r="B11" s="1604"/>
      <c r="C11" s="1605" t="s">
        <v>54</v>
      </c>
      <c r="D11" s="1605"/>
      <c r="E11" s="1605" t="s">
        <v>55</v>
      </c>
      <c r="F11" s="1605"/>
      <c r="G11" s="1605" t="s">
        <v>56</v>
      </c>
      <c r="H11" s="1606"/>
    </row>
    <row r="12" spans="1:8" s="440" customFormat="1" ht="27" customHeight="1" x14ac:dyDescent="0.35">
      <c r="A12" s="1607" t="s">
        <v>1037</v>
      </c>
      <c r="B12" s="1608"/>
      <c r="C12" s="1564" t="s">
        <v>57</v>
      </c>
      <c r="D12" s="1564"/>
      <c r="E12" s="1609" t="s">
        <v>58</v>
      </c>
      <c r="F12" s="1609"/>
      <c r="G12" s="1609" t="s">
        <v>58</v>
      </c>
      <c r="H12" s="1610"/>
    </row>
    <row r="13" spans="1:8" s="440" customFormat="1" ht="27" customHeight="1" x14ac:dyDescent="0.35">
      <c r="A13" s="1607" t="s">
        <v>1038</v>
      </c>
      <c r="B13" s="1608"/>
      <c r="C13" s="1564"/>
      <c r="D13" s="1564"/>
      <c r="E13" s="1564"/>
      <c r="F13" s="1564"/>
      <c r="G13" s="1564"/>
      <c r="H13" s="1590"/>
    </row>
    <row r="14" spans="1:8" s="440" customFormat="1" ht="27" customHeight="1" x14ac:dyDescent="0.35">
      <c r="A14" s="1607" t="s">
        <v>1039</v>
      </c>
      <c r="B14" s="1608"/>
      <c r="C14" s="1564"/>
      <c r="D14" s="1564"/>
      <c r="E14" s="1564"/>
      <c r="F14" s="1564"/>
      <c r="G14" s="1564"/>
      <c r="H14" s="1590"/>
    </row>
    <row r="15" spans="1:8" s="440" customFormat="1" ht="27" customHeight="1" x14ac:dyDescent="0.35">
      <c r="A15" s="1607" t="s">
        <v>59</v>
      </c>
      <c r="B15" s="1608"/>
      <c r="C15" s="1529"/>
      <c r="D15" s="1529"/>
      <c r="E15" s="1608" t="s">
        <v>60</v>
      </c>
      <c r="F15" s="1608"/>
      <c r="G15" s="1529"/>
      <c r="H15" s="1530"/>
    </row>
    <row r="16" spans="1:8" s="440" customFormat="1" ht="27" customHeight="1" x14ac:dyDescent="0.35">
      <c r="A16" s="1607" t="s">
        <v>61</v>
      </c>
      <c r="B16" s="1608"/>
      <c r="C16" s="1529"/>
      <c r="D16" s="1529"/>
      <c r="E16" s="1608" t="s">
        <v>62</v>
      </c>
      <c r="F16" s="1608"/>
      <c r="G16" s="1529"/>
      <c r="H16" s="1530"/>
    </row>
    <row r="17" spans="1:8" s="440" customFormat="1" ht="27" customHeight="1" x14ac:dyDescent="0.35">
      <c r="A17" s="757" t="s">
        <v>63</v>
      </c>
      <c r="B17" s="758" t="s">
        <v>64</v>
      </c>
      <c r="C17" s="1564"/>
      <c r="D17" s="1564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35">
      <c r="A18" s="1611" t="s">
        <v>952</v>
      </c>
      <c r="B18" s="1613" t="s">
        <v>67</v>
      </c>
      <c r="C18" s="1614"/>
      <c r="D18" s="1614"/>
      <c r="E18" s="1614"/>
      <c r="F18" s="1614"/>
      <c r="G18" s="1614"/>
      <c r="H18" s="1615"/>
    </row>
    <row r="19" spans="1:8" s="440" customFormat="1" ht="27" customHeight="1" x14ac:dyDescent="0.35">
      <c r="A19" s="1611"/>
      <c r="B19" s="1616"/>
      <c r="C19" s="1617"/>
      <c r="D19" s="1617"/>
      <c r="E19" s="1617"/>
      <c r="F19" s="1617"/>
      <c r="G19" s="1617"/>
      <c r="H19" s="1618"/>
    </row>
    <row r="20" spans="1:8" s="440" customFormat="1" ht="27" customHeight="1" thickBot="1" x14ac:dyDescent="0.4">
      <c r="A20" s="1612"/>
      <c r="B20" s="1619" t="s">
        <v>69</v>
      </c>
      <c r="C20" s="1619"/>
      <c r="D20" s="1578"/>
      <c r="E20" s="1578"/>
      <c r="F20" s="1578"/>
      <c r="G20" s="1578"/>
      <c r="H20" s="1592"/>
    </row>
    <row r="21" spans="1:8" s="440" customFormat="1" ht="20.149999999999999" customHeight="1" thickBot="1" x14ac:dyDescent="0.4">
      <c r="A21" s="1602"/>
      <c r="B21" s="1602"/>
      <c r="C21" s="1602"/>
      <c r="D21" s="1602"/>
      <c r="E21" s="1602"/>
      <c r="F21" s="1602"/>
      <c r="G21" s="1602"/>
      <c r="H21" s="1602"/>
    </row>
    <row r="22" spans="1:8" s="440" customFormat="1" ht="27" customHeight="1" thickBot="1" x14ac:dyDescent="0.4">
      <c r="A22" s="1593" t="s">
        <v>1112</v>
      </c>
      <c r="B22" s="1594"/>
      <c r="C22" s="1594"/>
      <c r="D22" s="1594"/>
      <c r="E22" s="1594"/>
      <c r="F22" s="1594"/>
      <c r="G22" s="1594"/>
      <c r="H22" s="1595"/>
    </row>
    <row r="23" spans="1:8" s="440" customFormat="1" ht="27" customHeight="1" x14ac:dyDescent="0.35">
      <c r="A23" s="1603" t="s">
        <v>1036</v>
      </c>
      <c r="B23" s="1604"/>
      <c r="C23" s="1605" t="s">
        <v>54</v>
      </c>
      <c r="D23" s="1605"/>
      <c r="E23" s="1605" t="s">
        <v>55</v>
      </c>
      <c r="F23" s="1605"/>
      <c r="G23" s="1605" t="s">
        <v>56</v>
      </c>
      <c r="H23" s="1606"/>
    </row>
    <row r="24" spans="1:8" s="440" customFormat="1" ht="27" customHeight="1" x14ac:dyDescent="0.35">
      <c r="A24" s="1607" t="s">
        <v>1037</v>
      </c>
      <c r="B24" s="1608"/>
      <c r="C24" s="1564" t="s">
        <v>57</v>
      </c>
      <c r="D24" s="1564"/>
      <c r="E24" s="1609" t="s">
        <v>58</v>
      </c>
      <c r="F24" s="1609"/>
      <c r="G24" s="1609" t="s">
        <v>58</v>
      </c>
      <c r="H24" s="1610"/>
    </row>
    <row r="25" spans="1:8" s="440" customFormat="1" ht="27" customHeight="1" x14ac:dyDescent="0.35">
      <c r="A25" s="1607" t="s">
        <v>1038</v>
      </c>
      <c r="B25" s="1608"/>
      <c r="C25" s="1564"/>
      <c r="D25" s="1564"/>
      <c r="E25" s="1564"/>
      <c r="F25" s="1564"/>
      <c r="G25" s="1564"/>
      <c r="H25" s="1590"/>
    </row>
    <row r="26" spans="1:8" s="440" customFormat="1" ht="27" customHeight="1" x14ac:dyDescent="0.35">
      <c r="A26" s="1607" t="s">
        <v>1039</v>
      </c>
      <c r="B26" s="1608"/>
      <c r="C26" s="1564"/>
      <c r="D26" s="1564"/>
      <c r="E26" s="1564"/>
      <c r="F26" s="1564"/>
      <c r="G26" s="1564"/>
      <c r="H26" s="1590"/>
    </row>
    <row r="27" spans="1:8" s="440" customFormat="1" ht="27" customHeight="1" x14ac:dyDescent="0.35">
      <c r="A27" s="1607" t="s">
        <v>59</v>
      </c>
      <c r="B27" s="1608"/>
      <c r="C27" s="1529"/>
      <c r="D27" s="1529"/>
      <c r="E27" s="1608" t="s">
        <v>60</v>
      </c>
      <c r="F27" s="1608"/>
      <c r="G27" s="1529"/>
      <c r="H27" s="1530"/>
    </row>
    <row r="28" spans="1:8" s="440" customFormat="1" ht="27" customHeight="1" x14ac:dyDescent="0.35">
      <c r="A28" s="1607" t="s">
        <v>61</v>
      </c>
      <c r="B28" s="1608"/>
      <c r="C28" s="1529"/>
      <c r="D28" s="1529"/>
      <c r="E28" s="1608" t="s">
        <v>62</v>
      </c>
      <c r="F28" s="1608"/>
      <c r="G28" s="1529"/>
      <c r="H28" s="1530"/>
    </row>
    <row r="29" spans="1:8" s="440" customFormat="1" ht="27" customHeight="1" x14ac:dyDescent="0.35">
      <c r="A29" s="757" t="s">
        <v>63</v>
      </c>
      <c r="B29" s="758" t="s">
        <v>64</v>
      </c>
      <c r="C29" s="1564"/>
      <c r="D29" s="1564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35">
      <c r="A30" s="1611" t="s">
        <v>952</v>
      </c>
      <c r="B30" s="1613" t="s">
        <v>67</v>
      </c>
      <c r="C30" s="1614"/>
      <c r="D30" s="1614"/>
      <c r="E30" s="1614"/>
      <c r="F30" s="1614"/>
      <c r="G30" s="1614"/>
      <c r="H30" s="1615"/>
    </row>
    <row r="31" spans="1:8" s="440" customFormat="1" ht="27" customHeight="1" x14ac:dyDescent="0.35">
      <c r="A31" s="1611"/>
      <c r="B31" s="1616"/>
      <c r="C31" s="1617"/>
      <c r="D31" s="1617"/>
      <c r="E31" s="1617"/>
      <c r="F31" s="1617"/>
      <c r="G31" s="1617"/>
      <c r="H31" s="1618"/>
    </row>
    <row r="32" spans="1:8" s="440" customFormat="1" ht="27" customHeight="1" thickBot="1" x14ac:dyDescent="0.4">
      <c r="A32" s="1612"/>
      <c r="B32" s="1619" t="s">
        <v>69</v>
      </c>
      <c r="C32" s="1619"/>
      <c r="D32" s="1578"/>
      <c r="E32" s="1578"/>
      <c r="F32" s="1578"/>
      <c r="G32" s="1578"/>
      <c r="H32" s="1592"/>
    </row>
    <row r="33" s="440" customFormat="1" ht="18" customHeight="1" x14ac:dyDescent="0.35"/>
    <row r="34" s="440" customFormat="1" ht="18" customHeight="1" x14ac:dyDescent="0.35"/>
    <row r="35" s="440" customFormat="1" ht="18" customHeight="1" x14ac:dyDescent="0.35"/>
    <row r="36" s="440" customFormat="1" ht="18" customHeight="1" x14ac:dyDescent="0.35"/>
    <row r="37" s="440" customFormat="1" ht="18" customHeight="1" x14ac:dyDescent="0.35"/>
    <row r="38" s="440" customFormat="1" ht="18" customHeight="1" x14ac:dyDescent="0.35"/>
    <row r="39" s="440" customFormat="1" ht="18" customHeight="1" x14ac:dyDescent="0.35"/>
    <row r="40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72">
    <mergeCell ref="C29:D29"/>
    <mergeCell ref="A30:A32"/>
    <mergeCell ref="B30:H31"/>
    <mergeCell ref="B32:C32"/>
    <mergeCell ref="D32:H32"/>
    <mergeCell ref="A27:B27"/>
    <mergeCell ref="C27:D27"/>
    <mergeCell ref="E27:F27"/>
    <mergeCell ref="G27:H27"/>
    <mergeCell ref="A28:B28"/>
    <mergeCell ref="C28:D28"/>
    <mergeCell ref="E28:F28"/>
    <mergeCell ref="G28:H28"/>
    <mergeCell ref="A25:B25"/>
    <mergeCell ref="C25:D25"/>
    <mergeCell ref="E25:F25"/>
    <mergeCell ref="G25:H25"/>
    <mergeCell ref="A26:B26"/>
    <mergeCell ref="C26:D26"/>
    <mergeCell ref="E26:F26"/>
    <mergeCell ref="G26:H2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15:B15"/>
    <mergeCell ref="C15:D15"/>
    <mergeCell ref="E15:F15"/>
    <mergeCell ref="G15:H15"/>
    <mergeCell ref="A16:B16"/>
    <mergeCell ref="C16:D16"/>
    <mergeCell ref="E16:F16"/>
    <mergeCell ref="G16:H16"/>
    <mergeCell ref="A13:B13"/>
    <mergeCell ref="C13:D13"/>
    <mergeCell ref="E13:F13"/>
    <mergeCell ref="G13:H13"/>
    <mergeCell ref="A14:B14"/>
    <mergeCell ref="C14:D14"/>
    <mergeCell ref="E14:F14"/>
    <mergeCell ref="G14:H14"/>
    <mergeCell ref="A11:B11"/>
    <mergeCell ref="C11:D11"/>
    <mergeCell ref="E11:F11"/>
    <mergeCell ref="G11:H11"/>
    <mergeCell ref="A12:B12"/>
    <mergeCell ref="C12:D12"/>
    <mergeCell ref="E12:F12"/>
    <mergeCell ref="G12:H12"/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Z22" sqref="Z22"/>
    </sheetView>
  </sheetViews>
  <sheetFormatPr defaultRowHeight="14.5" x14ac:dyDescent="0.35"/>
  <cols>
    <col min="1" max="2" width="6.81640625" customWidth="1"/>
    <col min="3" max="4" width="4.81640625" customWidth="1"/>
    <col min="5" max="5" width="5.453125" customWidth="1"/>
    <col min="6" max="7" width="4.81640625" customWidth="1"/>
    <col min="8" max="8" width="5.453125" customWidth="1"/>
    <col min="9" max="10" width="4.81640625" customWidth="1"/>
    <col min="11" max="11" width="8" customWidth="1"/>
    <col min="12" max="13" width="4.81640625" customWidth="1"/>
    <col min="14" max="14" width="8" customWidth="1"/>
    <col min="15" max="15" width="10" customWidth="1"/>
  </cols>
  <sheetData>
    <row r="1" spans="1:35" s="491" customFormat="1" ht="21.75" customHeight="1" x14ac:dyDescent="0.4">
      <c r="A1" s="924"/>
      <c r="B1" s="924"/>
      <c r="C1" s="1620" t="s">
        <v>22</v>
      </c>
      <c r="D1" s="1620"/>
      <c r="E1" s="1620"/>
      <c r="F1" s="1620"/>
      <c r="G1" s="1620"/>
      <c r="H1" s="1620"/>
      <c r="I1" s="1620"/>
      <c r="J1" s="1620"/>
      <c r="K1" s="1620"/>
      <c r="L1" s="1620"/>
      <c r="M1" s="1620"/>
      <c r="N1" s="1620"/>
      <c r="O1" s="1620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35">
      <c r="B2" s="926"/>
      <c r="C2" s="1621" t="s">
        <v>1067</v>
      </c>
      <c r="D2" s="1621"/>
      <c r="E2" s="1621"/>
      <c r="F2" s="1621"/>
      <c r="G2" s="1621"/>
      <c r="H2" s="1621"/>
      <c r="I2" s="1621"/>
      <c r="J2" s="1621"/>
      <c r="K2" s="1621"/>
      <c r="L2" s="1621"/>
      <c r="M2" s="1621"/>
      <c r="N2" s="1621"/>
      <c r="O2" s="1621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35">
      <c r="A3" s="927" t="s">
        <v>23</v>
      </c>
      <c r="B3" s="927"/>
      <c r="C3" s="1644" t="s">
        <v>1909</v>
      </c>
      <c r="D3" s="1644"/>
      <c r="E3" s="1644"/>
      <c r="F3" s="1644"/>
      <c r="G3" s="1644"/>
      <c r="H3" s="1645"/>
      <c r="I3" s="929"/>
      <c r="J3" s="1646" t="s">
        <v>1912</v>
      </c>
      <c r="K3" s="1644"/>
      <c r="L3" s="1644"/>
      <c r="M3" s="1644"/>
      <c r="N3" s="1644" t="s">
        <v>1913</v>
      </c>
      <c r="O3" s="1644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3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4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3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35">
      <c r="A7" s="28" t="s">
        <v>1914</v>
      </c>
      <c r="B7" s="1248" t="str">
        <f>IF(Data!B1&lt;&gt;"", Data!B1, " ")</f>
        <v>2025-AR-109</v>
      </c>
      <c r="C7" s="1248"/>
      <c r="D7" s="1248"/>
      <c r="E7" t="s">
        <v>1894</v>
      </c>
      <c r="F7" s="1634" t="str">
        <f>IF(LEN(Data!B3)&gt;3,IF(AND(Data!B43&lt;&gt;"",Data!B43&lt;&gt;"0 0/1"""),Data!B43,""),IF(Data!B3&lt;&gt;"",Data!B3&amp;"""",""))</f>
        <v>8 3/8"</v>
      </c>
      <c r="G7" s="1634"/>
      <c r="H7" t="s">
        <v>1895</v>
      </c>
      <c r="I7" s="1634" t="str">
        <f>IF(Data!B4&lt;&gt;"",Data!B4," ")</f>
        <v>MM65DH-1</v>
      </c>
      <c r="J7" s="1634"/>
      <c r="K7" t="s">
        <v>1896</v>
      </c>
      <c r="L7" s="1634">
        <f>IF(Data!B2&lt;&gt;"", Data!B2, " ")</f>
        <v>13845937</v>
      </c>
      <c r="M7" s="1634"/>
      <c r="N7" t="s">
        <v>1897</v>
      </c>
      <c r="O7" s="922"/>
    </row>
    <row r="8" spans="1:35" ht="8.25" customHeight="1" thickBot="1" x14ac:dyDescent="0.4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35">
      <c r="A9" s="1638" t="s">
        <v>1883</v>
      </c>
      <c r="B9" s="1638"/>
      <c r="C9" s="1638"/>
      <c r="D9" s="1638"/>
      <c r="E9" s="1638"/>
      <c r="F9" s="1638"/>
      <c r="G9" s="1638"/>
      <c r="H9" s="1638"/>
      <c r="I9" s="1638"/>
      <c r="J9" s="1638"/>
      <c r="K9" s="1638"/>
      <c r="L9" s="1638"/>
      <c r="M9" s="1638"/>
      <c r="N9" s="1638"/>
      <c r="O9" s="1638"/>
    </row>
    <row r="10" spans="1:35" ht="20.25" customHeight="1" x14ac:dyDescent="0.35">
      <c r="A10" s="1635" t="s">
        <v>1884</v>
      </c>
      <c r="B10" s="1636"/>
      <c r="C10" s="1636"/>
      <c r="D10" s="1636"/>
      <c r="E10" s="1637"/>
      <c r="F10" s="1635" t="s">
        <v>1885</v>
      </c>
      <c r="G10" s="1637"/>
      <c r="H10" s="1635" t="s">
        <v>1886</v>
      </c>
      <c r="I10" s="1637"/>
      <c r="J10" s="1635" t="s">
        <v>44</v>
      </c>
      <c r="K10" s="1636"/>
      <c r="L10" s="1636"/>
      <c r="M10" s="1636"/>
      <c r="N10" s="1636"/>
      <c r="O10" s="1637"/>
    </row>
    <row r="11" spans="1:35" ht="20.25" customHeight="1" x14ac:dyDescent="0.35">
      <c r="A11" s="1625" t="s">
        <v>1887</v>
      </c>
      <c r="B11" s="1626"/>
      <c r="C11" s="1626"/>
      <c r="D11" s="1626"/>
      <c r="E11" s="1627"/>
      <c r="F11" s="1628"/>
      <c r="G11" s="1629"/>
      <c r="H11" s="1628"/>
      <c r="I11" s="1629"/>
      <c r="J11" s="1628"/>
      <c r="K11" s="1630"/>
      <c r="L11" s="1630"/>
      <c r="M11" s="1630"/>
      <c r="N11" s="1630"/>
      <c r="O11" s="1629"/>
    </row>
    <row r="12" spans="1:35" ht="20.25" customHeight="1" x14ac:dyDescent="0.35">
      <c r="A12" s="1625" t="s">
        <v>1888</v>
      </c>
      <c r="B12" s="1626"/>
      <c r="C12" s="1626"/>
      <c r="D12" s="1626"/>
      <c r="E12" s="1627"/>
      <c r="F12" s="1628"/>
      <c r="G12" s="1629"/>
      <c r="H12" s="1628"/>
      <c r="I12" s="1629"/>
      <c r="J12" s="1628"/>
      <c r="K12" s="1630"/>
      <c r="L12" s="1630"/>
      <c r="M12" s="1630"/>
      <c r="N12" s="1630"/>
      <c r="O12" s="1629"/>
    </row>
    <row r="13" spans="1:35" ht="20.25" customHeight="1" x14ac:dyDescent="0.35">
      <c r="A13" s="1625" t="s">
        <v>1889</v>
      </c>
      <c r="B13" s="1626"/>
      <c r="C13" s="1626"/>
      <c r="D13" s="1626"/>
      <c r="E13" s="1627"/>
      <c r="F13" s="1628"/>
      <c r="G13" s="1629"/>
      <c r="H13" s="1628"/>
      <c r="I13" s="1629"/>
      <c r="J13" s="1628"/>
      <c r="K13" s="1630"/>
      <c r="L13" s="1630"/>
      <c r="M13" s="1630"/>
      <c r="N13" s="1630"/>
      <c r="O13" s="1629"/>
    </row>
    <row r="14" spans="1:35" ht="20.25" customHeight="1" x14ac:dyDescent="0.35">
      <c r="A14" s="1625" t="s">
        <v>1890</v>
      </c>
      <c r="B14" s="1626"/>
      <c r="C14" s="1626"/>
      <c r="D14" s="1626"/>
      <c r="E14" s="1627"/>
      <c r="F14" s="1628"/>
      <c r="G14" s="1629"/>
      <c r="H14" s="1628"/>
      <c r="I14" s="1629"/>
      <c r="J14" s="1628"/>
      <c r="K14" s="1630"/>
      <c r="L14" s="1630"/>
      <c r="M14" s="1630"/>
      <c r="N14" s="1630"/>
      <c r="O14" s="1629"/>
    </row>
    <row r="15" spans="1:35" ht="20.25" customHeight="1" x14ac:dyDescent="0.35">
      <c r="A15" s="1625" t="s">
        <v>1891</v>
      </c>
      <c r="B15" s="1626"/>
      <c r="C15" s="1626"/>
      <c r="D15" s="1626"/>
      <c r="E15" s="1627"/>
      <c r="F15" s="1628"/>
      <c r="G15" s="1629"/>
      <c r="H15" s="1628"/>
      <c r="I15" s="1629"/>
      <c r="J15" s="1628"/>
      <c r="K15" s="1630"/>
      <c r="L15" s="1630"/>
      <c r="M15" s="1630"/>
      <c r="N15" s="1630"/>
      <c r="O15" s="1629"/>
    </row>
    <row r="16" spans="1:35" ht="20.25" customHeight="1" x14ac:dyDescent="0.35">
      <c r="A16" s="1625" t="s">
        <v>1898</v>
      </c>
      <c r="B16" s="1626"/>
      <c r="C16" s="1626"/>
      <c r="D16" s="1626"/>
      <c r="E16" s="1627"/>
      <c r="F16" s="1628"/>
      <c r="G16" s="1629"/>
      <c r="H16" s="1628"/>
      <c r="I16" s="1629"/>
      <c r="J16" s="1628"/>
      <c r="K16" s="1630"/>
      <c r="L16" s="1630"/>
      <c r="M16" s="1630"/>
      <c r="N16" s="1630"/>
      <c r="O16" s="1629"/>
    </row>
    <row r="17" spans="1:15" x14ac:dyDescent="0.35">
      <c r="A17" s="1639"/>
      <c r="B17" s="1639"/>
      <c r="C17" s="1639"/>
      <c r="D17" s="1639"/>
      <c r="E17" s="1639"/>
      <c r="F17" s="1639"/>
      <c r="G17" s="1639"/>
      <c r="H17" s="1639"/>
      <c r="I17" s="1639"/>
      <c r="J17" s="1639"/>
      <c r="K17" s="1639"/>
      <c r="L17" s="1639"/>
      <c r="M17" s="1639"/>
      <c r="N17" s="1639"/>
      <c r="O17" s="1639"/>
    </row>
    <row r="18" spans="1:15" ht="15.5" x14ac:dyDescent="0.35">
      <c r="A18" s="1643" t="s">
        <v>1904</v>
      </c>
      <c r="B18" s="1643"/>
      <c r="C18" s="1643"/>
      <c r="G18" s="1248" t="s">
        <v>1905</v>
      </c>
      <c r="H18" s="1248"/>
      <c r="K18" s="1248" t="s">
        <v>1906</v>
      </c>
      <c r="L18" s="1248"/>
    </row>
    <row r="19" spans="1:15" ht="15.5" x14ac:dyDescent="0.35">
      <c r="A19" s="915"/>
      <c r="B19" s="915"/>
      <c r="G19" s="805"/>
      <c r="H19" s="805"/>
      <c r="K19" s="805"/>
      <c r="L19" s="805"/>
    </row>
    <row r="20" spans="1:15" ht="19.5" customHeight="1" x14ac:dyDescent="0.35">
      <c r="A20" s="1640" t="s">
        <v>1892</v>
      </c>
      <c r="B20" s="1640"/>
      <c r="C20" s="1640"/>
      <c r="D20" s="1640"/>
      <c r="E20" s="1640"/>
      <c r="F20" s="1642" t="s">
        <v>1907</v>
      </c>
      <c r="G20" s="1642"/>
      <c r="H20" s="1642"/>
      <c r="I20" s="1642"/>
      <c r="J20" s="1642"/>
      <c r="K20" s="1642"/>
      <c r="L20" s="1641" t="s">
        <v>1899</v>
      </c>
      <c r="M20" s="1641"/>
      <c r="N20" s="1634"/>
      <c r="O20" s="1634"/>
    </row>
    <row r="21" spans="1:15" ht="19.5" customHeight="1" x14ac:dyDescent="0.35">
      <c r="A21" s="1640"/>
      <c r="B21" s="1640"/>
      <c r="C21" s="1640"/>
      <c r="D21" s="1640"/>
      <c r="E21" s="1640"/>
      <c r="F21" s="1642" t="s">
        <v>1908</v>
      </c>
      <c r="G21" s="1642"/>
      <c r="H21" s="1642"/>
      <c r="I21" s="1642"/>
      <c r="J21" s="1642"/>
      <c r="K21" s="1642"/>
      <c r="L21" s="1641" t="s">
        <v>1079</v>
      </c>
      <c r="M21" s="1641"/>
      <c r="N21" s="1630"/>
      <c r="O21" s="1630"/>
    </row>
    <row r="24" spans="1:15" ht="24" customHeight="1" x14ac:dyDescent="0.35">
      <c r="A24" s="1638" t="s">
        <v>1893</v>
      </c>
      <c r="B24" s="1638"/>
      <c r="C24" s="1638"/>
      <c r="D24" s="1638"/>
      <c r="E24" s="1638"/>
      <c r="F24" s="1638"/>
      <c r="G24" s="1638"/>
      <c r="H24" s="1638"/>
      <c r="I24" s="1638"/>
      <c r="J24" s="1638"/>
      <c r="K24" s="1638"/>
      <c r="L24" s="1638"/>
      <c r="M24" s="1638"/>
      <c r="N24" s="1638"/>
      <c r="O24" s="1638"/>
    </row>
    <row r="25" spans="1:15" ht="20.25" customHeight="1" x14ac:dyDescent="0.35">
      <c r="A25" s="1635" t="s">
        <v>1884</v>
      </c>
      <c r="B25" s="1636"/>
      <c r="C25" s="1636"/>
      <c r="D25" s="1636"/>
      <c r="E25" s="1637"/>
      <c r="F25" s="1635" t="s">
        <v>1885</v>
      </c>
      <c r="G25" s="1637"/>
      <c r="H25" s="1635" t="s">
        <v>1886</v>
      </c>
      <c r="I25" s="1637"/>
      <c r="J25" s="1635" t="s">
        <v>44</v>
      </c>
      <c r="K25" s="1636"/>
      <c r="L25" s="1636"/>
      <c r="M25" s="1636"/>
      <c r="N25" s="1636"/>
      <c r="O25" s="1637"/>
    </row>
    <row r="26" spans="1:15" ht="20.25" customHeight="1" x14ac:dyDescent="0.35">
      <c r="A26" s="1625" t="s">
        <v>1887</v>
      </c>
      <c r="B26" s="1626"/>
      <c r="C26" s="1626"/>
      <c r="D26" s="1626"/>
      <c r="E26" s="1627"/>
      <c r="F26" s="1628"/>
      <c r="G26" s="1629"/>
      <c r="H26" s="1628"/>
      <c r="I26" s="1629"/>
      <c r="J26" s="1628"/>
      <c r="K26" s="1630"/>
      <c r="L26" s="1630"/>
      <c r="M26" s="1630"/>
      <c r="N26" s="1630"/>
      <c r="O26" s="1629"/>
    </row>
    <row r="27" spans="1:15" ht="20.25" customHeight="1" x14ac:dyDescent="0.35">
      <c r="A27" s="1625" t="s">
        <v>1888</v>
      </c>
      <c r="B27" s="1626"/>
      <c r="C27" s="1626"/>
      <c r="D27" s="1626"/>
      <c r="E27" s="1627"/>
      <c r="F27" s="1628"/>
      <c r="G27" s="1629"/>
      <c r="H27" s="1628"/>
      <c r="I27" s="1629"/>
      <c r="J27" s="1628"/>
      <c r="K27" s="1630"/>
      <c r="L27" s="1630"/>
      <c r="M27" s="1630"/>
      <c r="N27" s="1630"/>
      <c r="O27" s="1629"/>
    </row>
    <row r="28" spans="1:15" ht="20.25" customHeight="1" x14ac:dyDescent="0.35">
      <c r="A28" s="1625" t="s">
        <v>1889</v>
      </c>
      <c r="B28" s="1626"/>
      <c r="C28" s="1626"/>
      <c r="D28" s="1626"/>
      <c r="E28" s="1627"/>
      <c r="F28" s="1628"/>
      <c r="G28" s="1629"/>
      <c r="H28" s="1628"/>
      <c r="I28" s="1629"/>
      <c r="J28" s="1628"/>
      <c r="K28" s="1630"/>
      <c r="L28" s="1630"/>
      <c r="M28" s="1630"/>
      <c r="N28" s="1630"/>
      <c r="O28" s="1629"/>
    </row>
    <row r="29" spans="1:15" ht="20.25" customHeight="1" x14ac:dyDescent="0.35">
      <c r="A29" s="1625" t="s">
        <v>1890</v>
      </c>
      <c r="B29" s="1626"/>
      <c r="C29" s="1626"/>
      <c r="D29" s="1626"/>
      <c r="E29" s="1627"/>
      <c r="F29" s="1628"/>
      <c r="G29" s="1629"/>
      <c r="H29" s="1628"/>
      <c r="I29" s="1629"/>
      <c r="J29" s="1628"/>
      <c r="K29" s="1630"/>
      <c r="L29" s="1630"/>
      <c r="M29" s="1630"/>
      <c r="N29" s="1630"/>
      <c r="O29" s="1629"/>
    </row>
    <row r="30" spans="1:15" ht="20.25" customHeight="1" x14ac:dyDescent="0.35">
      <c r="A30" s="1625" t="s">
        <v>1891</v>
      </c>
      <c r="B30" s="1626"/>
      <c r="C30" s="1626"/>
      <c r="D30" s="1626"/>
      <c r="E30" s="1627"/>
      <c r="F30" s="1628"/>
      <c r="G30" s="1629"/>
      <c r="H30" s="1628"/>
      <c r="I30" s="1629"/>
      <c r="J30" s="1628"/>
      <c r="K30" s="1630"/>
      <c r="L30" s="1630"/>
      <c r="M30" s="1630"/>
      <c r="N30" s="1630"/>
      <c r="O30" s="1629"/>
    </row>
    <row r="31" spans="1:15" ht="20.25" customHeight="1" x14ac:dyDescent="0.35">
      <c r="A31" s="1625" t="s">
        <v>1898</v>
      </c>
      <c r="B31" s="1626"/>
      <c r="C31" s="1626"/>
      <c r="D31" s="1626"/>
      <c r="E31" s="1627"/>
      <c r="F31" s="1628"/>
      <c r="G31" s="1629"/>
      <c r="H31" s="1628"/>
      <c r="I31" s="1629"/>
      <c r="J31" s="1628"/>
      <c r="K31" s="1630"/>
      <c r="L31" s="1630"/>
      <c r="M31" s="1630"/>
      <c r="N31" s="1630"/>
      <c r="O31" s="1629"/>
    </row>
    <row r="33" spans="1:15" ht="9.75" customHeight="1" x14ac:dyDescent="0.3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35">
      <c r="A34" s="916" t="s">
        <v>1900</v>
      </c>
      <c r="B34" s="917"/>
      <c r="O34" s="155"/>
    </row>
    <row r="35" spans="1:15" ht="7.5" customHeight="1" x14ac:dyDescent="0.35">
      <c r="A35" s="916"/>
      <c r="B35" s="917"/>
      <c r="O35" s="155"/>
    </row>
    <row r="36" spans="1:15" x14ac:dyDescent="0.35">
      <c r="A36" s="1622" t="s">
        <v>1901</v>
      </c>
      <c r="B36" s="1623"/>
      <c r="C36" s="1623"/>
      <c r="D36" s="1623"/>
      <c r="E36" s="1623"/>
      <c r="F36" s="1623"/>
      <c r="G36" s="1623"/>
      <c r="H36" s="1623"/>
      <c r="I36" s="1623"/>
      <c r="J36" s="1623"/>
      <c r="K36" s="1623"/>
      <c r="L36" s="1623"/>
      <c r="M36" s="1623"/>
      <c r="N36" s="1623"/>
      <c r="O36" s="1624"/>
    </row>
    <row r="37" spans="1:15" x14ac:dyDescent="0.35">
      <c r="A37" s="1622"/>
      <c r="B37" s="1623"/>
      <c r="C37" s="1623"/>
      <c r="D37" s="1623"/>
      <c r="E37" s="1623"/>
      <c r="F37" s="1623"/>
      <c r="G37" s="1623"/>
      <c r="H37" s="1623"/>
      <c r="I37" s="1623"/>
      <c r="J37" s="1623"/>
      <c r="K37" s="1623"/>
      <c r="L37" s="1623"/>
      <c r="M37" s="1623"/>
      <c r="N37" s="1623"/>
      <c r="O37" s="1624"/>
    </row>
    <row r="38" spans="1:15" x14ac:dyDescent="0.3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35">
      <c r="A39" s="1632" t="s">
        <v>1902</v>
      </c>
      <c r="B39" s="1633"/>
      <c r="C39" s="1633"/>
      <c r="D39" s="1633"/>
      <c r="E39" s="1634"/>
      <c r="F39" s="1634"/>
      <c r="G39" s="1634"/>
      <c r="H39" s="1634"/>
      <c r="I39" s="1248" t="s">
        <v>1903</v>
      </c>
      <c r="J39" s="1248"/>
      <c r="K39" s="157"/>
      <c r="L39" s="157"/>
      <c r="M39" s="157"/>
      <c r="N39" s="157"/>
      <c r="O39" s="155"/>
    </row>
    <row r="40" spans="1:15" ht="21" customHeight="1" x14ac:dyDescent="0.35">
      <c r="A40" s="921" t="s">
        <v>1079</v>
      </c>
      <c r="B40" s="1631"/>
      <c r="C40" s="1631"/>
      <c r="D40" s="1631"/>
      <c r="E40" s="1631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35">
      <c r="A41" s="914"/>
      <c r="B41" s="914"/>
    </row>
  </sheetData>
  <mergeCells count="83"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  <mergeCell ref="F12:G12"/>
    <mergeCell ref="H12:I12"/>
    <mergeCell ref="J12:O12"/>
    <mergeCell ref="A13:E13"/>
    <mergeCell ref="F13:G13"/>
    <mergeCell ref="H13:I13"/>
    <mergeCell ref="J13:O13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F27:G27"/>
    <mergeCell ref="H27:I27"/>
    <mergeCell ref="J27:O27"/>
    <mergeCell ref="A25:E25"/>
    <mergeCell ref="F25:G25"/>
    <mergeCell ref="H25:I25"/>
    <mergeCell ref="J25:O25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796875" defaultRowHeight="14.5" x14ac:dyDescent="0.35"/>
  <cols>
    <col min="1" max="2" width="2.7265625" customWidth="1"/>
    <col min="3" max="36" width="4" customWidth="1"/>
    <col min="130" max="130" width="9.1796875" customWidth="1"/>
  </cols>
  <sheetData>
    <row r="1" spans="1:36" ht="16.5" customHeight="1" x14ac:dyDescent="0.35">
      <c r="A1" s="1690" t="s">
        <v>23</v>
      </c>
      <c r="B1" s="1691"/>
      <c r="C1" s="1692"/>
      <c r="D1" s="1677" t="s">
        <v>967</v>
      </c>
      <c r="E1" s="1135"/>
      <c r="F1" s="1135"/>
      <c r="G1" s="1135"/>
      <c r="H1" s="1135"/>
      <c r="I1" s="1135"/>
      <c r="J1" s="1135"/>
      <c r="K1" s="1135"/>
      <c r="L1" s="1135"/>
      <c r="M1" s="1135"/>
      <c r="N1" s="1135"/>
      <c r="O1" s="1135"/>
      <c r="P1" s="1135"/>
      <c r="Q1" s="1135"/>
      <c r="R1" s="1135"/>
      <c r="S1" s="1135"/>
      <c r="T1" s="1135"/>
      <c r="U1" s="1135"/>
      <c r="V1" s="1135"/>
      <c r="W1" s="1135"/>
      <c r="X1" s="1135"/>
      <c r="Y1" s="1135"/>
      <c r="Z1" s="1135"/>
      <c r="AA1" s="1135"/>
      <c r="AB1" s="1135"/>
      <c r="AC1" s="1135"/>
      <c r="AD1" s="1135"/>
      <c r="AE1" s="1135"/>
      <c r="AF1" s="1135"/>
      <c r="AG1" s="1135"/>
      <c r="AH1" s="1135"/>
      <c r="AI1" s="1135"/>
      <c r="AJ1" s="1136"/>
    </row>
    <row r="2" spans="1:36" ht="15.75" customHeight="1" x14ac:dyDescent="0.35">
      <c r="A2" s="1693"/>
      <c r="B2" s="1139"/>
      <c r="C2" s="1144"/>
      <c r="D2" s="1691" t="s">
        <v>24</v>
      </c>
      <c r="E2" s="1691"/>
      <c r="F2" s="1691"/>
      <c r="G2" s="1691"/>
      <c r="H2" s="1691"/>
      <c r="I2" s="1691"/>
      <c r="J2" s="1691"/>
      <c r="K2" s="1691"/>
      <c r="L2" s="1690" t="s">
        <v>1062</v>
      </c>
      <c r="M2" s="1691"/>
      <c r="N2" s="1691"/>
      <c r="O2" s="1691"/>
      <c r="P2" s="1691"/>
      <c r="Q2" s="1691"/>
      <c r="R2" s="1691"/>
      <c r="S2" s="1691"/>
      <c r="T2" s="1128" t="s">
        <v>25</v>
      </c>
      <c r="U2" s="1128"/>
      <c r="V2" s="1128"/>
      <c r="W2" s="1128"/>
      <c r="X2" s="1128"/>
      <c r="Y2" s="1128"/>
      <c r="Z2" s="1128"/>
      <c r="AA2" s="1128"/>
      <c r="AB2" s="1128" t="s">
        <v>26</v>
      </c>
      <c r="AC2" s="1128"/>
      <c r="AD2" s="1128"/>
      <c r="AE2" s="1128"/>
      <c r="AF2" s="1128"/>
      <c r="AG2" s="1128"/>
      <c r="AH2" s="1128"/>
      <c r="AI2" s="1128"/>
      <c r="AJ2" s="1128"/>
    </row>
    <row r="3" spans="1:36" ht="13.5" customHeight="1" thickBot="1" x14ac:dyDescent="0.4">
      <c r="A3" s="1694"/>
      <c r="B3" s="1695"/>
      <c r="C3" s="1696"/>
      <c r="D3" s="1647" t="s">
        <v>1118</v>
      </c>
      <c r="E3" s="1648"/>
      <c r="F3" s="1648"/>
      <c r="G3" s="1648"/>
      <c r="H3" s="1648"/>
      <c r="I3" s="1648"/>
      <c r="J3" s="1648"/>
      <c r="K3" s="1648"/>
      <c r="L3" s="1648"/>
      <c r="M3" s="1648"/>
      <c r="N3" s="1648"/>
      <c r="O3" s="1648"/>
      <c r="P3" s="1648"/>
      <c r="Q3" s="1648"/>
      <c r="R3" s="1648"/>
      <c r="S3" s="1648"/>
      <c r="T3" s="1649"/>
      <c r="U3" s="1649"/>
      <c r="V3" s="1649"/>
      <c r="W3" s="1649"/>
      <c r="X3" s="1649"/>
      <c r="Y3" s="1649"/>
      <c r="Z3" s="1649"/>
      <c r="AA3" s="1668" t="s">
        <v>1043</v>
      </c>
      <c r="AB3" s="1668"/>
      <c r="AC3" s="1668"/>
      <c r="AD3" s="1669"/>
      <c r="AE3" s="1671"/>
      <c r="AF3" s="1672"/>
      <c r="AG3" s="1672"/>
      <c r="AH3" s="1672"/>
      <c r="AI3" s="1673"/>
      <c r="AJ3" s="650"/>
    </row>
    <row r="4" spans="1:36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7" t="s">
        <v>1033</v>
      </c>
      <c r="AB4" s="1667"/>
      <c r="AC4" s="1667"/>
      <c r="AD4" s="1667"/>
      <c r="AE4" s="240"/>
      <c r="AF4" s="240"/>
      <c r="AG4" s="240"/>
      <c r="AH4" s="450"/>
      <c r="AI4" s="450"/>
    </row>
    <row r="5" spans="1:36" ht="15" customHeight="1" thickBot="1" x14ac:dyDescent="0.4">
      <c r="A5" s="240"/>
      <c r="B5" s="1668" t="s">
        <v>27</v>
      </c>
      <c r="C5" s="1668"/>
      <c r="D5" s="1668"/>
      <c r="E5" s="1669"/>
      <c r="F5" s="1556" t="str">
        <f>IF(Data!B1&lt;&gt;"", Data!B1, " ")</f>
        <v>2025-AR-109</v>
      </c>
      <c r="G5" s="1653"/>
      <c r="H5" s="1653"/>
      <c r="I5" s="1653"/>
      <c r="J5" s="1557"/>
      <c r="K5" s="1654" t="s">
        <v>28</v>
      </c>
      <c r="L5" s="1655"/>
      <c r="M5" s="1656"/>
      <c r="N5" s="1556">
        <f>IF(Data!B2&lt;&gt;"", Data!B2, " ")</f>
        <v>13845937</v>
      </c>
      <c r="O5" s="1653"/>
      <c r="P5" s="1653"/>
      <c r="Q5" s="1653"/>
      <c r="R5" s="1557"/>
      <c r="S5" s="1654" t="s">
        <v>1065</v>
      </c>
      <c r="T5" s="1655"/>
      <c r="U5" s="1656"/>
      <c r="V5" s="1556">
        <f>IF(Data!B5&lt;&gt;"",Data!B5," ")</f>
        <v>1080537</v>
      </c>
      <c r="W5" s="1653"/>
      <c r="X5" s="1653"/>
      <c r="Y5" s="1653"/>
      <c r="Z5" s="1557"/>
      <c r="AA5" s="1667"/>
      <c r="AB5" s="1667"/>
      <c r="AC5" s="1667"/>
      <c r="AD5" s="1667"/>
      <c r="AE5" s="1678">
        <f>IF(Data!B6&lt;&gt;"",Data!B6," ")</f>
        <v>46002</v>
      </c>
      <c r="AF5" s="1679"/>
      <c r="AG5" s="1679"/>
      <c r="AH5" s="1679"/>
      <c r="AI5" s="1680"/>
    </row>
    <row r="6" spans="1:36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7"/>
      <c r="AB6" s="1667"/>
      <c r="AC6" s="1667"/>
      <c r="AD6" s="1667"/>
      <c r="AE6" s="449"/>
      <c r="AF6" s="449"/>
      <c r="AG6" s="450"/>
      <c r="AH6" s="450"/>
      <c r="AI6" s="450"/>
    </row>
    <row r="7" spans="1:36" ht="15" customHeight="1" thickBot="1" x14ac:dyDescent="0.4">
      <c r="D7" s="1655" t="s">
        <v>29</v>
      </c>
      <c r="E7" s="1656"/>
      <c r="F7" s="1556" t="str">
        <f>IF(LEN(Data!B3)&gt;3,IF(AND(Data!B43&lt;&gt;"",Data!B43&lt;&gt;"0 0/1"""),Data!B43,""),IF(Data!B3&lt;&gt;"",Data!B3&amp;"""",""))</f>
        <v>8 3/8"</v>
      </c>
      <c r="G7" s="1653"/>
      <c r="H7" s="1653"/>
      <c r="I7" s="1653"/>
      <c r="J7" s="1557"/>
      <c r="L7" s="1655" t="s">
        <v>31</v>
      </c>
      <c r="M7" s="1656"/>
      <c r="N7" s="1556" t="str">
        <f>IF(Data!B4&lt;&gt;"",Data!B4," ")</f>
        <v>MM65DH-1</v>
      </c>
      <c r="O7" s="1653"/>
      <c r="P7" s="1653"/>
      <c r="Q7" s="1653"/>
      <c r="R7" s="1557"/>
      <c r="S7" s="1654" t="s">
        <v>32</v>
      </c>
      <c r="T7" s="1655"/>
      <c r="U7" s="1656"/>
      <c r="V7" s="1556" t="str">
        <f>IF(Data!B7&lt;&gt;"",Data!B7, " ")</f>
        <v>SAUDI ARAMCO</v>
      </c>
      <c r="W7" s="1653"/>
      <c r="X7" s="1653"/>
      <c r="Y7" s="1653"/>
      <c r="Z7" s="1557"/>
      <c r="AA7" s="1697" t="s">
        <v>33</v>
      </c>
      <c r="AB7" s="1668"/>
      <c r="AC7" s="1668"/>
      <c r="AD7" s="1669"/>
      <c r="AE7" s="1556">
        <f>IF(Data!B24&lt;&gt;"",Data!B24," ")</f>
        <v>6600048646</v>
      </c>
      <c r="AF7" s="1653"/>
      <c r="AG7" s="1653"/>
      <c r="AH7" s="1653"/>
      <c r="AI7" s="1557"/>
    </row>
    <row r="8" spans="1:36" ht="32.25" customHeight="1" thickBot="1" x14ac:dyDescent="0.4">
      <c r="A8" s="1670" t="s">
        <v>1492</v>
      </c>
      <c r="B8" s="1670"/>
      <c r="C8" s="1670"/>
      <c r="D8" s="1670"/>
      <c r="E8" s="1670"/>
      <c r="F8" s="1670"/>
      <c r="G8" s="1670"/>
      <c r="H8" s="1670"/>
      <c r="I8" s="1670"/>
      <c r="J8" s="1670"/>
      <c r="K8" s="1670"/>
      <c r="L8" s="1670"/>
      <c r="M8" s="1670"/>
      <c r="N8" s="1670"/>
      <c r="O8" s="1670"/>
      <c r="P8" s="1670"/>
      <c r="Q8" s="1670"/>
      <c r="R8" s="1670"/>
      <c r="S8" s="1670"/>
      <c r="T8" s="1670"/>
      <c r="U8" s="1670"/>
      <c r="V8" s="1670"/>
      <c r="W8" s="1670"/>
      <c r="X8" s="1670"/>
      <c r="Y8" s="1670"/>
      <c r="Z8" s="1670"/>
      <c r="AA8" s="1670"/>
      <c r="AB8" s="1670"/>
      <c r="AC8" s="1670"/>
      <c r="AD8" s="1670"/>
      <c r="AE8" s="1670"/>
      <c r="AF8" s="1670"/>
      <c r="AG8" s="1670"/>
      <c r="AH8" s="1670"/>
      <c r="AI8" s="1670"/>
      <c r="AJ8" s="1670"/>
    </row>
    <row r="9" spans="1:36" ht="12" customHeight="1" x14ac:dyDescent="0.35">
      <c r="A9" s="1664" t="s">
        <v>17</v>
      </c>
      <c r="B9" s="1665"/>
      <c r="C9" s="1665"/>
      <c r="D9" s="1665"/>
      <c r="E9" s="1665"/>
      <c r="F9" s="1665"/>
      <c r="G9" s="1665"/>
      <c r="H9" s="1665"/>
      <c r="I9" s="1665"/>
      <c r="J9" s="1665"/>
      <c r="K9" s="1665"/>
      <c r="L9" s="1665"/>
      <c r="M9" s="1665"/>
      <c r="N9" s="1665"/>
      <c r="O9" s="1665"/>
      <c r="P9" s="1665"/>
      <c r="Q9" s="1665"/>
      <c r="R9" s="1665"/>
      <c r="S9" s="1665"/>
      <c r="T9" s="1665"/>
      <c r="U9" s="1665"/>
      <c r="V9" s="1665"/>
      <c r="W9" s="1665"/>
      <c r="X9" s="1665"/>
      <c r="Y9" s="1665"/>
      <c r="Z9" s="1665"/>
      <c r="AA9" s="1665"/>
      <c r="AB9" s="1665"/>
      <c r="AC9" s="1665"/>
      <c r="AD9" s="1665"/>
      <c r="AE9" s="1665"/>
      <c r="AF9" s="1665"/>
      <c r="AG9" s="1665"/>
      <c r="AH9" s="1665"/>
      <c r="AI9" s="1665"/>
      <c r="AJ9" s="1666"/>
    </row>
    <row r="10" spans="1:36" ht="12.75" customHeight="1" thickBot="1" x14ac:dyDescent="0.4">
      <c r="A10" s="484"/>
      <c r="B10" s="401"/>
      <c r="C10" s="396" t="str">
        <f>IF(Data!BR42&lt;&gt;"",Data!BR42,"")</f>
        <v>1a</v>
      </c>
      <c r="D10" s="396" t="str">
        <f>IF(Data!BS42&lt;&gt;"",Data!BS42,"")</f>
        <v>2a</v>
      </c>
      <c r="E10" s="396" t="str">
        <f>IF(Data!BT42&lt;&gt;"",Data!BT42,"")</f>
        <v>3a</v>
      </c>
      <c r="F10" s="396" t="str">
        <f>IF(Data!BU42&lt;&gt;"",Data!BU42,"")</f>
        <v>4a</v>
      </c>
      <c r="G10" s="396" t="str">
        <f>IF(Data!BV42&lt;&gt;"",Data!BV42,"")</f>
        <v>5a</v>
      </c>
      <c r="H10" s="396" t="str">
        <f>IF(Data!BW42&lt;&gt;"",Data!BW42,"")</f>
        <v>6a</v>
      </c>
      <c r="I10" s="396" t="str">
        <f>IF(Data!BX42&lt;&gt;"",Data!BX42,"")</f>
        <v>7a</v>
      </c>
      <c r="J10" s="396" t="str">
        <f>IF(Data!BY42&lt;&gt;"",Data!BY42,"")</f>
        <v>8a</v>
      </c>
      <c r="K10" s="396" t="str">
        <f>IF(Data!BZ42&lt;&gt;"",Data!BZ42,"")</f>
        <v>0a</v>
      </c>
      <c r="L10" s="396" t="str">
        <f>IF(Data!CA42&lt;&gt;"",Data!CA42,"")</f>
        <v>1b</v>
      </c>
      <c r="M10" s="396" t="str">
        <f>IF(Data!CB42&lt;&gt;"",Data!CB42,"")</f>
        <v>2b</v>
      </c>
      <c r="N10" s="396" t="str">
        <f>IF(Data!CC42&lt;&gt;"",Data!CC42,"")</f>
        <v>3b</v>
      </c>
      <c r="O10" s="396" t="str">
        <f>IF(Data!CD42&lt;&gt;"",Data!CD42,"")</f>
        <v>4b</v>
      </c>
      <c r="P10" s="396" t="str">
        <f>IF(Data!CE42&lt;&gt;"",Data!CE42,"")</f>
        <v>0a</v>
      </c>
      <c r="Q10" s="396" t="str">
        <f>IF(Data!CF42&lt;&gt;"",Data!CF42,"")</f>
        <v>0a</v>
      </c>
      <c r="R10" s="396" t="str">
        <f>IF(Data!CG42&lt;&gt;"",Data!CG42,"")</f>
        <v>0a</v>
      </c>
      <c r="S10" s="396" t="str">
        <f>IF(Data!CH42&lt;&gt;"",Data!CH42,"")</f>
        <v>0a</v>
      </c>
      <c r="T10" s="396" t="str">
        <f>IF(Data!CI42&lt;&gt;"",Data!CI42,"")</f>
        <v>0a</v>
      </c>
      <c r="U10" s="396" t="str">
        <f>IF(Data!CJ42&lt;&gt;"",Data!CJ42,"")</f>
        <v>0a</v>
      </c>
      <c r="V10" s="396" t="str">
        <f>IF(Data!CK42&lt;&gt;"",Data!CK42,"")</f>
        <v>0a</v>
      </c>
      <c r="W10" s="396" t="str">
        <f>IF(Data!CL42&lt;&gt;"",Data!CL42,"")</f>
        <v>0a</v>
      </c>
      <c r="X10" s="396" t="str">
        <f>IF(Data!CM42&lt;&gt;"",Data!CM42,"")</f>
        <v>0a</v>
      </c>
      <c r="Y10" s="396" t="str">
        <f>IF(Data!CN42&lt;&gt;"",Data!CN42,"")</f>
        <v>0a</v>
      </c>
      <c r="Z10" s="396" t="str">
        <f>IF(Data!CO42&lt;&gt;"",Data!CO42,"")</f>
        <v>0a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5" customHeight="1" x14ac:dyDescent="0.35">
      <c r="A11" s="1658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>S1</v>
      </c>
      <c r="D11" s="262" t="str">
        <f>IF(Data!$L$32=1,IF(OR(Data!$L$2=1,Data!$L$3=1),IF(OR(Data!BS46=0,Data!BS46=""),"","O"&amp;Data!BS46),IF('ARDT Cutter Entry'!$C$111&lt;&gt;"",'ARDT Cutter Entry'!D111,'ARDT Cutter Entry'!D43)),"")</f>
        <v>S1</v>
      </c>
      <c r="E11" s="262" t="str">
        <f>IF(Data!$L$32=1,IF(OR(Data!$L$2=1,Data!$L$3=1),IF(OR(Data!BT46=0,Data!BT46=""),"","O"&amp;Data!BT46),IF('ARDT Cutter Entry'!$C$111&lt;&gt;"",'ARDT Cutter Entry'!E111,'ARDT Cutter Entry'!E43)),"")</f>
        <v>S1</v>
      </c>
      <c r="F11" s="262" t="str">
        <f>IF(Data!$L$32=1,IF(OR(Data!$L$2=1,Data!$L$3=1),IF(OR(Data!BU46=0,Data!BU46=""),"","O"&amp;Data!BU46),IF('ARDT Cutter Entry'!$C$111&lt;&gt;"",'ARDT Cutter Entry'!F111,'ARDT Cutter Entry'!F43)),"")</f>
        <v>S1</v>
      </c>
      <c r="G11" s="262" t="str">
        <f>IF(Data!$L$32=1,IF(OR(Data!$L$2=1,Data!$L$3=1),IF(OR(Data!BV46=0,Data!BV46=""),"","O"&amp;Data!BV46),IF('ARDT Cutter Entry'!$C$111&lt;&gt;"",'ARDT Cutter Entry'!G111,'ARDT Cutter Entry'!G43)),"")</f>
        <v>S1</v>
      </c>
      <c r="H11" s="262" t="str">
        <f>IF(Data!$L$32=1,IF(OR(Data!$L$2=1,Data!$L$3=1),IF(OR(Data!BW46=0,Data!BW46=""),"","O"&amp;Data!BW46),IF('ARDT Cutter Entry'!$C$111&lt;&gt;"",'ARDT Cutter Entry'!H111,'ARDT Cutter Entry'!H43)),"")</f>
        <v>X1</v>
      </c>
      <c r="I11" s="262" t="str">
        <f>IF(Data!$L$32=1,IF(OR(Data!$L$2=1,Data!$L$3=1),IF(OR(Data!BX46=0,Data!BX46=""),"","O"&amp;Data!BX46),IF('ARDT Cutter Entry'!$C$111&lt;&gt;"",'ARDT Cutter Entry'!I111,'ARDT Cutter Entry'!I43)),"")</f>
        <v>R1</v>
      </c>
      <c r="J11" s="262" t="str">
        <f>IF(Data!$L$32=1,IF(OR(Data!$L$2=1,Data!$L$3=1),IF(OR(Data!BY46=0,Data!BY46=""),"","O"&amp;Data!BY46),IF('ARDT Cutter Entry'!$C$111&lt;&gt;"",'ARDT Cutter Entry'!J111,'ARDT Cutter Entry'!J43)),"")</f>
        <v>X3</v>
      </c>
      <c r="K11" s="262" t="str">
        <f>IF(Data!$L$32=1,IF(OR(Data!$L$2=1,Data!$L$3=1),IF(OR(Data!BZ46=0,Data!BZ46=""),"","O"&amp;Data!BZ46),IF('ARDT Cutter Entry'!$C$111&lt;&gt;"",'ARDT Cutter Entry'!K111,'ARDT Cutter Entry'!K43)),"")</f>
        <v/>
      </c>
      <c r="L11" s="262" t="str">
        <f>IF(Data!$L$32=1,IF(OR(Data!$L$2=1,Data!$L$3=1),IF(OR(Data!CA46=0,Data!CA46=""),"","O"&amp;Data!CA46),IF('ARDT Cutter Entry'!$C$111&lt;&gt;"",'ARDT Cutter Entry'!L111,'ARDT Cutter Entry'!L43)),"")</f>
        <v>S2</v>
      </c>
      <c r="M11" s="262" t="str">
        <f>IF(Data!$L$32=1,IF(OR(Data!$L$2=1,Data!$L$3=1),IF(OR(Data!CB46=0,Data!CB46=""),"","O"&amp;Data!CB46),IF('ARDT Cutter Entry'!$C$111&lt;&gt;"",'ARDT Cutter Entry'!M111,'ARDT Cutter Entry'!M43)),"")</f>
        <v>S2</v>
      </c>
      <c r="N11" s="262" t="str">
        <f>IF(Data!$L$32=1,IF(OR(Data!$L$2=1,Data!$L$3=1),IF(OR(Data!CC46=0,Data!CC46=""),"","O"&amp;Data!CC46),IF('ARDT Cutter Entry'!$C$111&lt;&gt;"",'ARDT Cutter Entry'!N111,'ARDT Cutter Entry'!N43)),"")</f>
        <v>X2</v>
      </c>
      <c r="O11" s="262" t="str">
        <f>IF(Data!$L$32=1,IF(OR(Data!$L$2=1,Data!$L$3=1),IF(OR(Data!CD46=0,Data!CD46=""),"","O"&amp;Data!CD46),IF('ARDT Cutter Entry'!$C$111&lt;&gt;"",'ARDT Cutter Entry'!O111,'ARDT Cutter Entry'!O43)),"")</f>
        <v>X2</v>
      </c>
      <c r="P11" s="262" t="str">
        <f>IF(Data!$L$32=1,IF(OR(Data!$L$2=1,Data!$L$3=1),IF(OR(Data!CE46=0,Data!CE46=""),"","O"&amp;Data!CE46),IF('ARDT Cutter Entry'!$C$111&lt;&gt;"",'ARDT Cutter Entry'!P111,'ARDT Cutter Entry'!P43)),"")</f>
        <v/>
      </c>
      <c r="Q11" s="262" t="str">
        <f>IF(Data!$L$32=1,IF(OR(Data!$L$2=1,Data!$L$3=1),IF(OR(Data!CF46=0,Data!CF46=""),"","O"&amp;Data!CF46),IF('ARDT Cutter Entry'!$C$111&lt;&gt;"",'ARDT Cutter Entry'!Q111,'ARDT Cutter Entry'!Q43)),"")</f>
        <v/>
      </c>
      <c r="R11" s="262" t="str">
        <f>IF(Data!$L$32=1,IF(OR(Data!$L$2=1,Data!$L$3=1),IF(OR(Data!CG46=0,Data!CG46=""),"","O"&amp;Data!CG46),IF('ARDT Cutter Entry'!$C$111&lt;&gt;"",'ARDT Cutter Entry'!R111,'ARDT Cutter Entry'!R43)),"")</f>
        <v/>
      </c>
      <c r="S11" s="262" t="str">
        <f>IF(Data!$L$32=1,IF(OR(Data!$L$2=1,Data!$L$3=1),IF(OR(Data!CH46=0,Data!CH46=""),"","O"&amp;Data!CH46),IF('ARDT Cutter Entry'!$C$111&lt;&gt;"",'ARDT Cutter Entry'!S111,'ARDT Cutter Entry'!S43)),"")</f>
        <v/>
      </c>
      <c r="T11" s="262" t="str">
        <f>IF(Data!$L$32=1,IF(OR(Data!$L$2=1,Data!$L$3=1),IF(OR(Data!CI46=0,Data!CI46=""),"","O"&amp;Data!CI46),IF('ARDT Cutter Entry'!$C$111&lt;&gt;"",'ARDT Cutter Entry'!T111,'ARDT Cutter Entry'!T43)),"")</f>
        <v/>
      </c>
      <c r="U11" s="262" t="str">
        <f>IF(Data!$L$32=1,IF(OR(Data!$L$2=1,Data!$L$3=1),IF(OR(Data!CJ46=0,Data!CJ46=""),"","O"&amp;Data!CJ46),IF('ARDT Cutter Entry'!$C$111&lt;&gt;"",'ARDT Cutter Entry'!U111,'ARDT Cutter Entry'!U43)),"")</f>
        <v/>
      </c>
      <c r="V11" s="262" t="str">
        <f>IF(Data!$L$32=1,IF(OR(Data!$L$2=1,Data!$L$3=1),IF(OR(Data!CK46=0,Data!CK46=""),"","O"&amp;Data!CK46),IF('ARDT Cutter Entry'!$C$111&lt;&gt;"",'ARDT Cutter Entry'!V111,'ARDT Cutter Entry'!V43)),"")</f>
        <v/>
      </c>
      <c r="W11" s="262" t="str">
        <f>IF(Data!$L$32=1,IF(OR(Data!$L$2=1,Data!$L$3=1),IF(OR(Data!CL46=0,Data!CL46=""),"","O"&amp;Data!CL46),IF('ARDT Cutter Entry'!$C$111&lt;&gt;"",'ARDT Cutter Entry'!W111,'ARDT Cutter Entry'!W43)),"")</f>
        <v/>
      </c>
      <c r="X11" s="262" t="str">
        <f>IF(Data!$L$32=1,IF(OR(Data!$L$2=1,Data!$L$3=1),IF(OR(Data!CM46=0,Data!CM46=""),"","O"&amp;Data!CM46),IF('ARDT Cutter Entry'!$C$111&lt;&gt;"",'ARDT Cutter Entry'!X111,'ARDT Cutter Entry'!X43)),"")</f>
        <v/>
      </c>
      <c r="Y11" s="262" t="str">
        <f>IF(Data!$L$32=1,IF(OR(Data!$L$2=1,Data!$L$3=1),IF(OR(Data!CN46=0,Data!CN46=""),"","O"&amp;Data!CN46),IF('ARDT Cutter Entry'!$C$111&lt;&gt;"",'ARDT Cutter Entry'!Y111,'ARDT Cutter Entry'!Y43)),"")</f>
        <v/>
      </c>
      <c r="Z11" s="262" t="str">
        <f>IF(Data!$L$32=1,IF(OR(Data!$L$2=1,Data!$L$3=1),IF(OR(Data!CO46=0,Data!CO46=""),"","O"&amp;Data!CO46),IF('ARDT Cutter Entry'!$C$111&lt;&gt;"",'ARDT Cutter Entry'!Z111,'ARDT Cutter Entry'!Z43)),"")</f>
        <v/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5" customHeight="1" x14ac:dyDescent="0.35">
      <c r="A12" s="1659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>S1</v>
      </c>
      <c r="D12" s="167" t="str">
        <f>IF(Data!$L$32=1,IF(OR(Data!$L$2=1,Data!$L$3=1),IF(OR(Data!BS47=0,Data!BS47=""),"","O"&amp;Data!BS47),IF('ARDT Cutter Entry'!$C$111&lt;&gt;"",'ARDT Cutter Entry'!D112,'ARDT Cutter Entry'!D44)),"")</f>
        <v>S1</v>
      </c>
      <c r="E12" s="167" t="str">
        <f>IF(Data!$L$32=1,IF(OR(Data!$L$2=1,Data!$L$3=1),IF(OR(Data!BT47=0,Data!BT47=""),"","O"&amp;Data!BT47),IF('ARDT Cutter Entry'!$C$111&lt;&gt;"",'ARDT Cutter Entry'!E112,'ARDT Cutter Entry'!E44)),"")</f>
        <v>X1</v>
      </c>
      <c r="F12" s="167" t="str">
        <f>IF(Data!$L$32=1,IF(OR(Data!$L$2=1,Data!$L$3=1),IF(OR(Data!BU47=0,Data!BU47=""),"","O"&amp;Data!BU47),IF('ARDT Cutter Entry'!$C$111&lt;&gt;"",'ARDT Cutter Entry'!F112,'ARDT Cutter Entry'!F44)),"")</f>
        <v>R1</v>
      </c>
      <c r="G12" s="167" t="str">
        <f>IF(Data!$L$32=1,IF(OR(Data!$L$2=1,Data!$L$3=1),IF(OR(Data!BV47=0,Data!BV47=""),"","O"&amp;Data!BV47),IF('ARDT Cutter Entry'!$C$111&lt;&gt;"",'ARDT Cutter Entry'!G112,'ARDT Cutter Entry'!G44)),"")</f>
        <v>X3</v>
      </c>
      <c r="H12" s="167" t="str">
        <f>IF(Data!$L$32=1,IF(OR(Data!$L$2=1,Data!$L$3=1),IF(OR(Data!BW47=0,Data!BW47=""),"","O"&amp;Data!BW47),IF('ARDT Cutter Entry'!$C$111&lt;&gt;"",'ARDT Cutter Entry'!H112,'ARDT Cutter Entry'!H44)),"")</f>
        <v/>
      </c>
      <c r="I12" s="167" t="str">
        <f>IF(Data!$L$32=1,IF(OR(Data!$L$2=1,Data!$L$3=1),IF(OR(Data!BX47=0,Data!BX47=""),"","O"&amp;Data!BX47),IF('ARDT Cutter Entry'!$C$111&lt;&gt;"",'ARDT Cutter Entry'!I112,'ARDT Cutter Entry'!I44)),"")</f>
        <v/>
      </c>
      <c r="J12" s="167" t="str">
        <f>IF(Data!$L$32=1,IF(OR(Data!$L$2=1,Data!$L$3=1),IF(OR(Data!BY47=0,Data!BY47=""),"","O"&amp;Data!BY47),IF('ARDT Cutter Entry'!$C$111&lt;&gt;"",'ARDT Cutter Entry'!J112,'ARDT Cutter Entry'!J44)),"")</f>
        <v/>
      </c>
      <c r="K12" s="167" t="str">
        <f>IF(Data!$L$32=1,IF(OR(Data!$L$2=1,Data!$L$3=1),IF(OR(Data!BZ47=0,Data!BZ47=""),"","O"&amp;Data!BZ47),IF('ARDT Cutter Entry'!$C$111&lt;&gt;"",'ARDT Cutter Entry'!K112,'ARDT Cutter Entry'!K44)),"")</f>
        <v/>
      </c>
      <c r="L12" s="167" t="str">
        <f>IF(Data!$L$32=1,IF(OR(Data!$L$2=1,Data!$L$3=1),IF(OR(Data!CA47=0,Data!CA47=""),"","O"&amp;Data!CA47),IF('ARDT Cutter Entry'!$C$111&lt;&gt;"",'ARDT Cutter Entry'!L112,'ARDT Cutter Entry'!L44)),"")</f>
        <v>S2</v>
      </c>
      <c r="M12" s="167" t="str">
        <f>IF(Data!$L$32=1,IF(OR(Data!$L$2=1,Data!$L$3=1),IF(OR(Data!CB47=0,Data!CB47=""),"","O"&amp;Data!CB47),IF('ARDT Cutter Entry'!$C$111&lt;&gt;"",'ARDT Cutter Entry'!M112,'ARDT Cutter Entry'!M44)),"")</f>
        <v>S2</v>
      </c>
      <c r="N12" s="167" t="str">
        <f>IF(Data!$L$32=1,IF(OR(Data!$L$2=1,Data!$L$3=1),IF(OR(Data!CC47=0,Data!CC47=""),"","O"&amp;Data!CC47),IF('ARDT Cutter Entry'!$C$111&lt;&gt;"",'ARDT Cutter Entry'!N112,'ARDT Cutter Entry'!N44)),"")</f>
        <v>S2</v>
      </c>
      <c r="O12" s="167" t="str">
        <f>IF(Data!$L$32=1,IF(OR(Data!$L$2=1,Data!$L$3=1),IF(OR(Data!CD47=0,Data!CD47=""),"","O"&amp;Data!CD47),IF('ARDT Cutter Entry'!$C$111&lt;&gt;"",'ARDT Cutter Entry'!O112,'ARDT Cutter Entry'!O44)),"")</f>
        <v>R2</v>
      </c>
      <c r="P12" s="167" t="str">
        <f>IF(Data!$L$32=1,IF(OR(Data!$L$2=1,Data!$L$3=1),IF(OR(Data!CE47=0,Data!CE47=""),"","O"&amp;Data!CE47),IF('ARDT Cutter Entry'!$C$111&lt;&gt;"",'ARDT Cutter Entry'!P112,'ARDT Cutter Entry'!P44)),"")</f>
        <v/>
      </c>
      <c r="Q12" s="167" t="str">
        <f>IF(Data!$L$32=1,IF(OR(Data!$L$2=1,Data!$L$3=1),IF(OR(Data!CF47=0,Data!CF47=""),"","O"&amp;Data!CF47),IF('ARDT Cutter Entry'!$C$111&lt;&gt;"",'ARDT Cutter Entry'!Q112,'ARDT Cutter Entry'!Q44)),"")</f>
        <v/>
      </c>
      <c r="R12" s="167" t="str">
        <f>IF(Data!$L$32=1,IF(OR(Data!$L$2=1,Data!$L$3=1),IF(OR(Data!CG47=0,Data!CG47=""),"","O"&amp;Data!CG47),IF('ARDT Cutter Entry'!$C$111&lt;&gt;"",'ARDT Cutter Entry'!R112,'ARDT Cutter Entry'!R44)),"")</f>
        <v/>
      </c>
      <c r="S12" s="167" t="str">
        <f>IF(Data!$L$32=1,IF(OR(Data!$L$2=1,Data!$L$3=1),IF(OR(Data!CH47=0,Data!CH47=""),"","O"&amp;Data!CH47),IF('ARDT Cutter Entry'!$C$111&lt;&gt;"",'ARDT Cutter Entry'!S112,'ARDT Cutter Entry'!S44)),"")</f>
        <v/>
      </c>
      <c r="T12" s="167" t="str">
        <f>IF(Data!$L$32=1,IF(OR(Data!$L$2=1,Data!$L$3=1),IF(OR(Data!CI47=0,Data!CI47=""),"","O"&amp;Data!CI47),IF('ARDT Cutter Entry'!$C$111&lt;&gt;"",'ARDT Cutter Entry'!T112,'ARDT Cutter Entry'!T44)),"")</f>
        <v/>
      </c>
      <c r="U12" s="167" t="str">
        <f>IF(Data!$L$32=1,IF(OR(Data!$L$2=1,Data!$L$3=1),IF(OR(Data!CJ47=0,Data!CJ47=""),"","O"&amp;Data!CJ47),IF('ARDT Cutter Entry'!$C$111&lt;&gt;"",'ARDT Cutter Entry'!U112,'ARDT Cutter Entry'!U44)),"")</f>
        <v/>
      </c>
      <c r="V12" s="167" t="str">
        <f>IF(Data!$L$32=1,IF(OR(Data!$L$2=1,Data!$L$3=1),IF(OR(Data!CK47=0,Data!CK47=""),"","O"&amp;Data!CK47),IF('ARDT Cutter Entry'!$C$111&lt;&gt;"",'ARDT Cutter Entry'!V112,'ARDT Cutter Entry'!V44)),"")</f>
        <v/>
      </c>
      <c r="W12" s="167" t="str">
        <f>IF(Data!$L$32=1,IF(OR(Data!$L$2=1,Data!$L$3=1),IF(OR(Data!CL47=0,Data!CL47=""),"","O"&amp;Data!CL47),IF('ARDT Cutter Entry'!$C$111&lt;&gt;"",'ARDT Cutter Entry'!W112,'ARDT Cutter Entry'!W44)),"")</f>
        <v/>
      </c>
      <c r="X12" s="167" t="str">
        <f>IF(Data!$L$32=1,IF(OR(Data!$L$2=1,Data!$L$3=1),IF(OR(Data!CM47=0,Data!CM47=""),"","O"&amp;Data!CM47),IF('ARDT Cutter Entry'!$C$111&lt;&gt;"",'ARDT Cutter Entry'!X112,'ARDT Cutter Entry'!X44)),"")</f>
        <v/>
      </c>
      <c r="Y12" s="167" t="str">
        <f>IF(Data!$L$32=1,IF(OR(Data!$L$2=1,Data!$L$3=1),IF(OR(Data!CN47=0,Data!CN47=""),"","O"&amp;Data!CN47),IF('ARDT Cutter Entry'!$C$111&lt;&gt;"",'ARDT Cutter Entry'!Y112,'ARDT Cutter Entry'!Y44)),"")</f>
        <v/>
      </c>
      <c r="Z12" s="167" t="str">
        <f>IF(Data!$L$32=1,IF(OR(Data!$L$2=1,Data!$L$3=1),IF(OR(Data!CO47=0,Data!CO47=""),"","O"&amp;Data!CO47),IF('ARDT Cutter Entry'!$C$111&lt;&gt;"",'ARDT Cutter Entry'!Z112,'ARDT Cutter Entry'!Z44)),"")</f>
        <v/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5" customHeight="1" x14ac:dyDescent="0.35">
      <c r="A13" s="1659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>S1</v>
      </c>
      <c r="D13" s="167" t="str">
        <f>IF(Data!$L$32=1,IF(OR(Data!$L$2=1,Data!$L$3=1),IF(OR(Data!BS48=0,Data!BS48=""),"","O"&amp;Data!BS48),IF('ARDT Cutter Entry'!$C$111&lt;&gt;"",'ARDT Cutter Entry'!D113,'ARDT Cutter Entry'!D45)),"")</f>
        <v>S1</v>
      </c>
      <c r="E13" s="167" t="str">
        <f>IF(Data!$L$32=1,IF(OR(Data!$L$2=1,Data!$L$3=1),IF(OR(Data!BT48=0,Data!BT48=""),"","O"&amp;Data!BT48),IF('ARDT Cutter Entry'!$C$111&lt;&gt;"",'ARDT Cutter Entry'!E113,'ARDT Cutter Entry'!E45)),"")</f>
        <v>S1</v>
      </c>
      <c r="F13" s="167" t="str">
        <f>IF(Data!$L$32=1,IF(OR(Data!$L$2=1,Data!$L$3=1),IF(OR(Data!BU48=0,Data!BU48=""),"","O"&amp;Data!BU48),IF('ARDT Cutter Entry'!$C$111&lt;&gt;"",'ARDT Cutter Entry'!F113,'ARDT Cutter Entry'!F45)),"")</f>
        <v>S1</v>
      </c>
      <c r="G13" s="167" t="str">
        <f>IF(Data!$L$32=1,IF(OR(Data!$L$2=1,Data!$L$3=1),IF(OR(Data!BV48=0,Data!BV48=""),"","O"&amp;Data!BV48),IF('ARDT Cutter Entry'!$C$111&lt;&gt;"",'ARDT Cutter Entry'!G113,'ARDT Cutter Entry'!G45)),"")</f>
        <v>X1</v>
      </c>
      <c r="H13" s="167" t="str">
        <f>IF(Data!$L$32=1,IF(OR(Data!$L$2=1,Data!$L$3=1),IF(OR(Data!BW48=0,Data!BW48=""),"","O"&amp;Data!BW48),IF('ARDT Cutter Entry'!$C$111&lt;&gt;"",'ARDT Cutter Entry'!H113,'ARDT Cutter Entry'!H45)),"")</f>
        <v>R1</v>
      </c>
      <c r="I13" s="167" t="str">
        <f>IF(Data!$L$32=1,IF(OR(Data!$L$2=1,Data!$L$3=1),IF(OR(Data!BX48=0,Data!BX48=""),"","O"&amp;Data!BX48),IF('ARDT Cutter Entry'!$C$111&lt;&gt;"",'ARDT Cutter Entry'!I113,'ARDT Cutter Entry'!I45)),"")</f>
        <v>X3</v>
      </c>
      <c r="J13" s="167" t="str">
        <f>IF(Data!$L$32=1,IF(OR(Data!$L$2=1,Data!$L$3=1),IF(OR(Data!BY48=0,Data!BY48=""),"","O"&amp;Data!BY48),IF('ARDT Cutter Entry'!$C$111&lt;&gt;"",'ARDT Cutter Entry'!J113,'ARDT Cutter Entry'!J45)),"")</f>
        <v/>
      </c>
      <c r="K13" s="167" t="str">
        <f>IF(Data!$L$32=1,IF(OR(Data!$L$2=1,Data!$L$3=1),IF(OR(Data!BZ48=0,Data!BZ48=""),"","O"&amp;Data!BZ48),IF('ARDT Cutter Entry'!$C$111&lt;&gt;"",'ARDT Cutter Entry'!K113,'ARDT Cutter Entry'!K45)),"")</f>
        <v/>
      </c>
      <c r="L13" s="167" t="str">
        <f>IF(Data!$L$32=1,IF(OR(Data!$L$2=1,Data!$L$3=1),IF(OR(Data!CA48=0,Data!CA48=""),"","O"&amp;Data!CA48),IF('ARDT Cutter Entry'!$C$111&lt;&gt;"",'ARDT Cutter Entry'!L113,'ARDT Cutter Entry'!L45)),"")</f>
        <v>S2</v>
      </c>
      <c r="M13" s="167" t="str">
        <f>IF(Data!$L$32=1,IF(OR(Data!$L$2=1,Data!$L$3=1),IF(OR(Data!CB48=0,Data!CB48=""),"","O"&amp;Data!CB48),IF('ARDT Cutter Entry'!$C$111&lt;&gt;"",'ARDT Cutter Entry'!M113,'ARDT Cutter Entry'!M45)),"")</f>
        <v>S2</v>
      </c>
      <c r="N13" s="167" t="str">
        <f>IF(Data!$L$32=1,IF(OR(Data!$L$2=1,Data!$L$3=1),IF(OR(Data!CC48=0,Data!CC48=""),"","O"&amp;Data!CC48),IF('ARDT Cutter Entry'!$C$111&lt;&gt;"",'ARDT Cutter Entry'!N113,'ARDT Cutter Entry'!N45)),"")</f>
        <v>R2</v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/>
      </c>
      <c r="Q13" s="167" t="str">
        <f>IF(Data!$L$32=1,IF(OR(Data!$L$2=1,Data!$L$3=1),IF(OR(Data!CF48=0,Data!CF48=""),"","O"&amp;Data!CF48),IF('ARDT Cutter Entry'!$C$111&lt;&gt;"",'ARDT Cutter Entry'!Q113,'ARDT Cutter Entry'!Q45)),"")</f>
        <v/>
      </c>
      <c r="R13" s="167" t="str">
        <f>IF(Data!$L$32=1,IF(OR(Data!$L$2=1,Data!$L$3=1),IF(OR(Data!CG48=0,Data!CG48=""),"","O"&amp;Data!CG48),IF('ARDT Cutter Entry'!$C$111&lt;&gt;"",'ARDT Cutter Entry'!R113,'ARDT Cutter Entry'!R45)),"")</f>
        <v/>
      </c>
      <c r="S13" s="167" t="str">
        <f>IF(Data!$L$32=1,IF(OR(Data!$L$2=1,Data!$L$3=1),IF(OR(Data!CH48=0,Data!CH48=""),"","O"&amp;Data!CH48),IF('ARDT Cutter Entry'!$C$111&lt;&gt;"",'ARDT Cutter Entry'!S113,'ARDT Cutter Entry'!S45)),"")</f>
        <v/>
      </c>
      <c r="T13" s="167" t="str">
        <f>IF(Data!$L$32=1,IF(OR(Data!$L$2=1,Data!$L$3=1),IF(OR(Data!CI48=0,Data!CI48=""),"","O"&amp;Data!CI48),IF('ARDT Cutter Entry'!$C$111&lt;&gt;"",'ARDT Cutter Entry'!T113,'ARDT Cutter Entry'!T45)),"")</f>
        <v/>
      </c>
      <c r="U13" s="167" t="str">
        <f>IF(Data!$L$32=1,IF(OR(Data!$L$2=1,Data!$L$3=1),IF(OR(Data!CJ48=0,Data!CJ48=""),"","O"&amp;Data!CJ48),IF('ARDT Cutter Entry'!$C$111&lt;&gt;"",'ARDT Cutter Entry'!U113,'ARDT Cutter Entry'!U45)),"")</f>
        <v/>
      </c>
      <c r="V13" s="167" t="str">
        <f>IF(Data!$L$32=1,IF(OR(Data!$L$2=1,Data!$L$3=1),IF(OR(Data!CK48=0,Data!CK48=""),"","O"&amp;Data!CK48),IF('ARDT Cutter Entry'!$C$111&lt;&gt;"",'ARDT Cutter Entry'!V113,'ARDT Cutter Entry'!V45)),"")</f>
        <v/>
      </c>
      <c r="W13" s="167" t="str">
        <f>IF(Data!$L$32=1,IF(OR(Data!$L$2=1,Data!$L$3=1),IF(OR(Data!CL48=0,Data!CL48=""),"","O"&amp;Data!CL48),IF('ARDT Cutter Entry'!$C$111&lt;&gt;"",'ARDT Cutter Entry'!W113,'ARDT Cutter Entry'!W45)),"")</f>
        <v/>
      </c>
      <c r="X13" s="167" t="str">
        <f>IF(Data!$L$32=1,IF(OR(Data!$L$2=1,Data!$L$3=1),IF(OR(Data!CM48=0,Data!CM48=""),"","O"&amp;Data!CM48),IF('ARDT Cutter Entry'!$C$111&lt;&gt;"",'ARDT Cutter Entry'!X113,'ARDT Cutter Entry'!X45)),"")</f>
        <v/>
      </c>
      <c r="Y13" s="167" t="str">
        <f>IF(Data!$L$32=1,IF(OR(Data!$L$2=1,Data!$L$3=1),IF(OR(Data!CN48=0,Data!CN48=""),"","O"&amp;Data!CN48),IF('ARDT Cutter Entry'!$C$111&lt;&gt;"",'ARDT Cutter Entry'!Y113,'ARDT Cutter Entry'!Y45)),"")</f>
        <v/>
      </c>
      <c r="Z13" s="167" t="str">
        <f>IF(Data!$L$32=1,IF(OR(Data!$L$2=1,Data!$L$3=1),IF(OR(Data!CO48=0,Data!CO48=""),"","O"&amp;Data!CO48),IF('ARDT Cutter Entry'!$C$111&lt;&gt;"",'ARDT Cutter Entry'!Z113,'ARDT Cutter Entry'!Z45)),"")</f>
        <v/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5" customHeight="1" x14ac:dyDescent="0.35">
      <c r="A14" s="1659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>S1</v>
      </c>
      <c r="D14" s="167" t="str">
        <f>IF(Data!$L$32=1,IF(OR(Data!$L$2=1,Data!$L$3=1),IF(OR(Data!BS49=0,Data!BS49=""),"","O"&amp;Data!BS49),IF('ARDT Cutter Entry'!$C$111&lt;&gt;"",'ARDT Cutter Entry'!D114,'ARDT Cutter Entry'!D46)),"")</f>
        <v>S1</v>
      </c>
      <c r="E14" s="167" t="str">
        <f>IF(Data!$L$32=1,IF(OR(Data!$L$2=1,Data!$L$3=1),IF(OR(Data!BT49=0,Data!BT49=""),"","O"&amp;Data!BT49),IF('ARDT Cutter Entry'!$C$111&lt;&gt;"",'ARDT Cutter Entry'!E114,'ARDT Cutter Entry'!E46)),"")</f>
        <v>X1</v>
      </c>
      <c r="F14" s="167" t="str">
        <f>IF(Data!$L$32=1,IF(OR(Data!$L$2=1,Data!$L$3=1),IF(OR(Data!BU49=0,Data!BU49=""),"","O"&amp;Data!BU49),IF('ARDT Cutter Entry'!$C$111&lt;&gt;"",'ARDT Cutter Entry'!F114,'ARDT Cutter Entry'!F46)),"")</f>
        <v>R1</v>
      </c>
      <c r="G14" s="167" t="str">
        <f>IF(Data!$L$32=1,IF(OR(Data!$L$2=1,Data!$L$3=1),IF(OR(Data!BV49=0,Data!BV49=""),"","O"&amp;Data!BV49),IF('ARDT Cutter Entry'!$C$111&lt;&gt;"",'ARDT Cutter Entry'!G114,'ARDT Cutter Entry'!G46)),"")</f>
        <v>X1</v>
      </c>
      <c r="H14" s="167" t="str">
        <f>IF(Data!$L$32=1,IF(OR(Data!$L$2=1,Data!$L$3=1),IF(OR(Data!BW49=0,Data!BW49=""),"","O"&amp;Data!BW49),IF('ARDT Cutter Entry'!$C$111&lt;&gt;"",'ARDT Cutter Entry'!H114,'ARDT Cutter Entry'!H46)),"")</f>
        <v>X3</v>
      </c>
      <c r="I14" s="167" t="str">
        <f>IF(Data!$L$32=1,IF(OR(Data!$L$2=1,Data!$L$3=1),IF(OR(Data!BX49=0,Data!BX49=""),"","O"&amp;Data!BX49),IF('ARDT Cutter Entry'!$C$111&lt;&gt;"",'ARDT Cutter Entry'!I114,'ARDT Cutter Entry'!I46)),"")</f>
        <v/>
      </c>
      <c r="J14" s="167" t="str">
        <f>IF(Data!$L$32=1,IF(OR(Data!$L$2=1,Data!$L$3=1),IF(OR(Data!BY49=0,Data!BY49=""),"","O"&amp;Data!BY49),IF('ARDT Cutter Entry'!$C$111&lt;&gt;"",'ARDT Cutter Entry'!J114,'ARDT Cutter Entry'!J46)),"")</f>
        <v/>
      </c>
      <c r="K14" s="167" t="str">
        <f>IF(Data!$L$32=1,IF(OR(Data!$L$2=1,Data!$L$3=1),IF(OR(Data!BZ49=0,Data!BZ49=""),"","O"&amp;Data!BZ49),IF('ARDT Cutter Entry'!$C$111&lt;&gt;"",'ARDT Cutter Entry'!K114,'ARDT Cutter Entry'!K46)),"")</f>
        <v/>
      </c>
      <c r="L14" s="167" t="str">
        <f>IF(Data!$L$32=1,IF(OR(Data!$L$2=1,Data!$L$3=1),IF(OR(Data!CA49=0,Data!CA49=""),"","O"&amp;Data!CA49),IF('ARDT Cutter Entry'!$C$111&lt;&gt;"",'ARDT Cutter Entry'!L114,'ARDT Cutter Entry'!L46)),"")</f>
        <v>S2</v>
      </c>
      <c r="M14" s="167" t="str">
        <f>IF(Data!$L$32=1,IF(OR(Data!$L$2=1,Data!$L$3=1),IF(OR(Data!CB49=0,Data!CB49=""),"","O"&amp;Data!CB49),IF('ARDT Cutter Entry'!$C$111&lt;&gt;"",'ARDT Cutter Entry'!M114,'ARDT Cutter Entry'!M46)),"")</f>
        <v>S2</v>
      </c>
      <c r="N14" s="167" t="str">
        <f>IF(Data!$L$32=1,IF(OR(Data!$L$2=1,Data!$L$3=1),IF(OR(Data!CC49=0,Data!CC49=""),"","O"&amp;Data!CC49),IF('ARDT Cutter Entry'!$C$111&lt;&gt;"",'ARDT Cutter Entry'!N114,'ARDT Cutter Entry'!N46)),"")</f>
        <v>S2</v>
      </c>
      <c r="O14" s="167" t="str">
        <f>IF(Data!$L$32=1,IF(OR(Data!$L$2=1,Data!$L$3=1),IF(OR(Data!CD49=0,Data!CD49=""),"","O"&amp;Data!CD49),IF('ARDT Cutter Entry'!$C$111&lt;&gt;"",'ARDT Cutter Entry'!O114,'ARDT Cutter Entry'!O46)),"")</f>
        <v>R2</v>
      </c>
      <c r="P14" s="167" t="str">
        <f>IF(Data!$L$32=1,IF(OR(Data!$L$2=1,Data!$L$3=1),IF(OR(Data!CE49=0,Data!CE49=""),"","O"&amp;Data!CE49),IF('ARDT Cutter Entry'!$C$111&lt;&gt;"",'ARDT Cutter Entry'!P114,'ARDT Cutter Entry'!P46)),"")</f>
        <v/>
      </c>
      <c r="Q14" s="167" t="str">
        <f>IF(Data!$L$32=1,IF(OR(Data!$L$2=1,Data!$L$3=1),IF(OR(Data!CF49=0,Data!CF49=""),"","O"&amp;Data!CF49),IF('ARDT Cutter Entry'!$C$111&lt;&gt;"",'ARDT Cutter Entry'!Q114,'ARDT Cutter Entry'!Q46)),"")</f>
        <v/>
      </c>
      <c r="R14" s="167" t="str">
        <f>IF(Data!$L$32=1,IF(OR(Data!$L$2=1,Data!$L$3=1),IF(OR(Data!CG49=0,Data!CG49=""),"","O"&amp;Data!CG49),IF('ARDT Cutter Entry'!$C$111&lt;&gt;"",'ARDT Cutter Entry'!R114,'ARDT Cutter Entry'!R46)),"")</f>
        <v/>
      </c>
      <c r="S14" s="167" t="str">
        <f>IF(Data!$L$32=1,IF(OR(Data!$L$2=1,Data!$L$3=1),IF(OR(Data!CH49=0,Data!CH49=""),"","O"&amp;Data!CH49),IF('ARDT Cutter Entry'!$C$111&lt;&gt;"",'ARDT Cutter Entry'!S114,'ARDT Cutter Entry'!S46)),"")</f>
        <v/>
      </c>
      <c r="T14" s="167" t="str">
        <f>IF(Data!$L$32=1,IF(OR(Data!$L$2=1,Data!$L$3=1),IF(OR(Data!CI49=0,Data!CI49=""),"","O"&amp;Data!CI49),IF('ARDT Cutter Entry'!$C$111&lt;&gt;"",'ARDT Cutter Entry'!T114,'ARDT Cutter Entry'!T46)),"")</f>
        <v/>
      </c>
      <c r="U14" s="167" t="str">
        <f>IF(Data!$L$32=1,IF(OR(Data!$L$2=1,Data!$L$3=1),IF(OR(Data!CJ49=0,Data!CJ49=""),"","O"&amp;Data!CJ49),IF('ARDT Cutter Entry'!$C$111&lt;&gt;"",'ARDT Cutter Entry'!U114,'ARDT Cutter Entry'!U46)),"")</f>
        <v/>
      </c>
      <c r="V14" s="167" t="str">
        <f>IF(Data!$L$32=1,IF(OR(Data!$L$2=1,Data!$L$3=1),IF(OR(Data!CK49=0,Data!CK49=""),"","O"&amp;Data!CK49),IF('ARDT Cutter Entry'!$C$111&lt;&gt;"",'ARDT Cutter Entry'!V114,'ARDT Cutter Entry'!V46)),"")</f>
        <v/>
      </c>
      <c r="W14" s="167" t="str">
        <f>IF(Data!$L$32=1,IF(OR(Data!$L$2=1,Data!$L$3=1),IF(OR(Data!CL49=0,Data!CL49=""),"","O"&amp;Data!CL49),IF('ARDT Cutter Entry'!$C$111&lt;&gt;"",'ARDT Cutter Entry'!W114,'ARDT Cutter Entry'!W46)),"")</f>
        <v/>
      </c>
      <c r="X14" s="167" t="str">
        <f>IF(Data!$L$32=1,IF(OR(Data!$L$2=1,Data!$L$3=1),IF(OR(Data!CM49=0,Data!CM49=""),"","O"&amp;Data!CM49),IF('ARDT Cutter Entry'!$C$111&lt;&gt;"",'ARDT Cutter Entry'!X114,'ARDT Cutter Entry'!X46)),"")</f>
        <v/>
      </c>
      <c r="Y14" s="167" t="str">
        <f>IF(Data!$L$32=1,IF(OR(Data!$L$2=1,Data!$L$3=1),IF(OR(Data!CN49=0,Data!CN49=""),"","O"&amp;Data!CN49),IF('ARDT Cutter Entry'!$C$111&lt;&gt;"",'ARDT Cutter Entry'!Y114,'ARDT Cutter Entry'!Y46)),"")</f>
        <v/>
      </c>
      <c r="Z14" s="167" t="str">
        <f>IF(Data!$L$32=1,IF(OR(Data!$L$2=1,Data!$L$3=1),IF(OR(Data!CO49=0,Data!CO49=""),"","O"&amp;Data!CO49),IF('ARDT Cutter Entry'!$C$111&lt;&gt;"",'ARDT Cutter Entry'!Z114,'ARDT Cutter Entry'!Z46)),"")</f>
        <v/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5" customHeight="1" x14ac:dyDescent="0.35">
      <c r="A15" s="1659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>S1</v>
      </c>
      <c r="D15" s="167" t="str">
        <f>IF(Data!$L$32=1,IF(OR(Data!$L$2=1,Data!$L$3=1),IF(OR(Data!BS50=0,Data!BS50=""),"","O"&amp;Data!BS50),IF('ARDT Cutter Entry'!$C$111&lt;&gt;"",'ARDT Cutter Entry'!D115,'ARDT Cutter Entry'!D47)),"")</f>
        <v>S1</v>
      </c>
      <c r="E15" s="167" t="str">
        <f>IF(Data!$L$32=1,IF(OR(Data!$L$2=1,Data!$L$3=1),IF(OR(Data!BT50=0,Data!BT50=""),"","O"&amp;Data!BT50),IF('ARDT Cutter Entry'!$C$111&lt;&gt;"",'ARDT Cutter Entry'!E115,'ARDT Cutter Entry'!E47)),"")</f>
        <v>S1</v>
      </c>
      <c r="F15" s="167" t="str">
        <f>IF(Data!$L$32=1,IF(OR(Data!$L$2=1,Data!$L$3=1),IF(OR(Data!BU50=0,Data!BU50=""),"","O"&amp;Data!BU50),IF('ARDT Cutter Entry'!$C$111&lt;&gt;"",'ARDT Cutter Entry'!F115,'ARDT Cutter Entry'!F47)),"")</f>
        <v>S1</v>
      </c>
      <c r="G15" s="167" t="str">
        <f>IF(Data!$L$32=1,IF(OR(Data!$L$2=1,Data!$L$3=1),IF(OR(Data!BV50=0,Data!BV50=""),"","O"&amp;Data!BV50),IF('ARDT Cutter Entry'!$C$111&lt;&gt;"",'ARDT Cutter Entry'!G115,'ARDT Cutter Entry'!G47)),"")</f>
        <v>S1</v>
      </c>
      <c r="H15" s="167" t="str">
        <f>IF(Data!$L$32=1,IF(OR(Data!$L$2=1,Data!$L$3=1),IF(OR(Data!BW50=0,Data!BW50=""),"","O"&amp;Data!BW50),IF('ARDT Cutter Entry'!$C$111&lt;&gt;"",'ARDT Cutter Entry'!H115,'ARDT Cutter Entry'!H47)),"")</f>
        <v>X1</v>
      </c>
      <c r="I15" s="167" t="str">
        <f>IF(Data!$L$32=1,IF(OR(Data!$L$2=1,Data!$L$3=1),IF(OR(Data!BX50=0,Data!BX50=""),"","O"&amp;Data!BX50),IF('ARDT Cutter Entry'!$C$111&lt;&gt;"",'ARDT Cutter Entry'!I115,'ARDT Cutter Entry'!I47)),"")</f>
        <v>R1</v>
      </c>
      <c r="J15" s="167" t="str">
        <f>IF(Data!$L$32=1,IF(OR(Data!$L$2=1,Data!$L$3=1),IF(OR(Data!BY50=0,Data!BY50=""),"","O"&amp;Data!BY50),IF('ARDT Cutter Entry'!$C$111&lt;&gt;"",'ARDT Cutter Entry'!J115,'ARDT Cutter Entry'!J47)),"")</f>
        <v>X3</v>
      </c>
      <c r="K15" s="167" t="str">
        <f>IF(Data!$L$32=1,IF(OR(Data!$L$2=1,Data!$L$3=1),IF(OR(Data!BZ50=0,Data!BZ50=""),"","O"&amp;Data!BZ50),IF('ARDT Cutter Entry'!$C$111&lt;&gt;"",'ARDT Cutter Entry'!K115,'ARDT Cutter Entry'!K47)),"")</f>
        <v/>
      </c>
      <c r="L15" s="167" t="str">
        <f>IF(Data!$L$32=1,IF(OR(Data!$L$2=1,Data!$L$3=1),IF(OR(Data!CA50=0,Data!CA50=""),"","O"&amp;Data!CA50),IF('ARDT Cutter Entry'!$C$111&lt;&gt;"",'ARDT Cutter Entry'!L115,'ARDT Cutter Entry'!L47)),"")</f>
        <v>S2</v>
      </c>
      <c r="M15" s="167" t="str">
        <f>IF(Data!$L$32=1,IF(OR(Data!$L$2=1,Data!$L$3=1),IF(OR(Data!CB50=0,Data!CB50=""),"","O"&amp;Data!CB50),IF('ARDT Cutter Entry'!$C$111&lt;&gt;"",'ARDT Cutter Entry'!M115,'ARDT Cutter Entry'!M47)),"")</f>
        <v>S2</v>
      </c>
      <c r="N15" s="167" t="str">
        <f>IF(Data!$L$32=1,IF(OR(Data!$L$2=1,Data!$L$3=1),IF(OR(Data!CC50=0,Data!CC50=""),"","O"&amp;Data!CC50),IF('ARDT Cutter Entry'!$C$111&lt;&gt;"",'ARDT Cutter Entry'!N115,'ARDT Cutter Entry'!N47)),"")</f>
        <v>X2</v>
      </c>
      <c r="O15" s="167" t="str">
        <f>IF(Data!$L$32=1,IF(OR(Data!$L$2=1,Data!$L$3=1),IF(OR(Data!CD50=0,Data!CD50=""),"","O"&amp;Data!CD50),IF('ARDT Cutter Entry'!$C$111&lt;&gt;"",'ARDT Cutter Entry'!O115,'ARDT Cutter Entry'!O47)),"")</f>
        <v>R2</v>
      </c>
      <c r="P15" s="167" t="str">
        <f>IF(Data!$L$32=1,IF(OR(Data!$L$2=1,Data!$L$3=1),IF(OR(Data!CE50=0,Data!CE50=""),"","O"&amp;Data!CE50),IF('ARDT Cutter Entry'!$C$111&lt;&gt;"",'ARDT Cutter Entry'!P115,'ARDT Cutter Entry'!P47)),"")</f>
        <v/>
      </c>
      <c r="Q15" s="167" t="str">
        <f>IF(Data!$L$32=1,IF(OR(Data!$L$2=1,Data!$L$3=1),IF(OR(Data!CF50=0,Data!CF50=""),"","O"&amp;Data!CF50),IF('ARDT Cutter Entry'!$C$111&lt;&gt;"",'ARDT Cutter Entry'!Q115,'ARDT Cutter Entry'!Q47)),"")</f>
        <v/>
      </c>
      <c r="R15" s="167" t="str">
        <f>IF(Data!$L$32=1,IF(OR(Data!$L$2=1,Data!$L$3=1),IF(OR(Data!CG50=0,Data!CG50=""),"","O"&amp;Data!CG50),IF('ARDT Cutter Entry'!$C$111&lt;&gt;"",'ARDT Cutter Entry'!R115,'ARDT Cutter Entry'!R47)),"")</f>
        <v/>
      </c>
      <c r="S15" s="167" t="str">
        <f>IF(Data!$L$32=1,IF(OR(Data!$L$2=1,Data!$L$3=1),IF(OR(Data!CH50=0,Data!CH50=""),"","O"&amp;Data!CH50),IF('ARDT Cutter Entry'!$C$111&lt;&gt;"",'ARDT Cutter Entry'!S115,'ARDT Cutter Entry'!S47)),"")</f>
        <v/>
      </c>
      <c r="T15" s="167" t="str">
        <f>IF(Data!$L$32=1,IF(OR(Data!$L$2=1,Data!$L$3=1),IF(OR(Data!CI50=0,Data!CI50=""),"","O"&amp;Data!CI50),IF('ARDT Cutter Entry'!$C$111&lt;&gt;"",'ARDT Cutter Entry'!T115,'ARDT Cutter Entry'!T47)),"")</f>
        <v/>
      </c>
      <c r="U15" s="167" t="str">
        <f>IF(Data!$L$32=1,IF(OR(Data!$L$2=1,Data!$L$3=1),IF(OR(Data!CJ50=0,Data!CJ50=""),"","O"&amp;Data!CJ50),IF('ARDT Cutter Entry'!$C$111&lt;&gt;"",'ARDT Cutter Entry'!U115,'ARDT Cutter Entry'!U47)),"")</f>
        <v/>
      </c>
      <c r="V15" s="167" t="str">
        <f>IF(Data!$L$32=1,IF(OR(Data!$L$2=1,Data!$L$3=1),IF(OR(Data!CK50=0,Data!CK50=""),"","O"&amp;Data!CK50),IF('ARDT Cutter Entry'!$C$111&lt;&gt;"",'ARDT Cutter Entry'!V115,'ARDT Cutter Entry'!V47)),"")</f>
        <v/>
      </c>
      <c r="W15" s="167" t="str">
        <f>IF(Data!$L$32=1,IF(OR(Data!$L$2=1,Data!$L$3=1),IF(OR(Data!CL50=0,Data!CL50=""),"","O"&amp;Data!CL50),IF('ARDT Cutter Entry'!$C$111&lt;&gt;"",'ARDT Cutter Entry'!W115,'ARDT Cutter Entry'!W47)),"")</f>
        <v/>
      </c>
      <c r="X15" s="167" t="str">
        <f>IF(Data!$L$32=1,IF(OR(Data!$L$2=1,Data!$L$3=1),IF(OR(Data!CM50=0,Data!CM50=""),"","O"&amp;Data!CM50),IF('ARDT Cutter Entry'!$C$111&lt;&gt;"",'ARDT Cutter Entry'!X115,'ARDT Cutter Entry'!X47)),"")</f>
        <v/>
      </c>
      <c r="Y15" s="167" t="str">
        <f>IF(Data!$L$32=1,IF(OR(Data!$L$2=1,Data!$L$3=1),IF(OR(Data!CN50=0,Data!CN50=""),"","O"&amp;Data!CN50),IF('ARDT Cutter Entry'!$C$111&lt;&gt;"",'ARDT Cutter Entry'!Y115,'ARDT Cutter Entry'!Y47)),"")</f>
        <v/>
      </c>
      <c r="Z15" s="167" t="str">
        <f>IF(Data!$L$32=1,IF(OR(Data!$L$2=1,Data!$L$3=1),IF(OR(Data!CO50=0,Data!CO50=""),"","O"&amp;Data!CO50),IF('ARDT Cutter Entry'!$C$111&lt;&gt;"",'ARDT Cutter Entry'!Z115,'ARDT Cutter Entry'!Z47)),"")</f>
        <v/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5" customHeight="1" x14ac:dyDescent="0.35">
      <c r="A16" s="1659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>S1</v>
      </c>
      <c r="D16" s="167" t="str">
        <f>IF(Data!$L$32=1,IF(OR(Data!$L$2=1,Data!$L$3=1),IF(OR(Data!BS51=0,Data!BS51=""),"","O"&amp;Data!BS51),IF('ARDT Cutter Entry'!$C$111&lt;&gt;"",'ARDT Cutter Entry'!D116,'ARDT Cutter Entry'!D48)),"")</f>
        <v>X1</v>
      </c>
      <c r="E16" s="167" t="str">
        <f>IF(Data!$L$32=1,IF(OR(Data!$L$2=1,Data!$L$3=1),IF(OR(Data!BT51=0,Data!BT51=""),"","O"&amp;Data!BT51),IF('ARDT Cutter Entry'!$C$111&lt;&gt;"",'ARDT Cutter Entry'!E116,'ARDT Cutter Entry'!E48)),"")</f>
        <v>S1</v>
      </c>
      <c r="F16" s="167" t="str">
        <f>IF(Data!$L$32=1,IF(OR(Data!$L$2=1,Data!$L$3=1),IF(OR(Data!BU51=0,Data!BU51=""),"","O"&amp;Data!BU51),IF('ARDT Cutter Entry'!$C$111&lt;&gt;"",'ARDT Cutter Entry'!F116,'ARDT Cutter Entry'!F48)),"")</f>
        <v>X1</v>
      </c>
      <c r="G16" s="167" t="str">
        <f>IF(Data!$L$32=1,IF(OR(Data!$L$2=1,Data!$L$3=1),IF(OR(Data!BV51=0,Data!BV51=""),"","O"&amp;Data!BV51),IF('ARDT Cutter Entry'!$C$111&lt;&gt;"",'ARDT Cutter Entry'!G116,'ARDT Cutter Entry'!G48)),"")</f>
        <v>X3</v>
      </c>
      <c r="H16" s="167" t="str">
        <f>IF(Data!$L$32=1,IF(OR(Data!$L$2=1,Data!$L$3=1),IF(OR(Data!BW51=0,Data!BW51=""),"","O"&amp;Data!BW51),IF('ARDT Cutter Entry'!$C$111&lt;&gt;"",'ARDT Cutter Entry'!H116,'ARDT Cutter Entry'!H48)),"")</f>
        <v/>
      </c>
      <c r="I16" s="167" t="str">
        <f>IF(Data!$L$32=1,IF(OR(Data!$L$2=1,Data!$L$3=1),IF(OR(Data!BX51=0,Data!BX51=""),"","O"&amp;Data!BX51),IF('ARDT Cutter Entry'!$C$111&lt;&gt;"",'ARDT Cutter Entry'!I116,'ARDT Cutter Entry'!I48)),"")</f>
        <v/>
      </c>
      <c r="J16" s="167" t="str">
        <f>IF(Data!$L$32=1,IF(OR(Data!$L$2=1,Data!$L$3=1),IF(OR(Data!BY51=0,Data!BY51=""),"","O"&amp;Data!BY51),IF('ARDT Cutter Entry'!$C$111&lt;&gt;"",'ARDT Cutter Entry'!J116,'ARDT Cutter Entry'!J48)),"")</f>
        <v/>
      </c>
      <c r="K16" s="167" t="str">
        <f>IF(Data!$L$32=1,IF(OR(Data!$L$2=1,Data!$L$3=1),IF(OR(Data!BZ51=0,Data!BZ51=""),"","O"&amp;Data!BZ51),IF('ARDT Cutter Entry'!$C$111&lt;&gt;"",'ARDT Cutter Entry'!K116,'ARDT Cutter Entry'!K48)),"")</f>
        <v/>
      </c>
      <c r="L16" s="167" t="str">
        <f>IF(Data!$L$32=1,IF(OR(Data!$L$2=1,Data!$L$3=1),IF(OR(Data!CA51=0,Data!CA51=""),"","O"&amp;Data!CA51),IF('ARDT Cutter Entry'!$C$111&lt;&gt;"",'ARDT Cutter Entry'!L116,'ARDT Cutter Entry'!L48)),"")</f>
        <v>S2</v>
      </c>
      <c r="M16" s="167" t="str">
        <f>IF(Data!$L$32=1,IF(OR(Data!$L$2=1,Data!$L$3=1),IF(OR(Data!CB51=0,Data!CB51=""),"","O"&amp;Data!CB51),IF('ARDT Cutter Entry'!$C$111&lt;&gt;"",'ARDT Cutter Entry'!M116,'ARDT Cutter Entry'!M48)),"")</f>
        <v>S2</v>
      </c>
      <c r="N16" s="167" t="str">
        <f>IF(Data!$L$32=1,IF(OR(Data!$L$2=1,Data!$L$3=1),IF(OR(Data!CC51=0,Data!CC51=""),"","O"&amp;Data!CC51),IF('ARDT Cutter Entry'!$C$111&lt;&gt;"",'ARDT Cutter Entry'!N116,'ARDT Cutter Entry'!N48)),"")</f>
        <v>S2</v>
      </c>
      <c r="O16" s="167" t="str">
        <f>IF(Data!$L$32=1,IF(OR(Data!$L$2=1,Data!$L$3=1),IF(OR(Data!CD51=0,Data!CD51=""),"","O"&amp;Data!CD51),IF('ARDT Cutter Entry'!$C$111&lt;&gt;"",'ARDT Cutter Entry'!O116,'ARDT Cutter Entry'!O48)),"")</f>
        <v>R2</v>
      </c>
      <c r="P16" s="167" t="str">
        <f>IF(Data!$L$32=1,IF(OR(Data!$L$2=1,Data!$L$3=1),IF(OR(Data!CE51=0,Data!CE51=""),"","O"&amp;Data!CE51),IF('ARDT Cutter Entry'!$C$111&lt;&gt;"",'ARDT Cutter Entry'!P116,'ARDT Cutter Entry'!P48)),"")</f>
        <v/>
      </c>
      <c r="Q16" s="167" t="str">
        <f>IF(Data!$L$32=1,IF(OR(Data!$L$2=1,Data!$L$3=1),IF(OR(Data!CF51=0,Data!CF51=""),"","O"&amp;Data!CF51),IF('ARDT Cutter Entry'!$C$111&lt;&gt;"",'ARDT Cutter Entry'!Q116,'ARDT Cutter Entry'!Q48)),"")</f>
        <v/>
      </c>
      <c r="R16" s="167" t="str">
        <f>IF(Data!$L$32=1,IF(OR(Data!$L$2=1,Data!$L$3=1),IF(OR(Data!CG51=0,Data!CG51=""),"","O"&amp;Data!CG51),IF('ARDT Cutter Entry'!$C$111&lt;&gt;"",'ARDT Cutter Entry'!R116,'ARDT Cutter Entry'!R48)),"")</f>
        <v/>
      </c>
      <c r="S16" s="167" t="str">
        <f>IF(Data!$L$32=1,IF(OR(Data!$L$2=1,Data!$L$3=1),IF(OR(Data!CH51=0,Data!CH51=""),"","O"&amp;Data!CH51),IF('ARDT Cutter Entry'!$C$111&lt;&gt;"",'ARDT Cutter Entry'!S116,'ARDT Cutter Entry'!S48)),"")</f>
        <v/>
      </c>
      <c r="T16" s="167" t="str">
        <f>IF(Data!$L$32=1,IF(OR(Data!$L$2=1,Data!$L$3=1),IF(OR(Data!CI51=0,Data!CI51=""),"","O"&amp;Data!CI51),IF('ARDT Cutter Entry'!$C$111&lt;&gt;"",'ARDT Cutter Entry'!T116,'ARDT Cutter Entry'!T48)),"")</f>
        <v/>
      </c>
      <c r="U16" s="167" t="str">
        <f>IF(Data!$L$32=1,IF(OR(Data!$L$2=1,Data!$L$3=1),IF(OR(Data!CJ51=0,Data!CJ51=""),"","O"&amp;Data!CJ51),IF('ARDT Cutter Entry'!$C$111&lt;&gt;"",'ARDT Cutter Entry'!U116,'ARDT Cutter Entry'!U48)),"")</f>
        <v/>
      </c>
      <c r="V16" s="167" t="str">
        <f>IF(Data!$L$32=1,IF(OR(Data!$L$2=1,Data!$L$3=1),IF(OR(Data!CK51=0,Data!CK51=""),"","O"&amp;Data!CK51),IF('ARDT Cutter Entry'!$C$111&lt;&gt;"",'ARDT Cutter Entry'!V116,'ARDT Cutter Entry'!V48)),"")</f>
        <v/>
      </c>
      <c r="W16" s="167" t="str">
        <f>IF(Data!$L$32=1,IF(OR(Data!$L$2=1,Data!$L$3=1),IF(OR(Data!CL51=0,Data!CL51=""),"","O"&amp;Data!CL51),IF('ARDT Cutter Entry'!$C$111&lt;&gt;"",'ARDT Cutter Entry'!W116,'ARDT Cutter Entry'!W48)),"")</f>
        <v/>
      </c>
      <c r="X16" s="167" t="str">
        <f>IF(Data!$L$32=1,IF(OR(Data!$L$2=1,Data!$L$3=1),IF(OR(Data!CM51=0,Data!CM51=""),"","O"&amp;Data!CM51),IF('ARDT Cutter Entry'!$C$111&lt;&gt;"",'ARDT Cutter Entry'!X116,'ARDT Cutter Entry'!X48)),"")</f>
        <v/>
      </c>
      <c r="Y16" s="167" t="str">
        <f>IF(Data!$L$32=1,IF(OR(Data!$L$2=1,Data!$L$3=1),IF(OR(Data!CN51=0,Data!CN51=""),"","O"&amp;Data!CN51),IF('ARDT Cutter Entry'!$C$111&lt;&gt;"",'ARDT Cutter Entry'!Y116,'ARDT Cutter Entry'!Y48)),"")</f>
        <v/>
      </c>
      <c r="Z16" s="167" t="str">
        <f>IF(Data!$L$32=1,IF(OR(Data!$L$2=1,Data!$L$3=1),IF(OR(Data!CO51=0,Data!CO51=""),"","O"&amp;Data!CO51),IF('ARDT Cutter Entry'!$C$111&lt;&gt;"",'ARDT Cutter Entry'!Z116,'ARDT Cutter Entry'!Z48)),"")</f>
        <v/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5" customHeight="1" x14ac:dyDescent="0.35">
      <c r="A17" s="1659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/>
      </c>
      <c r="D17" s="167" t="str">
        <f>IF(Data!$L$32=1,IF(OR(Data!$L$2=1,Data!$L$3=1),IF(OR(Data!BS52=0,Data!BS52=""),"","O"&amp;Data!BS52),IF('ARDT Cutter Entry'!$C$111&lt;&gt;"",'ARDT Cutter Entry'!D117,'ARDT Cutter Entry'!D49)),"")</f>
        <v/>
      </c>
      <c r="E17" s="167" t="str">
        <f>IF(Data!$L$32=1,IF(OR(Data!$L$2=1,Data!$L$3=1),IF(OR(Data!BT52=0,Data!BT52=""),"","O"&amp;Data!BT52),IF('ARDT Cutter Entry'!$C$111&lt;&gt;"",'ARDT Cutter Entry'!E117,'ARDT Cutter Entry'!E49)),"")</f>
        <v/>
      </c>
      <c r="F17" s="167" t="str">
        <f>IF(Data!$L$32=1,IF(OR(Data!$L$2=1,Data!$L$3=1),IF(OR(Data!BU52=0,Data!BU52=""),"","O"&amp;Data!BU52),IF('ARDT Cutter Entry'!$C$111&lt;&gt;"",'ARDT Cutter Entry'!F117,'ARDT Cutter Entry'!F49)),"")</f>
        <v/>
      </c>
      <c r="G17" s="167" t="str">
        <f>IF(Data!$L$32=1,IF(OR(Data!$L$2=1,Data!$L$3=1),IF(OR(Data!BV52=0,Data!BV52=""),"","O"&amp;Data!BV52),IF('ARDT Cutter Entry'!$C$111&lt;&gt;"",'ARDT Cutter Entry'!G117,'ARDT Cutter Entry'!G49)),"")</f>
        <v/>
      </c>
      <c r="H17" s="167" t="str">
        <f>IF(Data!$L$32=1,IF(OR(Data!$L$2=1,Data!$L$3=1),IF(OR(Data!BW52=0,Data!BW52=""),"","O"&amp;Data!BW52),IF('ARDT Cutter Entry'!$C$111&lt;&gt;"",'ARDT Cutter Entry'!H117,'ARDT Cutter Entry'!H49)),"")</f>
        <v/>
      </c>
      <c r="I17" s="167" t="str">
        <f>IF(Data!$L$32=1,IF(OR(Data!$L$2=1,Data!$L$3=1),IF(OR(Data!BX52=0,Data!BX52=""),"","O"&amp;Data!BX52),IF('ARDT Cutter Entry'!$C$111&lt;&gt;"",'ARDT Cutter Entry'!I117,'ARDT Cutter Entry'!I49)),"")</f>
        <v/>
      </c>
      <c r="J17" s="167" t="str">
        <f>IF(Data!$L$32=1,IF(OR(Data!$L$2=1,Data!$L$3=1),IF(OR(Data!BY52=0,Data!BY52=""),"","O"&amp;Data!BY52),IF('ARDT Cutter Entry'!$C$111&lt;&gt;"",'ARDT Cutter Entry'!J117,'ARDT Cutter Entry'!J49)),"")</f>
        <v/>
      </c>
      <c r="K17" s="167" t="str">
        <f>IF(Data!$L$32=1,IF(OR(Data!$L$2=1,Data!$L$3=1),IF(OR(Data!BZ52=0,Data!BZ52=""),"","O"&amp;Data!BZ52),IF('ARDT Cutter Entry'!$C$111&lt;&gt;"",'ARDT Cutter Entry'!K117,'ARDT Cutter Entry'!K49)),"")</f>
        <v/>
      </c>
      <c r="L17" s="167" t="str">
        <f>IF(Data!$L$32=1,IF(OR(Data!$L$2=1,Data!$L$3=1),IF(OR(Data!CA52=0,Data!CA52=""),"","O"&amp;Data!CA52),IF('ARDT Cutter Entry'!$C$111&lt;&gt;"",'ARDT Cutter Entry'!L117,'ARDT Cutter Entry'!L49)),"")</f>
        <v/>
      </c>
      <c r="M17" s="167" t="str">
        <f>IF(Data!$L$32=1,IF(OR(Data!$L$2=1,Data!$L$3=1),IF(OR(Data!CB52=0,Data!CB52=""),"","O"&amp;Data!CB52),IF('ARDT Cutter Entry'!$C$111&lt;&gt;"",'ARDT Cutter Entry'!M117,'ARDT Cutter Entry'!M49)),"")</f>
        <v/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/>
      </c>
      <c r="U17" s="167" t="str">
        <f>IF(Data!$L$32=1,IF(OR(Data!$L$2=1,Data!$L$3=1),IF(OR(Data!CJ52=0,Data!CJ52=""),"","O"&amp;Data!CJ52),IF('ARDT Cutter Entry'!$C$111&lt;&gt;"",'ARDT Cutter Entry'!U117,'ARDT Cutter Entry'!U49)),"")</f>
        <v/>
      </c>
      <c r="V17" s="167" t="str">
        <f>IF(Data!$L$32=1,IF(OR(Data!$L$2=1,Data!$L$3=1),IF(OR(Data!CK52=0,Data!CK52=""),"","O"&amp;Data!CK52),IF('ARDT Cutter Entry'!$C$111&lt;&gt;"",'ARDT Cutter Entry'!V117,'ARDT Cutter Entry'!V49)),"")</f>
        <v/>
      </c>
      <c r="W17" s="167" t="str">
        <f>IF(Data!$L$32=1,IF(OR(Data!$L$2=1,Data!$L$3=1),IF(OR(Data!CL52=0,Data!CL52=""),"","O"&amp;Data!CL52),IF('ARDT Cutter Entry'!$C$111&lt;&gt;"",'ARDT Cutter Entry'!W117,'ARDT Cutter Entry'!W49)),"")</f>
        <v/>
      </c>
      <c r="X17" s="167" t="str">
        <f>IF(Data!$L$32=1,IF(OR(Data!$L$2=1,Data!$L$3=1),IF(OR(Data!CM52=0,Data!CM52=""),"","O"&amp;Data!CM52),IF('ARDT Cutter Entry'!$C$111&lt;&gt;"",'ARDT Cutter Entry'!X117,'ARDT Cutter Entry'!X49)),"")</f>
        <v/>
      </c>
      <c r="Y17" s="167" t="str">
        <f>IF(Data!$L$32=1,IF(OR(Data!$L$2=1,Data!$L$3=1),IF(OR(Data!CN52=0,Data!CN52=""),"","O"&amp;Data!CN52),IF('ARDT Cutter Entry'!$C$111&lt;&gt;"",'ARDT Cutter Entry'!Y117,'ARDT Cutter Entry'!Y49)),"")</f>
        <v/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5" customHeight="1" x14ac:dyDescent="0.35">
      <c r="A18" s="1659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/>
      </c>
      <c r="D18" s="167" t="str">
        <f>IF(Data!$L$32=1,IF(OR(Data!$L$2=1,Data!$L$3=1),IF(OR(Data!BS53=0,Data!BS53=""),"","O"&amp;Data!BS53),IF('ARDT Cutter Entry'!$C$111&lt;&gt;"",'ARDT Cutter Entry'!D118,'ARDT Cutter Entry'!D50)),"")</f>
        <v/>
      </c>
      <c r="E18" s="167" t="str">
        <f>IF(Data!$L$32=1,IF(OR(Data!$L$2=1,Data!$L$3=1),IF(OR(Data!BT53=0,Data!BT53=""),"","O"&amp;Data!BT53),IF('ARDT Cutter Entry'!$C$111&lt;&gt;"",'ARDT Cutter Entry'!E118,'ARDT Cutter Entry'!E50)),"")</f>
        <v/>
      </c>
      <c r="F18" s="167" t="str">
        <f>IF(Data!$L$32=1,IF(OR(Data!$L$2=1,Data!$L$3=1),IF(OR(Data!BU53=0,Data!BU53=""),"","O"&amp;Data!BU53),IF('ARDT Cutter Entry'!$C$111&lt;&gt;"",'ARDT Cutter Entry'!F118,'ARDT Cutter Entry'!F50)),"")</f>
        <v/>
      </c>
      <c r="G18" s="167" t="str">
        <f>IF(Data!$L$32=1,IF(OR(Data!$L$2=1,Data!$L$3=1),IF(OR(Data!BV53=0,Data!BV53=""),"","O"&amp;Data!BV53),IF('ARDT Cutter Entry'!$C$111&lt;&gt;"",'ARDT Cutter Entry'!G118,'ARDT Cutter Entry'!G50)),"")</f>
        <v/>
      </c>
      <c r="H18" s="167" t="str">
        <f>IF(Data!$L$32=1,IF(OR(Data!$L$2=1,Data!$L$3=1),IF(OR(Data!BW53=0,Data!BW53=""),"","O"&amp;Data!BW53),IF('ARDT Cutter Entry'!$C$111&lt;&gt;"",'ARDT Cutter Entry'!H118,'ARDT Cutter Entry'!H50)),"")</f>
        <v/>
      </c>
      <c r="I18" s="167" t="str">
        <f>IF(Data!$L$32=1,IF(OR(Data!$L$2=1,Data!$L$3=1),IF(OR(Data!BX53=0,Data!BX53=""),"","O"&amp;Data!BX53),IF('ARDT Cutter Entry'!$C$111&lt;&gt;"",'ARDT Cutter Entry'!I118,'ARDT Cutter Entry'!I50)),"")</f>
        <v/>
      </c>
      <c r="J18" s="167" t="str">
        <f>IF(Data!$L$32=1,IF(OR(Data!$L$2=1,Data!$L$3=1),IF(OR(Data!BY53=0,Data!BY53=""),"","O"&amp;Data!BY53),IF('ARDT Cutter Entry'!$C$111&lt;&gt;"",'ARDT Cutter Entry'!J118,'ARDT Cutter Entry'!J50)),"")</f>
        <v/>
      </c>
      <c r="K18" s="167" t="str">
        <f>IF(Data!$L$32=1,IF(OR(Data!$L$2=1,Data!$L$3=1),IF(OR(Data!BZ53=0,Data!BZ53=""),"","O"&amp;Data!BZ53),IF('ARDT Cutter Entry'!$C$111&lt;&gt;"",'ARDT Cutter Entry'!K118,'ARDT Cutter Entry'!K50)),"")</f>
        <v/>
      </c>
      <c r="L18" s="167" t="str">
        <f>IF(Data!$L$32=1,IF(OR(Data!$L$2=1,Data!$L$3=1),IF(OR(Data!CA53=0,Data!CA53=""),"","O"&amp;Data!CA53),IF('ARDT Cutter Entry'!$C$111&lt;&gt;"",'ARDT Cutter Entry'!L118,'ARDT Cutter Entry'!L50)),"")</f>
        <v/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/>
      </c>
      <c r="U18" s="167" t="str">
        <f>IF(Data!$L$32=1,IF(OR(Data!$L$2=1,Data!$L$3=1),IF(OR(Data!CJ53=0,Data!CJ53=""),"","O"&amp;Data!CJ53),IF('ARDT Cutter Entry'!$C$111&lt;&gt;"",'ARDT Cutter Entry'!U118,'ARDT Cutter Entry'!U50)),"")</f>
        <v/>
      </c>
      <c r="V18" s="167" t="str">
        <f>IF(Data!$L$32=1,IF(OR(Data!$L$2=1,Data!$L$3=1),IF(OR(Data!CK53=0,Data!CK53=""),"","O"&amp;Data!CK53),IF('ARDT Cutter Entry'!$C$111&lt;&gt;"",'ARDT Cutter Entry'!V118,'ARDT Cutter Entry'!V50)),"")</f>
        <v/>
      </c>
      <c r="W18" s="167" t="str">
        <f>IF(Data!$L$32=1,IF(OR(Data!$L$2=1,Data!$L$3=1),IF(OR(Data!CL53=0,Data!CL53=""),"","O"&amp;Data!CL53),IF('ARDT Cutter Entry'!$C$111&lt;&gt;"",'ARDT Cutter Entry'!W118,'ARDT Cutter Entry'!W50)),"")</f>
        <v/>
      </c>
      <c r="X18" s="167" t="str">
        <f>IF(Data!$L$32=1,IF(OR(Data!$L$2=1,Data!$L$3=1),IF(OR(Data!CM53=0,Data!CM53=""),"","O"&amp;Data!CM53),IF('ARDT Cutter Entry'!$C$111&lt;&gt;"",'ARDT Cutter Entry'!X118,'ARDT Cutter Entry'!X50)),"")</f>
        <v/>
      </c>
      <c r="Y18" s="167" t="str">
        <f>IF(Data!$L$32=1,IF(OR(Data!$L$2=1,Data!$L$3=1),IF(OR(Data!CN53=0,Data!CN53=""),"","O"&amp;Data!CN53),IF('ARDT Cutter Entry'!$C$111&lt;&gt;"",'ARDT Cutter Entry'!Y118,'ARDT Cutter Entry'!Y50)),"")</f>
        <v/>
      </c>
      <c r="Z18" s="167" t="str">
        <f>IF(Data!$L$32=1,IF(OR(Data!$L$2=1,Data!$L$3=1),IF(OR(Data!CO53=0,Data!CO53=""),"","O"&amp;Data!CO53),IF('ARDT Cutter Entry'!$C$111&lt;&gt;"",'ARDT Cutter Entry'!Z118,'ARDT Cutter Entry'!Z50)),"")</f>
        <v/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5" customHeight="1" x14ac:dyDescent="0.35">
      <c r="A19" s="1659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5" customHeight="1" x14ac:dyDescent="0.35">
      <c r="A20" s="1659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5" customHeight="1" x14ac:dyDescent="0.35">
      <c r="A21" s="1659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5" customHeight="1" thickBot="1" x14ac:dyDescent="0.4">
      <c r="A22" s="1660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3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35">
      <c r="A24" s="1661" t="s">
        <v>34</v>
      </c>
      <c r="B24" s="1662"/>
      <c r="C24" s="1662"/>
      <c r="D24" s="1662"/>
      <c r="E24" s="1662"/>
      <c r="F24" s="1698"/>
      <c r="G24" s="1698"/>
      <c r="H24" s="1698"/>
      <c r="I24" s="1698"/>
      <c r="J24" s="1662" t="s">
        <v>35</v>
      </c>
      <c r="K24" s="1662"/>
      <c r="L24" s="1662"/>
      <c r="M24" s="1674"/>
      <c r="N24" s="1674"/>
      <c r="O24" s="1674"/>
      <c r="P24" s="1674"/>
      <c r="Q24" s="1662" t="s">
        <v>36</v>
      </c>
      <c r="R24" s="1662"/>
      <c r="S24" s="1674"/>
      <c r="T24" s="1674"/>
      <c r="U24" s="1674"/>
      <c r="V24" s="1674"/>
      <c r="W24" s="535"/>
      <c r="X24" s="1209" t="s">
        <v>37</v>
      </c>
      <c r="Y24" s="1209"/>
      <c r="Z24" s="1657"/>
      <c r="AA24" s="480" t="str">
        <f>IF(Data!G32&lt;&gt;"","",IF(Data!G32=1,"",IF(Data!L32=1,IF(Data!B5&lt;&gt;"",IF(OR(AE24="√",AI24="√"),"","√"),""),"")))</f>
        <v>√</v>
      </c>
      <c r="AB24" s="1209" t="s">
        <v>734</v>
      </c>
      <c r="AC24" s="1209"/>
      <c r="AD24" s="1657"/>
      <c r="AE24" s="480" t="str">
        <f>IF(Data!L32=1,IF(OR(Data!L2=1,Data!L3=1),"√",""),"")</f>
        <v/>
      </c>
      <c r="AF24" s="1209" t="s">
        <v>38</v>
      </c>
      <c r="AG24" s="1209"/>
      <c r="AH24" s="1209"/>
      <c r="AI24" s="480" t="str">
        <f>IF(Data!L32=1,IF(OR(Data!L4=1,Data!L5=1),"√",""),"")</f>
        <v/>
      </c>
      <c r="AJ24" s="26"/>
      <c r="AK24" s="396"/>
    </row>
    <row r="25" spans="1:37" ht="6" customHeight="1" x14ac:dyDescent="0.35">
      <c r="A25" s="1138"/>
      <c r="B25" s="1139"/>
      <c r="C25" s="1139"/>
      <c r="D25" s="1139"/>
      <c r="E25" s="1139"/>
      <c r="F25" s="1139"/>
      <c r="G25" s="1139"/>
      <c r="H25" s="1139"/>
      <c r="I25" s="1139"/>
      <c r="J25" s="1139"/>
      <c r="K25" s="1139"/>
      <c r="L25" s="1139"/>
      <c r="M25" s="1139"/>
      <c r="N25" s="1139"/>
      <c r="O25" s="1139"/>
      <c r="P25" s="1139"/>
      <c r="Q25" s="1139"/>
      <c r="R25" s="1139"/>
      <c r="S25" s="1139"/>
      <c r="T25" s="1139"/>
      <c r="U25" s="1139"/>
      <c r="V25" s="1139"/>
      <c r="W25" s="1139"/>
      <c r="X25" s="1139"/>
      <c r="Y25" s="1139"/>
      <c r="Z25" s="1139"/>
      <c r="AA25" s="1139"/>
      <c r="AJ25" s="26"/>
    </row>
    <row r="26" spans="1:37" ht="14.25" customHeight="1" x14ac:dyDescent="0.35">
      <c r="A26" s="1138" t="s">
        <v>20</v>
      </c>
      <c r="B26" s="1139"/>
      <c r="C26" s="1139"/>
      <c r="D26" s="1628">
        <f>IF(Evaluation!A34&lt;&gt;"",Evaluation!A34," ")</f>
        <v>10</v>
      </c>
      <c r="E26" s="1629"/>
      <c r="F26" s="1139" t="s">
        <v>968</v>
      </c>
      <c r="G26" s="1139"/>
      <c r="H26" s="1160">
        <f>IF(Evaluation!D34&lt;&gt;"",Evaluation!D34," ")</f>
        <v>35</v>
      </c>
      <c r="I26" s="1162"/>
      <c r="K26" s="1139" t="s">
        <v>969</v>
      </c>
      <c r="L26" s="1144"/>
      <c r="M26" s="1628">
        <f>IF(Evaluation!G34&lt;&gt;"",Evaluation!G34," ")</f>
        <v>0</v>
      </c>
      <c r="N26" s="1629"/>
      <c r="O26" s="1139" t="s">
        <v>970</v>
      </c>
      <c r="P26" s="1139"/>
      <c r="Q26" s="1160">
        <f>IF(Evaluation!J34&lt;&gt;"",Evaluation!J34," ")</f>
        <v>0</v>
      </c>
      <c r="R26" s="1162"/>
      <c r="S26" s="1139" t="s">
        <v>971</v>
      </c>
      <c r="T26" s="1139"/>
      <c r="U26" s="1144"/>
      <c r="V26" s="1628">
        <f>IF(Evaluation!M34&lt;&gt;"",Evaluation!M34," ")</f>
        <v>17</v>
      </c>
      <c r="W26" s="1629"/>
      <c r="X26" s="1139" t="s">
        <v>972</v>
      </c>
      <c r="Y26" s="1144"/>
      <c r="Z26" s="1628">
        <f>IF(Evaluation!P34&lt;&gt;"",Evaluation!P34," ")</f>
        <v>0</v>
      </c>
      <c r="AA26" s="1629"/>
      <c r="AC26" s="1688" t="s">
        <v>21</v>
      </c>
      <c r="AD26" s="1689"/>
      <c r="AE26" s="1160">
        <f>IF(Data!BO63&lt;&gt;"",Data!BO63," ")</f>
        <v>62</v>
      </c>
      <c r="AF26" s="1162"/>
      <c r="AJ26" s="26"/>
    </row>
    <row r="27" spans="1:37" ht="3.75" customHeight="1" thickBot="1" x14ac:dyDescent="0.4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35">
      <c r="A28" s="1141" t="s">
        <v>19</v>
      </c>
      <c r="B28" s="1142"/>
      <c r="C28" s="1142"/>
      <c r="D28" s="1699" t="str">
        <f>IF(Data!L32=1,IF(Data!L2=1,"The bit is Rerunable, No need for repair. ",IF('ARDT Cutter Entry'!Y57=1,"Accepted as rerun by engineer",IF('ARDT Cutter Entry'!D21&lt;&gt;"",'ARDT Cutter Entry'!D21," "))),"")</f>
        <v>Shank need machining, Breaker slot needs cleaning. Build up the following: pockets B1P6, B1P11, B3P7 and B4P6.</v>
      </c>
      <c r="E28" s="1699"/>
      <c r="F28" s="1699"/>
      <c r="G28" s="1699"/>
      <c r="H28" s="1699"/>
      <c r="I28" s="1699"/>
      <c r="J28" s="1699"/>
      <c r="K28" s="1699"/>
      <c r="L28" s="1699"/>
      <c r="M28" s="1699"/>
      <c r="N28" s="1699"/>
      <c r="O28" s="1699"/>
      <c r="P28" s="1699"/>
      <c r="Q28" s="1699"/>
      <c r="R28" s="1699"/>
      <c r="S28" s="1699"/>
      <c r="T28" s="1699"/>
      <c r="U28" s="1699"/>
      <c r="V28" s="1699"/>
      <c r="W28" s="1699"/>
      <c r="X28" s="1699"/>
      <c r="Y28" s="1699"/>
      <c r="Z28" s="1699"/>
      <c r="AA28" s="1699"/>
      <c r="AB28" s="1699"/>
      <c r="AC28" s="1699"/>
      <c r="AD28" s="1699"/>
      <c r="AE28" s="1699"/>
      <c r="AF28" s="1699"/>
      <c r="AG28" s="1699"/>
      <c r="AH28" s="1699"/>
      <c r="AI28" s="1699"/>
      <c r="AJ28" s="1700"/>
    </row>
    <row r="29" spans="1:37" ht="9" customHeight="1" x14ac:dyDescent="0.35">
      <c r="A29" s="1675" t="str">
        <f>IF(Instructions!$L$1&lt;&gt;"",Instructions!$L$1,"")</f>
        <v/>
      </c>
      <c r="B29" s="1676"/>
      <c r="C29" s="1676"/>
      <c r="D29" s="1701"/>
      <c r="E29" s="1701"/>
      <c r="F29" s="1701"/>
      <c r="G29" s="1701"/>
      <c r="H29" s="1701"/>
      <c r="I29" s="1701"/>
      <c r="J29" s="1701"/>
      <c r="K29" s="1701"/>
      <c r="L29" s="1701"/>
      <c r="M29" s="1701"/>
      <c r="N29" s="1701"/>
      <c r="O29" s="1701"/>
      <c r="P29" s="1701"/>
      <c r="Q29" s="1701"/>
      <c r="R29" s="1701"/>
      <c r="S29" s="1701"/>
      <c r="T29" s="1701"/>
      <c r="U29" s="1701"/>
      <c r="V29" s="1701"/>
      <c r="W29" s="1701"/>
      <c r="X29" s="1701"/>
      <c r="Y29" s="1701"/>
      <c r="Z29" s="1701"/>
      <c r="AA29" s="1701"/>
      <c r="AB29" s="1701"/>
      <c r="AC29" s="1701"/>
      <c r="AD29" s="1701"/>
      <c r="AE29" s="1701"/>
      <c r="AF29" s="1701"/>
      <c r="AG29" s="1701"/>
      <c r="AH29" s="1701"/>
      <c r="AI29" s="1701"/>
      <c r="AJ29" s="1702"/>
    </row>
    <row r="30" spans="1:37" ht="9" customHeight="1" x14ac:dyDescent="0.35">
      <c r="A30" s="1675"/>
      <c r="B30" s="1676"/>
      <c r="C30" s="1676"/>
      <c r="D30" s="1701"/>
      <c r="E30" s="1701"/>
      <c r="F30" s="1701"/>
      <c r="G30" s="1701"/>
      <c r="H30" s="1701"/>
      <c r="I30" s="1701"/>
      <c r="J30" s="1701"/>
      <c r="K30" s="1701"/>
      <c r="L30" s="1701"/>
      <c r="M30" s="1701"/>
      <c r="N30" s="1701"/>
      <c r="O30" s="1701"/>
      <c r="P30" s="1701"/>
      <c r="Q30" s="1701"/>
      <c r="R30" s="1701"/>
      <c r="S30" s="1701"/>
      <c r="T30" s="1701"/>
      <c r="U30" s="1701"/>
      <c r="V30" s="1701"/>
      <c r="W30" s="1701"/>
      <c r="X30" s="1701"/>
      <c r="Y30" s="1701"/>
      <c r="Z30" s="1701"/>
      <c r="AA30" s="1701"/>
      <c r="AB30" s="1701"/>
      <c r="AC30" s="1701"/>
      <c r="AD30" s="1701"/>
      <c r="AE30" s="1701"/>
      <c r="AF30" s="1701"/>
      <c r="AG30" s="1701"/>
      <c r="AH30" s="1701"/>
      <c r="AI30" s="1701"/>
      <c r="AJ30" s="1702"/>
    </row>
    <row r="31" spans="1:37" s="5" customFormat="1" ht="17.25" customHeight="1" x14ac:dyDescent="0.3">
      <c r="A31" s="651" t="s">
        <v>1493</v>
      </c>
      <c r="B31" s="652"/>
      <c r="C31" s="652"/>
      <c r="D31" s="652"/>
      <c r="E31" s="652"/>
      <c r="F31" s="652"/>
      <c r="G31" s="652"/>
      <c r="H31" s="653"/>
      <c r="I31" s="1650"/>
      <c r="J31" s="1650"/>
      <c r="K31" s="1650"/>
      <c r="L31" s="1650"/>
      <c r="M31" s="1650"/>
      <c r="N31" s="1650"/>
      <c r="O31" s="1650"/>
      <c r="P31" s="1650"/>
      <c r="Q31" s="1650"/>
      <c r="R31" s="1650"/>
      <c r="S31" s="1650"/>
      <c r="T31" s="1650"/>
      <c r="U31" s="1650"/>
      <c r="V31" s="1650"/>
      <c r="W31" s="1651" t="s">
        <v>1059</v>
      </c>
      <c r="X31" s="1651"/>
      <c r="Y31" s="1651"/>
      <c r="Z31" s="1651"/>
      <c r="AA31" s="1651"/>
      <c r="AB31" s="1651"/>
      <c r="AC31" s="1650"/>
      <c r="AD31" s="1650"/>
      <c r="AE31" s="1650"/>
      <c r="AF31" s="1650"/>
      <c r="AG31" s="1650"/>
      <c r="AH31" s="1650"/>
      <c r="AI31" s="1650"/>
      <c r="AJ31" s="1652"/>
    </row>
    <row r="32" spans="1:37" ht="2.25" customHeight="1" thickBot="1" x14ac:dyDescent="0.4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4">
      <c r="A33" s="1138" t="s">
        <v>39</v>
      </c>
      <c r="B33" s="1139"/>
      <c r="C33" s="1139"/>
      <c r="D33" s="1139"/>
      <c r="E33" s="1139"/>
      <c r="F33" s="1139"/>
      <c r="G33" s="1139"/>
      <c r="H33" s="1139"/>
      <c r="I33" s="1139"/>
      <c r="J33" s="1139"/>
      <c r="K33" s="1139"/>
      <c r="L33" s="1139"/>
      <c r="M33" s="1139"/>
      <c r="N33" s="1139"/>
      <c r="O33" s="1139"/>
      <c r="P33" s="1139"/>
      <c r="Q33" s="1139"/>
      <c r="R33" s="1139"/>
      <c r="S33" s="1139"/>
      <c r="T33" s="1139"/>
      <c r="U33" s="1139"/>
      <c r="V33" s="1139"/>
      <c r="W33" s="1139"/>
      <c r="X33" s="1139"/>
      <c r="Y33" s="1139"/>
      <c r="Z33" s="1139"/>
      <c r="AA33" s="1139"/>
      <c r="AB33" s="1139"/>
      <c r="AC33" s="1139"/>
      <c r="AD33" s="1139"/>
      <c r="AE33" s="1139"/>
      <c r="AF33" s="1139"/>
      <c r="AG33" s="1139"/>
      <c r="AH33" s="1139"/>
      <c r="AI33" s="1139"/>
      <c r="AJ33" s="1140"/>
    </row>
    <row r="34" spans="1:36" ht="6" customHeight="1" x14ac:dyDescent="0.35">
      <c r="A34" s="1683" t="s">
        <v>108</v>
      </c>
      <c r="B34" s="1681"/>
      <c r="C34" s="1681" t="s">
        <v>40</v>
      </c>
      <c r="D34" s="1681"/>
      <c r="E34" s="1681" t="s">
        <v>41</v>
      </c>
      <c r="F34" s="1681"/>
      <c r="G34" s="1681"/>
      <c r="H34" s="1681"/>
      <c r="I34" s="1681"/>
      <c r="J34" s="1681" t="s">
        <v>730</v>
      </c>
      <c r="K34" s="1681"/>
      <c r="L34" s="1681"/>
      <c r="M34" s="1681"/>
      <c r="N34" s="1681"/>
      <c r="O34" s="1681" t="s">
        <v>43</v>
      </c>
      <c r="P34" s="1681"/>
      <c r="Q34" s="1681"/>
      <c r="R34" s="1681"/>
      <c r="S34" s="1681"/>
      <c r="T34" s="1681"/>
      <c r="U34" s="1681"/>
      <c r="V34" s="1685" t="s">
        <v>44</v>
      </c>
      <c r="W34" s="1685"/>
      <c r="X34" s="1685"/>
      <c r="Y34" s="1685"/>
      <c r="Z34" s="1685"/>
      <c r="AA34" s="1685"/>
      <c r="AB34" s="1685"/>
      <c r="AC34" s="1685"/>
      <c r="AD34" s="1685"/>
      <c r="AE34" s="1685"/>
      <c r="AF34" s="1685"/>
      <c r="AG34" s="1685"/>
      <c r="AH34" s="1685"/>
      <c r="AI34" s="1685"/>
      <c r="AJ34" s="1686"/>
    </row>
    <row r="35" spans="1:36" ht="6" customHeight="1" x14ac:dyDescent="0.35">
      <c r="A35" s="1684"/>
      <c r="B35" s="1682"/>
      <c r="C35" s="1682"/>
      <c r="D35" s="1682"/>
      <c r="E35" s="1682"/>
      <c r="F35" s="1682"/>
      <c r="G35" s="1682"/>
      <c r="H35" s="1682"/>
      <c r="I35" s="1682"/>
      <c r="J35" s="1682"/>
      <c r="K35" s="1682"/>
      <c r="L35" s="1682"/>
      <c r="M35" s="1682"/>
      <c r="N35" s="1682"/>
      <c r="O35" s="1682"/>
      <c r="P35" s="1682"/>
      <c r="Q35" s="1682"/>
      <c r="R35" s="1682"/>
      <c r="S35" s="1682"/>
      <c r="T35" s="1682"/>
      <c r="U35" s="1682"/>
      <c r="V35" s="1169"/>
      <c r="W35" s="1169"/>
      <c r="X35" s="1169"/>
      <c r="Y35" s="1169"/>
      <c r="Z35" s="1169"/>
      <c r="AA35" s="1169"/>
      <c r="AB35" s="1169"/>
      <c r="AC35" s="1169"/>
      <c r="AD35" s="1169"/>
      <c r="AE35" s="1169"/>
      <c r="AF35" s="1169"/>
      <c r="AG35" s="1169"/>
      <c r="AH35" s="1169"/>
      <c r="AI35" s="1169"/>
      <c r="AJ35" s="1687"/>
    </row>
    <row r="36" spans="1:36" ht="12" customHeight="1" x14ac:dyDescent="0.35">
      <c r="A36" s="1133">
        <f>IF(TRIM(J36)="","",IF(Data!CX60&gt;0,IF(Data!CX60&lt;&gt;"", Data!CX60, " ")," "))</f>
        <v>1</v>
      </c>
      <c r="B36" s="1126"/>
      <c r="C36" s="1126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8</v>
      </c>
      <c r="D36" s="1126"/>
      <c r="E36" s="1126">
        <f>IF(Data!GK2&gt;0,IF(Data!GK2&lt;&gt;"",Data!GK2," ")," ")</f>
        <v>1613</v>
      </c>
      <c r="F36" s="1126"/>
      <c r="G36" s="1126"/>
      <c r="H36" s="1126"/>
      <c r="I36" s="1126"/>
      <c r="J36" s="1126">
        <f>IF(Data!GG2&gt;0,IF(Data!GG2&lt;&gt;"",IF(Data!GG2&lt;&gt;"Add the cutter in list",Data!GG2," ")," "),"")</f>
        <v>1130198</v>
      </c>
      <c r="K36" s="1126"/>
      <c r="L36" s="1126"/>
      <c r="M36" s="1126"/>
      <c r="N36" s="1126"/>
      <c r="O36" s="1126" t="str">
        <f>IF(Data!H12&lt;&gt;"", Data!H12, " ")</f>
        <v xml:space="preserve"> CT182 0.018"</v>
      </c>
      <c r="P36" s="1126"/>
      <c r="Q36" s="1126"/>
      <c r="R36" s="1126"/>
      <c r="S36" s="1126"/>
      <c r="T36" s="1126"/>
      <c r="U36" s="1126"/>
      <c r="V36" s="1126" t="str">
        <f>IF(Evaluation!R44&lt;&gt;"",Evaluation!R44," ")</f>
        <v>[RTRO 8]</v>
      </c>
      <c r="W36" s="1126"/>
      <c r="X36" s="1126"/>
      <c r="Y36" s="1126"/>
      <c r="Z36" s="1126"/>
      <c r="AA36" s="1126"/>
      <c r="AB36" s="1126"/>
      <c r="AC36" s="1126"/>
      <c r="AD36" s="1126"/>
      <c r="AE36" s="1126"/>
      <c r="AF36" s="1126"/>
      <c r="AG36" s="1126"/>
      <c r="AH36" s="1126"/>
      <c r="AI36" s="1126"/>
      <c r="AJ36" s="1127"/>
    </row>
    <row r="37" spans="1:36" ht="12" customHeight="1" x14ac:dyDescent="0.35">
      <c r="A37" s="1133">
        <f>IF(TRIM(J37)="","",IF(Data!CX61&gt;0,IF(Data!CX61&lt;&gt;"",Data!CX61," ")," "))</f>
        <v>2</v>
      </c>
      <c r="B37" s="1126"/>
      <c r="C37" s="1126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3</v>
      </c>
      <c r="D37" s="1126"/>
      <c r="E37" s="1126">
        <f>IF(Data!GK3&gt;0,IF(Data!GK3&lt;&gt;"",Data!GK3," ")," ")</f>
        <v>1608</v>
      </c>
      <c r="F37" s="1126"/>
      <c r="G37" s="1126"/>
      <c r="H37" s="1126"/>
      <c r="I37" s="1126"/>
      <c r="J37" s="1126">
        <f>IF(Data!GG3&gt;0,IF(Data!GG3&lt;&gt;"",IF(Data!GG3&lt;&gt;"Add the cutter in list",Data!GG3," ")," "),"")</f>
        <v>647435</v>
      </c>
      <c r="K37" s="1126"/>
      <c r="L37" s="1126"/>
      <c r="M37" s="1126"/>
      <c r="N37" s="1126"/>
      <c r="O37" s="1126" t="str">
        <f>IF(Data!H13&lt;&gt;"", Data!H13, " ")</f>
        <v xml:space="preserve"> CT200 0.018"</v>
      </c>
      <c r="P37" s="1126"/>
      <c r="Q37" s="1126"/>
      <c r="R37" s="1126"/>
      <c r="S37" s="1126"/>
      <c r="T37" s="1126"/>
      <c r="U37" s="1126"/>
      <c r="V37" s="1126" t="str">
        <f>IF(Evaluation!R45&lt;&gt;"",Evaluation!R45," ")</f>
        <v>[ ENO 3]</v>
      </c>
      <c r="W37" s="1126"/>
      <c r="X37" s="1126"/>
      <c r="Y37" s="1126"/>
      <c r="Z37" s="1126"/>
      <c r="AA37" s="1126"/>
      <c r="AB37" s="1126"/>
      <c r="AC37" s="1126"/>
      <c r="AD37" s="1126"/>
      <c r="AE37" s="1126"/>
      <c r="AF37" s="1126"/>
      <c r="AG37" s="1126"/>
      <c r="AH37" s="1126"/>
      <c r="AI37" s="1126"/>
      <c r="AJ37" s="1127"/>
    </row>
    <row r="38" spans="1:36" ht="12" customHeight="1" x14ac:dyDescent="0.35">
      <c r="A38" s="1133">
        <f>IF(TRIM(J38)="","",IF(Data!CX62&gt;0,IF(Data!CX62&lt;&gt;"",Data!CX62," ")," "))</f>
        <v>3</v>
      </c>
      <c r="B38" s="1126"/>
      <c r="C38" s="1126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6</v>
      </c>
      <c r="D38" s="1126"/>
      <c r="E38" s="1126">
        <f>IF(Data!GK4&gt;0,IF(Data!GK4&lt;&gt;"",Data!GK4," ")," ")</f>
        <v>1308</v>
      </c>
      <c r="F38" s="1126"/>
      <c r="G38" s="1126"/>
      <c r="H38" s="1126"/>
      <c r="I38" s="1126"/>
      <c r="J38" s="1126">
        <f>IF(Data!GG4&gt;0,IF(Data!GG4&lt;&gt;"",IF(Data!GG4&lt;&gt;"Add the cutter in list",Data!GG4," ")," "),"")</f>
        <v>418525</v>
      </c>
      <c r="K38" s="1126"/>
      <c r="L38" s="1126"/>
      <c r="M38" s="1126"/>
      <c r="N38" s="1126"/>
      <c r="O38" s="1126" t="str">
        <f>IF(Data!H14&lt;&gt;"", Data!H14, " ")</f>
        <v>Drop in CT31</v>
      </c>
      <c r="P38" s="1126"/>
      <c r="Q38" s="1126"/>
      <c r="R38" s="1126"/>
      <c r="S38" s="1126"/>
      <c r="T38" s="1126"/>
      <c r="U38" s="1126"/>
      <c r="V38" s="1126" t="str">
        <f>IF(Evaluation!R46&lt;&gt;"",Evaluation!R46," ")</f>
        <v xml:space="preserve">  [6 New] </v>
      </c>
      <c r="W38" s="1126"/>
      <c r="X38" s="1126"/>
      <c r="Y38" s="1126"/>
      <c r="Z38" s="1126"/>
      <c r="AA38" s="1126"/>
      <c r="AB38" s="1126"/>
      <c r="AC38" s="1126"/>
      <c r="AD38" s="1126"/>
      <c r="AE38" s="1126"/>
      <c r="AF38" s="1126"/>
      <c r="AG38" s="1126"/>
      <c r="AH38" s="1126"/>
      <c r="AI38" s="1126"/>
      <c r="AJ38" s="1127"/>
    </row>
    <row r="39" spans="1:36" ht="12" customHeight="1" x14ac:dyDescent="0.35">
      <c r="A39" s="1133" t="str">
        <f>IF(TRIM(J39)="","",IF(Data!CX63&gt;0,IF(Data!CX63&lt;&gt;"",Data!CX63," ")," "))</f>
        <v/>
      </c>
      <c r="B39" s="1126"/>
      <c r="C39" s="1126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0</v>
      </c>
      <c r="D39" s="1126"/>
      <c r="E39" s="1126" t="str">
        <f>IF(Data!GK5&gt;0,IF(Data!GK5&lt;&gt;"",Data!GK5," ")," ")</f>
        <v xml:space="preserve"> </v>
      </c>
      <c r="F39" s="1126"/>
      <c r="G39" s="1126"/>
      <c r="H39" s="1126"/>
      <c r="I39" s="1126"/>
      <c r="J39" s="1126" t="str">
        <f>IF(Data!GG5&gt;0,IF(Data!GG5&lt;&gt;"",IF(Data!GG5&lt;&gt;"Add the cutter in list",Data!GG5," ")," "),"")</f>
        <v xml:space="preserve"> </v>
      </c>
      <c r="K39" s="1126"/>
      <c r="L39" s="1126"/>
      <c r="M39" s="1126"/>
      <c r="N39" s="1126"/>
      <c r="O39" s="1126" t="str">
        <f>IF(Data!H15&lt;&gt;"", Data!H15, " ")</f>
        <v xml:space="preserve"> </v>
      </c>
      <c r="P39" s="1126"/>
      <c r="Q39" s="1126"/>
      <c r="R39" s="1126"/>
      <c r="S39" s="1126"/>
      <c r="T39" s="1126"/>
      <c r="U39" s="1126"/>
      <c r="V39" s="1126" t="str">
        <f>IF(Evaluation!R47&lt;&gt;"",Evaluation!R47," ")</f>
        <v xml:space="preserve"> </v>
      </c>
      <c r="W39" s="1126"/>
      <c r="X39" s="1126"/>
      <c r="Y39" s="1126"/>
      <c r="Z39" s="1126"/>
      <c r="AA39" s="1126"/>
      <c r="AB39" s="1126"/>
      <c r="AC39" s="1126"/>
      <c r="AD39" s="1126"/>
      <c r="AE39" s="1126"/>
      <c r="AF39" s="1126"/>
      <c r="AG39" s="1126"/>
      <c r="AH39" s="1126"/>
      <c r="AI39" s="1126"/>
      <c r="AJ39" s="1127"/>
    </row>
    <row r="40" spans="1:36" ht="12" customHeight="1" x14ac:dyDescent="0.35">
      <c r="A40" s="1133" t="str">
        <f>IF(TRIM(J40)="","",IF(Data!CX64&gt;0,IF(Data!CX64&lt;&gt;"",Data!CX64," ")," "))</f>
        <v/>
      </c>
      <c r="B40" s="1126"/>
      <c r="C40" s="1126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0" s="1126"/>
      <c r="E40" s="1126" t="str">
        <f>IF(Data!GK6&gt;0,IF(Data!GK6&lt;&gt;"",Data!GK6," ")," ")</f>
        <v xml:space="preserve"> </v>
      </c>
      <c r="F40" s="1126"/>
      <c r="G40" s="1126"/>
      <c r="H40" s="1126"/>
      <c r="I40" s="1126"/>
      <c r="J40" s="1126" t="str">
        <f>IF(Data!GG6&gt;0,IF(Data!GG6&lt;&gt;"",IF(Data!GG6&lt;&gt;"Add the cutter in list",Data!GG6," ")," "),"")</f>
        <v xml:space="preserve"> </v>
      </c>
      <c r="K40" s="1126"/>
      <c r="L40" s="1126"/>
      <c r="M40" s="1126"/>
      <c r="N40" s="1126"/>
      <c r="O40" s="1126" t="str">
        <f>IF(Data!H16&lt;&gt;"", Data!H16, " ")</f>
        <v xml:space="preserve"> </v>
      </c>
      <c r="P40" s="1126"/>
      <c r="Q40" s="1126"/>
      <c r="R40" s="1126"/>
      <c r="S40" s="1126"/>
      <c r="T40" s="1126"/>
      <c r="U40" s="1126"/>
      <c r="V40" s="1126" t="str">
        <f>IF(Evaluation!R48&lt;&gt;"",Evaluation!R48," ")</f>
        <v xml:space="preserve"> </v>
      </c>
      <c r="W40" s="1126"/>
      <c r="X40" s="1126"/>
      <c r="Y40" s="1126"/>
      <c r="Z40" s="1126"/>
      <c r="AA40" s="1126"/>
      <c r="AB40" s="1126"/>
      <c r="AC40" s="1126"/>
      <c r="AD40" s="1126"/>
      <c r="AE40" s="1126"/>
      <c r="AF40" s="1126"/>
      <c r="AG40" s="1126"/>
      <c r="AH40" s="1126"/>
      <c r="AI40" s="1126"/>
      <c r="AJ40" s="1127"/>
    </row>
    <row r="41" spans="1:36" ht="12" customHeight="1" x14ac:dyDescent="0.35">
      <c r="A41" s="1133" t="str">
        <f>IF(TRIM(J41)="","",IF(Data!CX65&gt;0,IF(Data!CX65&lt;&gt;"",Data!CX65," ")," "))</f>
        <v/>
      </c>
      <c r="B41" s="1126"/>
      <c r="C41" s="1126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1" s="1126"/>
      <c r="E41" s="1126" t="str">
        <f>IF(Data!GK7&gt;0,IF(Data!GK7&lt;&gt;"",Data!GK7," ")," ")</f>
        <v xml:space="preserve"> </v>
      </c>
      <c r="F41" s="1126"/>
      <c r="G41" s="1126"/>
      <c r="H41" s="1126"/>
      <c r="I41" s="1126"/>
      <c r="J41" s="1126" t="str">
        <f>IF(Data!GG7&gt;0,IF(Data!GG7&lt;&gt;"",IF(Data!GG7&lt;&gt;"Add the cutter in list",Data!GG7," ")," "),"")</f>
        <v xml:space="preserve"> </v>
      </c>
      <c r="K41" s="1126"/>
      <c r="L41" s="1126"/>
      <c r="M41" s="1126"/>
      <c r="N41" s="1126"/>
      <c r="O41" s="1126" t="str">
        <f>IF(Data!H17&lt;&gt;"", Data!H17, " ")</f>
        <v xml:space="preserve"> </v>
      </c>
      <c r="P41" s="1126"/>
      <c r="Q41" s="1126"/>
      <c r="R41" s="1126"/>
      <c r="S41" s="1126"/>
      <c r="T41" s="1126"/>
      <c r="U41" s="1126"/>
      <c r="V41" s="1126" t="str">
        <f>IF(Evaluation!R49&lt;&gt;"",Evaluation!R49," ")</f>
        <v xml:space="preserve"> </v>
      </c>
      <c r="W41" s="1126"/>
      <c r="X41" s="1126"/>
      <c r="Y41" s="1126"/>
      <c r="Z41" s="1126"/>
      <c r="AA41" s="1126"/>
      <c r="AB41" s="1126"/>
      <c r="AC41" s="1126"/>
      <c r="AD41" s="1126"/>
      <c r="AE41" s="1126"/>
      <c r="AF41" s="1126"/>
      <c r="AG41" s="1126"/>
      <c r="AH41" s="1126"/>
      <c r="AI41" s="1126"/>
      <c r="AJ41" s="1127"/>
    </row>
    <row r="42" spans="1:36" ht="12" customHeight="1" x14ac:dyDescent="0.35">
      <c r="A42" s="1133" t="str">
        <f>IF(TRIM(J42)="","",IF(Data!CX66&gt;0,IF(Data!CX66&lt;&gt;"",Data!CX66," ")," "))</f>
        <v/>
      </c>
      <c r="B42" s="1126"/>
      <c r="C42" s="1126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42" s="1126"/>
      <c r="E42" s="1126" t="str">
        <f>IF(Data!GK8&gt;0,IF(Data!GK8&lt;&gt;"",Data!GK8," ")," ")</f>
        <v xml:space="preserve"> </v>
      </c>
      <c r="F42" s="1126"/>
      <c r="G42" s="1126"/>
      <c r="H42" s="1126"/>
      <c r="I42" s="1126"/>
      <c r="J42" s="1126" t="str">
        <f>IF(Data!GG8&gt;0,IF(Data!GG8&lt;&gt;"",IF(Data!GG8&lt;&gt;"Add the cutter in list",Data!GG8," ")," "),"")</f>
        <v xml:space="preserve"> </v>
      </c>
      <c r="K42" s="1126"/>
      <c r="L42" s="1126"/>
      <c r="M42" s="1126"/>
      <c r="N42" s="1126"/>
      <c r="O42" s="1126" t="str">
        <f>IF(Data!H18&lt;&gt;"", Data!H18, " ")</f>
        <v xml:space="preserve"> </v>
      </c>
      <c r="P42" s="1126"/>
      <c r="Q42" s="1126"/>
      <c r="R42" s="1126"/>
      <c r="S42" s="1126"/>
      <c r="T42" s="1126"/>
      <c r="U42" s="1126"/>
      <c r="V42" s="1126" t="str">
        <f>IF(Evaluation!R50&lt;&gt;"",Evaluation!R50," ")</f>
        <v xml:space="preserve"> </v>
      </c>
      <c r="W42" s="1126"/>
      <c r="X42" s="1126"/>
      <c r="Y42" s="1126"/>
      <c r="Z42" s="1126"/>
      <c r="AA42" s="1126"/>
      <c r="AB42" s="1126"/>
      <c r="AC42" s="1126"/>
      <c r="AD42" s="1126"/>
      <c r="AE42" s="1126"/>
      <c r="AF42" s="1126"/>
      <c r="AG42" s="1126"/>
      <c r="AH42" s="1126"/>
      <c r="AI42" s="1126"/>
      <c r="AJ42" s="1127"/>
    </row>
    <row r="43" spans="1:36" ht="12" customHeight="1" x14ac:dyDescent="0.35">
      <c r="A43" s="1133" t="str">
        <f>IF(TRIM(J43)="","",IF(Data!CX67&gt;0,IF(Data!CX67&lt;&gt;"",Data!CX67," ")," "))</f>
        <v/>
      </c>
      <c r="B43" s="1126"/>
      <c r="C43" s="1126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>0</v>
      </c>
      <c r="D43" s="1126"/>
      <c r="E43" s="1126" t="str">
        <f>IF(Data!GK9&gt;0,IF(Data!GK9&lt;&gt;"",Data!GK9," ")," ")</f>
        <v xml:space="preserve"> </v>
      </c>
      <c r="F43" s="1126"/>
      <c r="G43" s="1126"/>
      <c r="H43" s="1126"/>
      <c r="I43" s="1126"/>
      <c r="J43" s="1126" t="str">
        <f>IF(Data!GG9&gt;0,IF(Data!GG9&lt;&gt;"",IF(Data!GG9&lt;&gt;"Add the cutter in list",Data!GG9," ")," "),"")</f>
        <v xml:space="preserve"> </v>
      </c>
      <c r="K43" s="1126"/>
      <c r="L43" s="1126"/>
      <c r="M43" s="1126"/>
      <c r="N43" s="1126"/>
      <c r="O43" s="1126" t="str">
        <f>IF(Data!H19&lt;&gt;"", Data!H19, " ")</f>
        <v xml:space="preserve"> </v>
      </c>
      <c r="P43" s="1126"/>
      <c r="Q43" s="1126"/>
      <c r="R43" s="1126"/>
      <c r="S43" s="1126"/>
      <c r="T43" s="1126"/>
      <c r="U43" s="1126"/>
      <c r="V43" s="1126" t="str">
        <f>IF(Evaluation!R57&lt;&gt;"",Evaluation!R57," ")</f>
        <v xml:space="preserve"> </v>
      </c>
      <c r="W43" s="1126"/>
      <c r="X43" s="1126"/>
      <c r="Y43" s="1126"/>
      <c r="Z43" s="1126"/>
      <c r="AA43" s="1126"/>
      <c r="AB43" s="1126"/>
      <c r="AC43" s="1126"/>
      <c r="AD43" s="1126"/>
      <c r="AE43" s="1126"/>
      <c r="AF43" s="1126"/>
      <c r="AG43" s="1126"/>
      <c r="AH43" s="1126"/>
      <c r="AI43" s="1126"/>
      <c r="AJ43" s="1127"/>
    </row>
    <row r="44" spans="1:36" ht="12" customHeight="1" x14ac:dyDescent="0.35">
      <c r="A44" s="1133" t="str">
        <f>IF(TRIM(J44)="","",IF(Data!CX68&gt;0,IF(Data!CX68&lt;&gt;"",Data!CX68," ")," "))</f>
        <v/>
      </c>
      <c r="B44" s="1126"/>
      <c r="C44" s="1126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>0</v>
      </c>
      <c r="D44" s="1126"/>
      <c r="E44" s="1126" t="str">
        <f>IF(Data!GK10&gt;0,IF(Data!GK10&lt;&gt;"",Data!GK10," ")," ")</f>
        <v xml:space="preserve"> </v>
      </c>
      <c r="F44" s="1126"/>
      <c r="G44" s="1126"/>
      <c r="H44" s="1126"/>
      <c r="I44" s="1126"/>
      <c r="J44" s="1126" t="str">
        <f>IF(Data!GG10&gt;0,IF(Data!GG10&lt;&gt;"",IF(Data!GG10&lt;&gt;"Add the cutter in list",Data!GG10," ")," "),"")</f>
        <v xml:space="preserve"> </v>
      </c>
      <c r="K44" s="1126"/>
      <c r="L44" s="1126"/>
      <c r="M44" s="1126"/>
      <c r="N44" s="1126"/>
      <c r="O44" s="1126" t="str">
        <f>IF(Data!H20&lt;&gt;"", Data!H20, " ")</f>
        <v xml:space="preserve"> </v>
      </c>
      <c r="P44" s="1126"/>
      <c r="Q44" s="1126"/>
      <c r="R44" s="1126"/>
      <c r="S44" s="1126"/>
      <c r="T44" s="1126"/>
      <c r="U44" s="1126"/>
      <c r="V44" s="1126" t="str">
        <f>IF(Evaluation!R58&lt;&gt;"",Evaluation!R58," ")</f>
        <v xml:space="preserve"> </v>
      </c>
      <c r="W44" s="1126"/>
      <c r="X44" s="1126"/>
      <c r="Y44" s="1126"/>
      <c r="Z44" s="1126"/>
      <c r="AA44" s="1126"/>
      <c r="AB44" s="1126"/>
      <c r="AC44" s="1126"/>
      <c r="AD44" s="1126"/>
      <c r="AE44" s="1126"/>
      <c r="AF44" s="1126"/>
      <c r="AG44" s="1126"/>
      <c r="AH44" s="1126"/>
      <c r="AI44" s="1126"/>
      <c r="AJ44" s="1127"/>
    </row>
    <row r="45" spans="1:36" ht="12" customHeight="1" thickBot="1" x14ac:dyDescent="0.4">
      <c r="A45" s="1131" t="str">
        <f>IF(TRIM(J45)="","",IF(Data!CX69&gt;0,IF(Data!CX69&lt;&gt;"",Data!CX69," ")," "))</f>
        <v/>
      </c>
      <c r="B45" s="1132"/>
      <c r="C45" s="1132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>0</v>
      </c>
      <c r="D45" s="1132"/>
      <c r="E45" s="1132" t="str">
        <f>IF(Data!GK11&gt;0,IF(Data!GK11&lt;&gt;"",Data!GK11," ")," ")</f>
        <v xml:space="preserve"> </v>
      </c>
      <c r="F45" s="1132"/>
      <c r="G45" s="1132"/>
      <c r="H45" s="1132"/>
      <c r="I45" s="1132"/>
      <c r="J45" s="1132" t="str">
        <f>IF(Data!GG11&gt;0,IF(Data!GG11&lt;&gt;"",IF(Data!GG11&lt;&gt;"Add the cutter in list",Data!GG11," ")," "),"")</f>
        <v xml:space="preserve"> </v>
      </c>
      <c r="K45" s="1132"/>
      <c r="L45" s="1132"/>
      <c r="M45" s="1132"/>
      <c r="N45" s="1132"/>
      <c r="O45" s="1132" t="str">
        <f>IF(Data!H21&lt;&gt;"", Data!H21, " ")</f>
        <v xml:space="preserve"> </v>
      </c>
      <c r="P45" s="1132"/>
      <c r="Q45" s="1132"/>
      <c r="R45" s="1132"/>
      <c r="S45" s="1132"/>
      <c r="T45" s="1132"/>
      <c r="U45" s="1132"/>
      <c r="V45" s="1132" t="str">
        <f>IF(Evaluation!R60&lt;&gt;"",Evaluation!R60," ")</f>
        <v xml:space="preserve"> </v>
      </c>
      <c r="W45" s="1132"/>
      <c r="X45" s="1132"/>
      <c r="Y45" s="1132"/>
      <c r="Z45" s="1132"/>
      <c r="AA45" s="1132"/>
      <c r="AB45" s="1132"/>
      <c r="AC45" s="1132"/>
      <c r="AD45" s="1132"/>
      <c r="AE45" s="1132"/>
      <c r="AF45" s="1132"/>
      <c r="AG45" s="1132"/>
      <c r="AH45" s="1132"/>
      <c r="AI45" s="1132"/>
      <c r="AJ45" s="1134"/>
    </row>
    <row r="46" spans="1:36" ht="10" customHeight="1" x14ac:dyDescent="0.3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35">
      <c r="A47" s="1650" t="s">
        <v>1056</v>
      </c>
      <c r="B47" s="1650"/>
      <c r="C47" s="1650"/>
      <c r="D47" s="1650"/>
      <c r="E47" s="1650"/>
      <c r="F47" s="1650"/>
      <c r="H47" s="1650" t="str">
        <f>IF(Data!B16&lt;&gt;"",Data!B16," ")</f>
        <v>SAUDI ARAMCO</v>
      </c>
      <c r="I47" s="1650"/>
      <c r="J47" s="1650"/>
      <c r="K47" s="1650"/>
      <c r="P47" s="1650" t="s">
        <v>1494</v>
      </c>
      <c r="Q47" s="1650"/>
      <c r="R47" s="1650"/>
      <c r="S47" s="1650"/>
      <c r="T47" s="1650"/>
      <c r="U47" s="1650"/>
      <c r="V47" s="1650"/>
      <c r="W47" s="1650"/>
      <c r="X47" s="1663"/>
      <c r="Y47" s="1663"/>
      <c r="Z47" s="1663"/>
      <c r="AA47" s="1663"/>
    </row>
    <row r="49" spans="22:36" x14ac:dyDescent="0.3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3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</mergeCells>
  <conditionalFormatting sqref="A36:B45">
    <cfRule type="expression" dxfId="417" priority="54">
      <formula>COUNTIF($A36,"5")</formula>
    </cfRule>
    <cfRule type="expression" dxfId="416" priority="53">
      <formula>COUNTIF($A36,"6")</formula>
    </cfRule>
    <cfRule type="expression" dxfId="415" priority="52">
      <formula>COUNTIF($A36,"7")</formula>
    </cfRule>
    <cfRule type="expression" dxfId="414" priority="7">
      <formula>COUNTIF($A36,"10")</formula>
    </cfRule>
    <cfRule type="expression" dxfId="413" priority="8">
      <formula>COUNTIF($A36,"9")</formula>
    </cfRule>
    <cfRule type="expression" dxfId="412" priority="9">
      <formula>COUNTIF($A36,"8")</formula>
    </cfRule>
    <cfRule type="expression" dxfId="411" priority="55">
      <formula>COUNTIF($A36,"4")</formula>
    </cfRule>
    <cfRule type="expression" dxfId="410" priority="56">
      <formula>COUNTIF($A36,"3")</formula>
    </cfRule>
    <cfRule type="expression" dxfId="409" priority="57">
      <formula>COUNTIF($A36,"2")</formula>
    </cfRule>
    <cfRule type="expression" dxfId="408" priority="58">
      <formula>COUNTIF($A36,"1")</formula>
    </cfRule>
  </conditionalFormatting>
  <conditionalFormatting sqref="A29:C30">
    <cfRule type="expression" dxfId="407" priority="3">
      <formula>$A$29&lt;&gt;""</formula>
    </cfRule>
  </conditionalFormatting>
  <conditionalFormatting sqref="C36:D45">
    <cfRule type="cellIs" dxfId="406" priority="4" operator="equal">
      <formula>0</formula>
    </cfRule>
  </conditionalFormatting>
  <conditionalFormatting sqref="C10:AJ10">
    <cfRule type="beginsWith" dxfId="405" priority="124" operator="beginsWith" text="0a">
      <formula>LEFT(C10,LEN("0a"))="0a"</formula>
    </cfRule>
  </conditionalFormatting>
  <conditionalFormatting sqref="C11:AJ22">
    <cfRule type="expression" dxfId="402" priority="37">
      <formula>AND(COUNTIF(C11,"*V*"),AND(NOT(COUNTIF(B11,"*V*")),NOT(COUNTIF(D11,"*V*"))))</formula>
    </cfRule>
  </conditionalFormatting>
  <conditionalFormatting sqref="D26:E26 H26:I26 M26:N26 Q26:R26 V26:W26 Z26:AA26">
    <cfRule type="cellIs" dxfId="382" priority="6" operator="equal">
      <formula>0</formula>
    </cfRule>
  </conditionalFormatting>
  <conditionalFormatting sqref="AE7:AI7">
    <cfRule type="cellIs" dxfId="38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5" x14ac:dyDescent="0.35"/>
  <cols>
    <col min="1" max="1" width="18.1796875" style="1000" bestFit="1" customWidth="1"/>
    <col min="2" max="2" width="18.54296875" style="1000" bestFit="1" customWidth="1"/>
    <col min="3" max="3" width="11.54296875" style="1000" bestFit="1" customWidth="1"/>
    <col min="4" max="4" width="12.453125" style="1000" bestFit="1" customWidth="1"/>
    <col min="5" max="5" width="16.26953125" style="1000" bestFit="1" customWidth="1"/>
    <col min="6" max="6" width="13.54296875" style="1000" bestFit="1" customWidth="1"/>
    <col min="7" max="7" width="13.54296875" style="1000" customWidth="1"/>
    <col min="8" max="8" width="17.1796875" style="1000" bestFit="1" customWidth="1"/>
    <col min="9" max="9" width="13.81640625" style="10" customWidth="1"/>
    <col min="10" max="10" width="115.453125" style="13" bestFit="1" customWidth="1"/>
    <col min="11" max="11" width="16.54296875" bestFit="1" customWidth="1"/>
    <col min="12" max="12" width="14.54296875" customWidth="1"/>
    <col min="13" max="13" width="18.54296875" bestFit="1" customWidth="1"/>
    <col min="15" max="15" width="12" customWidth="1"/>
    <col min="17" max="17" width="13.54296875" bestFit="1" customWidth="1"/>
    <col min="18" max="18" width="13.54296875" customWidth="1"/>
    <col min="19" max="19" width="14.81640625" bestFit="1" customWidth="1"/>
    <col min="20" max="20" width="41.453125" style="10" customWidth="1"/>
    <col min="21" max="21" width="95.7265625" bestFit="1" customWidth="1"/>
    <col min="22" max="22" width="40.1796875" bestFit="1" customWidth="1"/>
  </cols>
  <sheetData>
    <row r="1" spans="1:22" x14ac:dyDescent="0.35">
      <c r="K1" s="1708" t="s">
        <v>2210</v>
      </c>
      <c r="L1" s="1703" t="str">
        <f>_xlfn.TEXTJOIN(". ", TRUE, U4:U320) &amp; IF(_xlfn.TEXTJOIN(". ", TRUE, U4:U320)&lt;&gt;"",".","")</f>
        <v/>
      </c>
      <c r="M1" s="1704"/>
      <c r="N1" s="1704"/>
      <c r="O1" s="1704"/>
      <c r="P1" s="1704"/>
      <c r="Q1" s="1704"/>
      <c r="R1" s="1704"/>
      <c r="S1" s="1705"/>
    </row>
    <row r="2" spans="1:22" ht="16" thickBot="1" x14ac:dyDescent="0.4">
      <c r="K2" s="1709"/>
      <c r="L2" s="1706"/>
      <c r="M2" s="1509"/>
      <c r="N2" s="1509"/>
      <c r="O2" s="1509"/>
      <c r="P2" s="1509"/>
      <c r="Q2" s="1509"/>
      <c r="R2" s="1509"/>
      <c r="S2" s="1707"/>
    </row>
    <row r="3" spans="1:22" x14ac:dyDescent="0.35">
      <c r="A3" s="991" t="s">
        <v>2206</v>
      </c>
      <c r="B3" s="991" t="s">
        <v>2207</v>
      </c>
      <c r="C3" s="992" t="s">
        <v>1165</v>
      </c>
      <c r="D3" s="991" t="s">
        <v>1166</v>
      </c>
      <c r="E3" s="991" t="s">
        <v>2242</v>
      </c>
      <c r="F3" s="991" t="s">
        <v>2208</v>
      </c>
      <c r="G3" s="991" t="s">
        <v>2241</v>
      </c>
      <c r="H3" s="991" t="s">
        <v>2214</v>
      </c>
      <c r="I3" s="991" t="s">
        <v>995</v>
      </c>
      <c r="J3" s="1002" t="s">
        <v>2209</v>
      </c>
      <c r="L3" s="993" t="s">
        <v>2206</v>
      </c>
      <c r="M3" s="994" t="s">
        <v>2207</v>
      </c>
      <c r="N3" s="995" t="s">
        <v>1165</v>
      </c>
      <c r="O3" s="994" t="s">
        <v>1166</v>
      </c>
      <c r="P3" s="994" t="s">
        <v>2242</v>
      </c>
      <c r="Q3" s="994" t="s">
        <v>2208</v>
      </c>
      <c r="R3" s="994" t="s">
        <v>2241</v>
      </c>
      <c r="S3" s="994" t="s">
        <v>2214</v>
      </c>
      <c r="T3" s="994" t="s">
        <v>995</v>
      </c>
      <c r="U3" s="997" t="s">
        <v>2211</v>
      </c>
      <c r="V3" s="994" t="s">
        <v>2213</v>
      </c>
    </row>
    <row r="4" spans="1:22" x14ac:dyDescent="0.35">
      <c r="B4" s="1000">
        <v>14081145</v>
      </c>
      <c r="I4" s="1000"/>
      <c r="J4" s="1003" t="s">
        <v>2212</v>
      </c>
      <c r="L4" s="998" t="str">
        <f>IF(AND(Table2[[#This Row],[ORDER NO.]]&lt;&gt;"", Table2[[#This Row],[ORDER NO.]]=Data!$B$1),1,"")</f>
        <v/>
      </c>
      <c r="M4" s="998" t="str">
        <f>IFERROR(IF(AND(Table2[[#This Row],[SEREAL NO.]]&lt;&gt;"", Table2[[#This Row],[SEREAL NO.]]=Data!$A$103),1,""),"")</f>
        <v/>
      </c>
      <c r="N4" s="998" t="str">
        <f>IF(AND(Table2[[#This Row],[SIZE]]&lt;&gt;"", Table2[[#This Row],[SIZE]]=Data!$B$3),1,"")</f>
        <v/>
      </c>
      <c r="O4" s="998" t="str">
        <f>IF(AND(Table2[[#This Row],[TYPE]]&lt;&gt;"", Table2[[#This Row],[TYPE]]=Data!$B$4),1,"")</f>
        <v/>
      </c>
      <c r="P4" s="998" t="str">
        <f>IF(AND(Table2[[#This Row],[LV5 MAT NO.]]&lt;&gt;"", Table2[[#This Row],[LV5 MAT NO.]]=Data!$B$5),1,"")</f>
        <v/>
      </c>
      <c r="Q4" s="998" t="str">
        <f>IF(AND(Table2[[#This Row],[FROM]]&lt;&gt;"", Table2[[#This Row],[FROM]]=Data!$B$7),1,"")</f>
        <v/>
      </c>
      <c r="R4" s="998" t="str">
        <f>IF(AND(Table2[[#This Row],[LV3 or LV4 MAT NO.]]&lt;&gt;"", Table2[[#This Row],[LV3 or LV4 MAT NO.]]=Data!$B$8),1,"")</f>
        <v/>
      </c>
      <c r="S4" s="998"/>
      <c r="T4" s="998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35">
      <c r="E5" s="1000">
        <v>1257458</v>
      </c>
      <c r="I5" s="1000"/>
      <c r="J5" s="1003" t="s">
        <v>2215</v>
      </c>
      <c r="L5" s="998" t="str">
        <f>IF(AND(Table2[[#This Row],[ORDER NO.]]&lt;&gt;"", Table2[[#This Row],[ORDER NO.]]=Data!$B$1),1,"")</f>
        <v/>
      </c>
      <c r="M5" s="998" t="str">
        <f>IFERROR(IF(AND(Table2[[#This Row],[SEREAL NO.]]&lt;&gt;"", Table2[[#This Row],[SEREAL NO.]]=Data!$A$103),1,""),"")</f>
        <v/>
      </c>
      <c r="N5" s="998" t="str">
        <f>IF(AND(Table2[[#This Row],[SIZE]]&lt;&gt;"", Table2[[#This Row],[SIZE]]=Data!$B$3),1,"")</f>
        <v/>
      </c>
      <c r="O5" s="998" t="str">
        <f>IF(AND(Table2[[#This Row],[TYPE]]&lt;&gt;"", Table2[[#This Row],[TYPE]]=Data!$B$4),1,"")</f>
        <v/>
      </c>
      <c r="P5" s="998" t="str">
        <f>IF(AND(Table2[[#This Row],[LV5 MAT NO.]]&lt;&gt;"", Table2[[#This Row],[LV5 MAT NO.]]=Data!$B$5),1,"")</f>
        <v/>
      </c>
      <c r="Q5" s="998" t="str">
        <f>IF(AND(Table2[[#This Row],[FROM]]&lt;&gt;"", Table2[[#This Row],[FROM]]=Data!$B$7),1,"")</f>
        <v/>
      </c>
      <c r="R5" s="998" t="str">
        <f>IF(AND(Table2[[#This Row],[LV3 or LV4 MAT NO.]]&lt;&gt;"", Table2[[#This Row],[LV3 or LV4 MAT NO.]]=Data!$B$8),1,"")</f>
        <v/>
      </c>
      <c r="S5" s="998"/>
      <c r="T5" s="998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35">
      <c r="E6" s="1000" t="s">
        <v>2183</v>
      </c>
      <c r="I6" s="1000"/>
      <c r="J6" s="1003" t="s">
        <v>2215</v>
      </c>
      <c r="L6" s="998" t="str">
        <f>IF(AND(Table2[[#This Row],[ORDER NO.]]&lt;&gt;"", Table2[[#This Row],[ORDER NO.]]=Data!$B$1),1,"")</f>
        <v/>
      </c>
      <c r="M6" s="998" t="str">
        <f>IFERROR(IF(AND(Table2[[#This Row],[SEREAL NO.]]&lt;&gt;"", Table2[[#This Row],[SEREAL NO.]]=Data!$A$103),1,""),"")</f>
        <v/>
      </c>
      <c r="N6" s="998" t="str">
        <f>IF(AND(Table2[[#This Row],[SIZE]]&lt;&gt;"", Table2[[#This Row],[SIZE]]=Data!$B$3),1,"")</f>
        <v/>
      </c>
      <c r="O6" s="998" t="str">
        <f>IF(AND(Table2[[#This Row],[TYPE]]&lt;&gt;"", Table2[[#This Row],[TYPE]]=Data!$B$4),1,"")</f>
        <v/>
      </c>
      <c r="P6" s="998" t="str">
        <f>IF(AND(Table2[[#This Row],[LV5 MAT NO.]]&lt;&gt;"", Table2[[#This Row],[LV5 MAT NO.]]=Data!$B$5),1,"")</f>
        <v/>
      </c>
      <c r="Q6" s="998" t="str">
        <f>IF(AND(Table2[[#This Row],[FROM]]&lt;&gt;"", Table2[[#This Row],[FROM]]=Data!$B$7),1,"")</f>
        <v/>
      </c>
      <c r="R6" s="998" t="str">
        <f>IF(AND(Table2[[#This Row],[LV3 or LV4 MAT NO.]]&lt;&gt;"", Table2[[#This Row],[LV3 or LV4 MAT NO.]]=Data!$B$8),1,"")</f>
        <v/>
      </c>
      <c r="S6" s="998"/>
      <c r="T6" s="998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2487</v>
      </c>
    </row>
    <row r="7" spans="1:22" x14ac:dyDescent="0.35">
      <c r="G7" s="1000">
        <v>1212690</v>
      </c>
      <c r="I7" s="1000"/>
      <c r="J7" s="1003" t="s">
        <v>2218</v>
      </c>
      <c r="L7" s="998" t="str">
        <f>IF(AND(Table2[[#This Row],[ORDER NO.]]&lt;&gt;"", Table2[[#This Row],[ORDER NO.]]=Data!$B$1),1,"")</f>
        <v/>
      </c>
      <c r="M7" s="998" t="str">
        <f>IFERROR(IF(AND(Table2[[#This Row],[SEREAL NO.]]&lt;&gt;"", Table2[[#This Row],[SEREAL NO.]]=Data!$A$103),1,""),"")</f>
        <v/>
      </c>
      <c r="N7" s="998" t="str">
        <f>IF(AND(Table2[[#This Row],[SIZE]]&lt;&gt;"", Table2[[#This Row],[SIZE]]=Data!$B$3),1,"")</f>
        <v/>
      </c>
      <c r="O7" s="998" t="str">
        <f>IF(AND(Table2[[#This Row],[TYPE]]&lt;&gt;"", Table2[[#This Row],[TYPE]]=Data!$B$4),1,"")</f>
        <v/>
      </c>
      <c r="P7" s="998" t="str">
        <f>IF(AND(Table2[[#This Row],[LV5 MAT NO.]]&lt;&gt;"", Table2[[#This Row],[LV5 MAT NO.]]=Data!$B$5),1,"")</f>
        <v/>
      </c>
      <c r="Q7" s="998" t="str">
        <f>IF(AND(Table2[[#This Row],[FROM]]&lt;&gt;"", Table2[[#This Row],[FROM]]=Data!$B$7),1,"")</f>
        <v/>
      </c>
      <c r="R7" s="998" t="str">
        <f>IF(AND(Table2[[#This Row],[LV3 or LV4 MAT NO.]]&lt;&gt;"", Table2[[#This Row],[LV3 or LV4 MAT NO.]]=Data!$B$8),1,"")</f>
        <v/>
      </c>
      <c r="S7" s="998"/>
      <c r="T7" s="998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35">
      <c r="F8" s="1000" t="s">
        <v>2219</v>
      </c>
      <c r="G8" s="1000">
        <v>1259957</v>
      </c>
      <c r="I8" s="1000"/>
      <c r="J8" s="1003" t="s">
        <v>2218</v>
      </c>
      <c r="L8" s="998" t="str">
        <f>IF(AND(Table2[[#This Row],[ORDER NO.]]&lt;&gt;"", Table2[[#This Row],[ORDER NO.]]=Data!$B$1),1,"")</f>
        <v/>
      </c>
      <c r="M8" s="998" t="str">
        <f>IFERROR(IF(AND(Table2[[#This Row],[SEREAL NO.]]&lt;&gt;"", Table2[[#This Row],[SEREAL NO.]]=Data!$A$103),1,""),"")</f>
        <v/>
      </c>
      <c r="N8" s="998" t="str">
        <f>IF(AND(Table2[[#This Row],[SIZE]]&lt;&gt;"", Table2[[#This Row],[SIZE]]=Data!$B$3),1,"")</f>
        <v/>
      </c>
      <c r="O8" s="998" t="str">
        <f>IF(AND(Table2[[#This Row],[TYPE]]&lt;&gt;"", Table2[[#This Row],[TYPE]]=Data!$B$4),1,"")</f>
        <v/>
      </c>
      <c r="P8" s="998" t="str">
        <f>IF(AND(Table2[[#This Row],[LV5 MAT NO.]]&lt;&gt;"", Table2[[#This Row],[LV5 MAT NO.]]=Data!$B$5),1,"")</f>
        <v/>
      </c>
      <c r="Q8" s="998" t="str">
        <f>IF(AND(Table2[[#This Row],[FROM]]&lt;&gt;"", Table2[[#This Row],[FROM]]=Data!$B$7),1,"")</f>
        <v/>
      </c>
      <c r="R8" s="998" t="str">
        <f>IF(AND(Table2[[#This Row],[LV3 or LV4 MAT NO.]]&lt;&gt;"", Table2[[#This Row],[LV3 or LV4 MAT NO.]]=Data!$B$8),1,"")</f>
        <v/>
      </c>
      <c r="S8" s="998"/>
      <c r="T8" s="998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35">
      <c r="F9" s="1000" t="s">
        <v>2219</v>
      </c>
      <c r="G9" s="1000">
        <v>1158011</v>
      </c>
      <c r="I9" s="1000"/>
      <c r="J9" s="1003" t="s">
        <v>2220</v>
      </c>
      <c r="L9" s="998" t="str">
        <f>IF(AND(Table2[[#This Row],[ORDER NO.]]&lt;&gt;"", Table2[[#This Row],[ORDER NO.]]=Data!$B$1),1,"")</f>
        <v/>
      </c>
      <c r="M9" s="998" t="str">
        <f>IFERROR(IF(AND(Table2[[#This Row],[SEREAL NO.]]&lt;&gt;"", Table2[[#This Row],[SEREAL NO.]]=Data!$A$103),1,""),"")</f>
        <v/>
      </c>
      <c r="N9" s="998" t="str">
        <f>IF(AND(Table2[[#This Row],[SIZE]]&lt;&gt;"", Table2[[#This Row],[SIZE]]=Data!$B$3),1,"")</f>
        <v/>
      </c>
      <c r="O9" s="998" t="str">
        <f>IF(AND(Table2[[#This Row],[TYPE]]&lt;&gt;"", Table2[[#This Row],[TYPE]]=Data!$B$4),1,"")</f>
        <v/>
      </c>
      <c r="P9" s="998" t="str">
        <f>IF(AND(Table2[[#This Row],[LV5 MAT NO.]]&lt;&gt;"", Table2[[#This Row],[LV5 MAT NO.]]=Data!$B$5),1,"")</f>
        <v/>
      </c>
      <c r="Q9" s="998" t="str">
        <f>IF(AND(Table2[[#This Row],[FROM]]&lt;&gt;"", Table2[[#This Row],[FROM]]=Data!$B$7),1,"")</f>
        <v/>
      </c>
      <c r="R9" s="998" t="str">
        <f>IF(AND(Table2[[#This Row],[LV3 or LV4 MAT NO.]]&lt;&gt;"", Table2[[#This Row],[LV3 or LV4 MAT NO.]]=Data!$B$8),1,"")</f>
        <v/>
      </c>
      <c r="S9" s="998"/>
      <c r="T9" s="998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35">
      <c r="F10" s="1000" t="s">
        <v>2219</v>
      </c>
      <c r="G10" s="1000">
        <v>1269498</v>
      </c>
      <c r="I10" s="1000"/>
      <c r="J10" s="1003" t="s">
        <v>2221</v>
      </c>
      <c r="L10" s="998" t="str">
        <f>IF(AND(Table2[[#This Row],[ORDER NO.]]&lt;&gt;"", Table2[[#This Row],[ORDER NO.]]=Data!$B$1),1,"")</f>
        <v/>
      </c>
      <c r="M10" s="998" t="str">
        <f>IFERROR(IF(AND(Table2[[#This Row],[SEREAL NO.]]&lt;&gt;"", Table2[[#This Row],[SEREAL NO.]]=Data!$A$103),1,""),"")</f>
        <v/>
      </c>
      <c r="N10" s="998" t="str">
        <f>IF(AND(Table2[[#This Row],[SIZE]]&lt;&gt;"", Table2[[#This Row],[SIZE]]=Data!$B$3),1,"")</f>
        <v/>
      </c>
      <c r="O10" s="998" t="str">
        <f>IF(AND(Table2[[#This Row],[TYPE]]&lt;&gt;"", Table2[[#This Row],[TYPE]]=Data!$B$4),1,"")</f>
        <v/>
      </c>
      <c r="P10" s="998" t="str">
        <f>IF(AND(Table2[[#This Row],[LV5 MAT NO.]]&lt;&gt;"", Table2[[#This Row],[LV5 MAT NO.]]=Data!$B$5),1,"")</f>
        <v/>
      </c>
      <c r="Q10" s="998" t="str">
        <f>IF(AND(Table2[[#This Row],[FROM]]&lt;&gt;"", Table2[[#This Row],[FROM]]=Data!$B$7),1,"")</f>
        <v/>
      </c>
      <c r="R10" s="998" t="str">
        <f>IF(AND(Table2[[#This Row],[LV3 or LV4 MAT NO.]]&lt;&gt;"", Table2[[#This Row],[LV3 or LV4 MAT NO.]]=Data!$B$8),1,"")</f>
        <v/>
      </c>
      <c r="S10" s="998"/>
      <c r="T10" s="998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35">
      <c r="B11" s="1000">
        <v>13824396</v>
      </c>
      <c r="I11" s="1000"/>
      <c r="J11" s="13" t="s">
        <v>2223</v>
      </c>
      <c r="L11" s="998" t="str">
        <f>IF(AND(Table2[[#This Row],[ORDER NO.]]&lt;&gt;"", Table2[[#This Row],[ORDER NO.]]=Data!$B$1),1,"")</f>
        <v/>
      </c>
      <c r="M11" s="998" t="str">
        <f>IFERROR(IF(AND(Table2[[#This Row],[SEREAL NO.]]&lt;&gt;"", Table2[[#This Row],[SEREAL NO.]]=Data!$A$103),1,""),"")</f>
        <v/>
      </c>
      <c r="N11" s="998" t="str">
        <f>IF(AND(Table2[[#This Row],[SIZE]]&lt;&gt;"", Table2[[#This Row],[SIZE]]=Data!$B$3),1,"")</f>
        <v/>
      </c>
      <c r="O11" s="998" t="str">
        <f>IF(AND(Table2[[#This Row],[TYPE]]&lt;&gt;"", Table2[[#This Row],[TYPE]]=Data!$B$4),1,"")</f>
        <v/>
      </c>
      <c r="P11" s="998" t="str">
        <f>IF(AND(Table2[[#This Row],[LV5 MAT NO.]]&lt;&gt;"", Table2[[#This Row],[LV5 MAT NO.]]=Data!$B$5),1,"")</f>
        <v/>
      </c>
      <c r="Q11" s="998" t="str">
        <f>IF(AND(Table2[[#This Row],[FROM]]&lt;&gt;"", Table2[[#This Row],[FROM]]=Data!$B$7),1,"")</f>
        <v/>
      </c>
      <c r="R11" s="998" t="str">
        <f>IF(AND(Table2[[#This Row],[LV3 or LV4 MAT NO.]]&lt;&gt;"", Table2[[#This Row],[LV3 or LV4 MAT NO.]]=Data!$B$8),1,"")</f>
        <v/>
      </c>
      <c r="S11" s="998"/>
      <c r="T11" s="998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35">
      <c r="B12" s="1000">
        <v>13955536</v>
      </c>
      <c r="I12" s="1000"/>
      <c r="J12" s="13" t="s">
        <v>2223</v>
      </c>
      <c r="L12" s="998" t="str">
        <f>IF(AND(Table2[[#This Row],[ORDER NO.]]&lt;&gt;"", Table2[[#This Row],[ORDER NO.]]=Data!$B$1),1,"")</f>
        <v/>
      </c>
      <c r="M12" s="998" t="str">
        <f>IFERROR(IF(AND(Table2[[#This Row],[SEREAL NO.]]&lt;&gt;"", Table2[[#This Row],[SEREAL NO.]]=Data!$A$103),1,""),"")</f>
        <v/>
      </c>
      <c r="N12" s="998" t="str">
        <f>IF(AND(Table2[[#This Row],[SIZE]]&lt;&gt;"", Table2[[#This Row],[SIZE]]=Data!$B$3),1,"")</f>
        <v/>
      </c>
      <c r="O12" s="998" t="str">
        <f>IF(AND(Table2[[#This Row],[TYPE]]&lt;&gt;"", Table2[[#This Row],[TYPE]]=Data!$B$4),1,"")</f>
        <v/>
      </c>
      <c r="P12" s="998" t="str">
        <f>IF(AND(Table2[[#This Row],[LV5 MAT NO.]]&lt;&gt;"", Table2[[#This Row],[LV5 MAT NO.]]=Data!$B$5),1,"")</f>
        <v/>
      </c>
      <c r="Q12" s="998" t="str">
        <f>IF(AND(Table2[[#This Row],[FROM]]&lt;&gt;"", Table2[[#This Row],[FROM]]=Data!$B$7),1,"")</f>
        <v/>
      </c>
      <c r="R12" s="998" t="str">
        <f>IF(AND(Table2[[#This Row],[LV3 or LV4 MAT NO.]]&lt;&gt;"", Table2[[#This Row],[LV3 or LV4 MAT NO.]]=Data!$B$8),1,"")</f>
        <v/>
      </c>
      <c r="S12" s="998"/>
      <c r="T12" s="998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35">
      <c r="B13" s="1000">
        <v>13970758</v>
      </c>
      <c r="I13" s="1000"/>
      <c r="J13" s="13" t="s">
        <v>2223</v>
      </c>
      <c r="L13" s="998" t="str">
        <f>IF(AND(Table2[[#This Row],[ORDER NO.]]&lt;&gt;"", Table2[[#This Row],[ORDER NO.]]=Data!$B$1),1,"")</f>
        <v/>
      </c>
      <c r="M13" s="998" t="str">
        <f>IFERROR(IF(AND(Table2[[#This Row],[SEREAL NO.]]&lt;&gt;"", Table2[[#This Row],[SEREAL NO.]]=Data!$A$103),1,""),"")</f>
        <v/>
      </c>
      <c r="N13" s="998" t="str">
        <f>IF(AND(Table2[[#This Row],[SIZE]]&lt;&gt;"", Table2[[#This Row],[SIZE]]=Data!$B$3),1,"")</f>
        <v/>
      </c>
      <c r="O13" s="998" t="str">
        <f>IF(AND(Table2[[#This Row],[TYPE]]&lt;&gt;"", Table2[[#This Row],[TYPE]]=Data!$B$4),1,"")</f>
        <v/>
      </c>
      <c r="P13" s="998" t="str">
        <f>IF(AND(Table2[[#This Row],[LV5 MAT NO.]]&lt;&gt;"", Table2[[#This Row],[LV5 MAT NO.]]=Data!$B$5),1,"")</f>
        <v/>
      </c>
      <c r="Q13" s="998" t="str">
        <f>IF(AND(Table2[[#This Row],[FROM]]&lt;&gt;"", Table2[[#This Row],[FROM]]=Data!$B$7),1,"")</f>
        <v/>
      </c>
      <c r="R13" s="998" t="str">
        <f>IF(AND(Table2[[#This Row],[LV3 or LV4 MAT NO.]]&lt;&gt;"", Table2[[#This Row],[LV3 or LV4 MAT NO.]]=Data!$B$8),1,"")</f>
        <v/>
      </c>
      <c r="S13" s="998"/>
      <c r="T13" s="998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35">
      <c r="E14" s="1000">
        <v>1092981</v>
      </c>
      <c r="F14" s="1000" t="s">
        <v>2219</v>
      </c>
      <c r="I14" s="1000"/>
      <c r="J14" s="13" t="s">
        <v>2243</v>
      </c>
      <c r="L14" s="998" t="str">
        <f>IF(AND(Table2[[#This Row],[ORDER NO.]]&lt;&gt;"", Table2[[#This Row],[ORDER NO.]]=Data!$B$1),1,"")</f>
        <v/>
      </c>
      <c r="M14" s="998" t="str">
        <f>IFERROR(IF(AND(Table2[[#This Row],[SEREAL NO.]]&lt;&gt;"", Table2[[#This Row],[SEREAL NO.]]=Data!$A$103),1,""),"")</f>
        <v/>
      </c>
      <c r="N14" s="998" t="str">
        <f>IF(AND(Table2[[#This Row],[SIZE]]&lt;&gt;"", Table2[[#This Row],[SIZE]]=Data!$B$3),1,"")</f>
        <v/>
      </c>
      <c r="O14" s="998" t="str">
        <f>IF(AND(Table2[[#This Row],[TYPE]]&lt;&gt;"", Table2[[#This Row],[TYPE]]=Data!$B$4),1,"")</f>
        <v/>
      </c>
      <c r="P14" s="998" t="str">
        <f>IF(AND(Table2[[#This Row],[LV5 MAT NO.]]&lt;&gt;"", Table2[[#This Row],[LV5 MAT NO.]]=Data!$B$5),1,"")</f>
        <v/>
      </c>
      <c r="Q14" s="998" t="str">
        <f>IF(AND(Table2[[#This Row],[FROM]]&lt;&gt;"", Table2[[#This Row],[FROM]]=Data!$B$7),1,"")</f>
        <v/>
      </c>
      <c r="R14" s="998" t="str">
        <f>IF(AND(Table2[[#This Row],[LV3 or LV4 MAT NO.]]&lt;&gt;"", Table2[[#This Row],[LV3 or LV4 MAT NO.]]=Data!$B$8),1,"")</f>
        <v/>
      </c>
      <c r="S14" s="998"/>
      <c r="T14" s="998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35">
      <c r="E15" s="1000">
        <v>1083564</v>
      </c>
      <c r="F15" s="1000" t="s">
        <v>2219</v>
      </c>
      <c r="I15" s="1000"/>
      <c r="J15" s="13" t="s">
        <v>2243</v>
      </c>
      <c r="L15" s="998" t="str">
        <f>IF(AND(Table2[[#This Row],[ORDER NO.]]&lt;&gt;"", Table2[[#This Row],[ORDER NO.]]=Data!$B$1),1,"")</f>
        <v/>
      </c>
      <c r="M15" s="998" t="str">
        <f>IFERROR(IF(AND(Table2[[#This Row],[SEREAL NO.]]&lt;&gt;"", Table2[[#This Row],[SEREAL NO.]]=Data!$A$103),1,""),"")</f>
        <v/>
      </c>
      <c r="N15" s="998" t="str">
        <f>IF(AND(Table2[[#This Row],[SIZE]]&lt;&gt;"", Table2[[#This Row],[SIZE]]=Data!$B$3),1,"")</f>
        <v/>
      </c>
      <c r="O15" s="998" t="str">
        <f>IF(AND(Table2[[#This Row],[TYPE]]&lt;&gt;"", Table2[[#This Row],[TYPE]]=Data!$B$4),1,"")</f>
        <v/>
      </c>
      <c r="P15" s="998" t="str">
        <f>IF(AND(Table2[[#This Row],[LV5 MAT NO.]]&lt;&gt;"", Table2[[#This Row],[LV5 MAT NO.]]=Data!$B$5),1,"")</f>
        <v/>
      </c>
      <c r="Q15" s="998" t="str">
        <f>IF(AND(Table2[[#This Row],[FROM]]&lt;&gt;"", Table2[[#This Row],[FROM]]=Data!$B$7),1,"")</f>
        <v/>
      </c>
      <c r="R15" s="998" t="str">
        <f>IF(AND(Table2[[#This Row],[LV3 or LV4 MAT NO.]]&lt;&gt;"", Table2[[#This Row],[LV3 or LV4 MAT NO.]]=Data!$B$8),1,"")</f>
        <v/>
      </c>
      <c r="S15" s="998"/>
      <c r="T15" s="998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35">
      <c r="E16" s="1000">
        <v>1176919</v>
      </c>
      <c r="F16" s="1000" t="s">
        <v>2219</v>
      </c>
      <c r="I16" s="1000"/>
      <c r="J16" s="13" t="s">
        <v>2243</v>
      </c>
      <c r="L16" s="998" t="str">
        <f>IF(AND(Table2[[#This Row],[ORDER NO.]]&lt;&gt;"", Table2[[#This Row],[ORDER NO.]]=Data!$B$1),1,"")</f>
        <v/>
      </c>
      <c r="M16" s="998" t="str">
        <f>IFERROR(IF(AND(Table2[[#This Row],[SEREAL NO.]]&lt;&gt;"", Table2[[#This Row],[SEREAL NO.]]=Data!$A$103),1,""),"")</f>
        <v/>
      </c>
      <c r="N16" s="998" t="str">
        <f>IF(AND(Table2[[#This Row],[SIZE]]&lt;&gt;"", Table2[[#This Row],[SIZE]]=Data!$B$3),1,"")</f>
        <v/>
      </c>
      <c r="O16" s="998" t="str">
        <f>IF(AND(Table2[[#This Row],[TYPE]]&lt;&gt;"", Table2[[#This Row],[TYPE]]=Data!$B$4),1,"")</f>
        <v/>
      </c>
      <c r="P16" s="998" t="str">
        <f>IF(AND(Table2[[#This Row],[LV5 MAT NO.]]&lt;&gt;"", Table2[[#This Row],[LV5 MAT NO.]]=Data!$B$5),1,"")</f>
        <v/>
      </c>
      <c r="Q16" s="998" t="str">
        <f>IF(AND(Table2[[#This Row],[FROM]]&lt;&gt;"", Table2[[#This Row],[FROM]]=Data!$B$7),1,"")</f>
        <v/>
      </c>
      <c r="R16" s="998" t="str">
        <f>IF(AND(Table2[[#This Row],[LV3 or LV4 MAT NO.]]&lt;&gt;"", Table2[[#This Row],[LV3 or LV4 MAT NO.]]=Data!$B$8),1,"")</f>
        <v/>
      </c>
      <c r="S16" s="998"/>
      <c r="T16" s="998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35">
      <c r="E17" s="1000">
        <v>1269308</v>
      </c>
      <c r="F17" s="1000" t="s">
        <v>2219</v>
      </c>
      <c r="I17" s="1000"/>
      <c r="J17" s="13" t="s">
        <v>2243</v>
      </c>
      <c r="L17" s="998" t="str">
        <f>IF(AND(Table2[[#This Row],[ORDER NO.]]&lt;&gt;"", Table2[[#This Row],[ORDER NO.]]=Data!$B$1),1,"")</f>
        <v/>
      </c>
      <c r="M17" s="998" t="str">
        <f>IFERROR(IF(AND(Table2[[#This Row],[SEREAL NO.]]&lt;&gt;"", Table2[[#This Row],[SEREAL NO.]]=Data!$A$103),1,""),"")</f>
        <v/>
      </c>
      <c r="N17" s="998" t="str">
        <f>IF(AND(Table2[[#This Row],[SIZE]]&lt;&gt;"", Table2[[#This Row],[SIZE]]=Data!$B$3),1,"")</f>
        <v/>
      </c>
      <c r="O17" s="998" t="str">
        <f>IF(AND(Table2[[#This Row],[TYPE]]&lt;&gt;"", Table2[[#This Row],[TYPE]]=Data!$B$4),1,"")</f>
        <v/>
      </c>
      <c r="P17" s="998" t="str">
        <f>IF(AND(Table2[[#This Row],[LV5 MAT NO.]]&lt;&gt;"", Table2[[#This Row],[LV5 MAT NO.]]=Data!$B$5),1,"")</f>
        <v/>
      </c>
      <c r="Q17" s="998" t="str">
        <f>IF(AND(Table2[[#This Row],[FROM]]&lt;&gt;"", Table2[[#This Row],[FROM]]=Data!$B$7),1,"")</f>
        <v/>
      </c>
      <c r="R17" s="998" t="str">
        <f>IF(AND(Table2[[#This Row],[LV3 or LV4 MAT NO.]]&lt;&gt;"", Table2[[#This Row],[LV3 or LV4 MAT NO.]]=Data!$B$8),1,"")</f>
        <v/>
      </c>
      <c r="S17" s="998"/>
      <c r="T17" s="998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35">
      <c r="E18" s="1000">
        <v>1092981</v>
      </c>
      <c r="F18" s="1000" t="s">
        <v>2222</v>
      </c>
      <c r="I18" s="1000"/>
      <c r="J18" s="13" t="s">
        <v>2243</v>
      </c>
      <c r="L18" s="998" t="str">
        <f>IF(AND(Table2[[#This Row],[ORDER NO.]]&lt;&gt;"", Table2[[#This Row],[ORDER NO.]]=Data!$B$1),1,"")</f>
        <v/>
      </c>
      <c r="M18" s="998" t="str">
        <f>IFERROR(IF(AND(Table2[[#This Row],[SEREAL NO.]]&lt;&gt;"", Table2[[#This Row],[SEREAL NO.]]=Data!$A$103),1,""),"")</f>
        <v/>
      </c>
      <c r="N18" s="998" t="str">
        <f>IF(AND(Table2[[#This Row],[SIZE]]&lt;&gt;"", Table2[[#This Row],[SIZE]]=Data!$B$3),1,"")</f>
        <v/>
      </c>
      <c r="O18" s="998" t="str">
        <f>IF(AND(Table2[[#This Row],[TYPE]]&lt;&gt;"", Table2[[#This Row],[TYPE]]=Data!$B$4),1,"")</f>
        <v/>
      </c>
      <c r="P18" s="998" t="str">
        <f>IF(AND(Table2[[#This Row],[LV5 MAT NO.]]&lt;&gt;"", Table2[[#This Row],[LV5 MAT NO.]]=Data!$B$5),1,"")</f>
        <v/>
      </c>
      <c r="Q18" s="998" t="str">
        <f>IF(AND(Table2[[#This Row],[FROM]]&lt;&gt;"", Table2[[#This Row],[FROM]]=Data!$B$7),1,"")</f>
        <v/>
      </c>
      <c r="R18" s="998" t="str">
        <f>IF(AND(Table2[[#This Row],[LV3 or LV4 MAT NO.]]&lt;&gt;"", Table2[[#This Row],[LV3 or LV4 MAT NO.]]=Data!$B$8),1,"")</f>
        <v/>
      </c>
      <c r="S18" s="998"/>
      <c r="T18" s="998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35">
      <c r="E19" s="1000">
        <v>1083564</v>
      </c>
      <c r="F19" s="1000" t="s">
        <v>2222</v>
      </c>
      <c r="I19" s="1000"/>
      <c r="J19" s="13" t="s">
        <v>2243</v>
      </c>
      <c r="L19" s="998" t="str">
        <f>IF(AND(Table2[[#This Row],[ORDER NO.]]&lt;&gt;"", Table2[[#This Row],[ORDER NO.]]=Data!$B$1),1,"")</f>
        <v/>
      </c>
      <c r="M19" s="998" t="str">
        <f>IFERROR(IF(AND(Table2[[#This Row],[SEREAL NO.]]&lt;&gt;"", Table2[[#This Row],[SEREAL NO.]]=Data!$A$103),1,""),"")</f>
        <v/>
      </c>
      <c r="N19" s="998" t="str">
        <f>IF(AND(Table2[[#This Row],[SIZE]]&lt;&gt;"", Table2[[#This Row],[SIZE]]=Data!$B$3),1,"")</f>
        <v/>
      </c>
      <c r="O19" s="998" t="str">
        <f>IF(AND(Table2[[#This Row],[TYPE]]&lt;&gt;"", Table2[[#This Row],[TYPE]]=Data!$B$4),1,"")</f>
        <v/>
      </c>
      <c r="P19" s="998" t="str">
        <f>IF(AND(Table2[[#This Row],[LV5 MAT NO.]]&lt;&gt;"", Table2[[#This Row],[LV5 MAT NO.]]=Data!$B$5),1,"")</f>
        <v/>
      </c>
      <c r="Q19" s="998" t="str">
        <f>IF(AND(Table2[[#This Row],[FROM]]&lt;&gt;"", Table2[[#This Row],[FROM]]=Data!$B$7),1,"")</f>
        <v/>
      </c>
      <c r="R19" s="998" t="str">
        <f>IF(AND(Table2[[#This Row],[LV3 or LV4 MAT NO.]]&lt;&gt;"", Table2[[#This Row],[LV3 or LV4 MAT NO.]]=Data!$B$8),1,"")</f>
        <v/>
      </c>
      <c r="S19" s="998"/>
      <c r="T19" s="998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35">
      <c r="E20" s="1000">
        <v>1176919</v>
      </c>
      <c r="F20" s="1000" t="s">
        <v>2222</v>
      </c>
      <c r="I20" s="1000"/>
      <c r="J20" s="13" t="s">
        <v>2243</v>
      </c>
      <c r="L20" s="998" t="str">
        <f>IF(AND(Table2[[#This Row],[ORDER NO.]]&lt;&gt;"", Table2[[#This Row],[ORDER NO.]]=Data!$B$1),1,"")</f>
        <v/>
      </c>
      <c r="M20" s="998" t="str">
        <f>IFERROR(IF(AND(Table2[[#This Row],[SEREAL NO.]]&lt;&gt;"", Table2[[#This Row],[SEREAL NO.]]=Data!$A$103),1,""),"")</f>
        <v/>
      </c>
      <c r="N20" s="998" t="str">
        <f>IF(AND(Table2[[#This Row],[SIZE]]&lt;&gt;"", Table2[[#This Row],[SIZE]]=Data!$B$3),1,"")</f>
        <v/>
      </c>
      <c r="O20" s="998" t="str">
        <f>IF(AND(Table2[[#This Row],[TYPE]]&lt;&gt;"", Table2[[#This Row],[TYPE]]=Data!$B$4),1,"")</f>
        <v/>
      </c>
      <c r="P20" s="998" t="str">
        <f>IF(AND(Table2[[#This Row],[LV5 MAT NO.]]&lt;&gt;"", Table2[[#This Row],[LV5 MAT NO.]]=Data!$B$5),1,"")</f>
        <v/>
      </c>
      <c r="Q20" s="998" t="str">
        <f>IF(AND(Table2[[#This Row],[FROM]]&lt;&gt;"", Table2[[#This Row],[FROM]]=Data!$B$7),1,"")</f>
        <v/>
      </c>
      <c r="R20" s="998" t="str">
        <f>IF(AND(Table2[[#This Row],[LV3 or LV4 MAT NO.]]&lt;&gt;"", Table2[[#This Row],[LV3 or LV4 MAT NO.]]=Data!$B$8),1,"")</f>
        <v/>
      </c>
      <c r="S20" s="998"/>
      <c r="T20" s="998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35">
      <c r="E21" s="1000">
        <v>1269308</v>
      </c>
      <c r="F21" s="1000" t="s">
        <v>2222</v>
      </c>
      <c r="I21" s="1000"/>
      <c r="J21" s="13" t="s">
        <v>2243</v>
      </c>
      <c r="L21" s="998" t="str">
        <f>IF(AND(Table2[[#This Row],[ORDER NO.]]&lt;&gt;"", Table2[[#This Row],[ORDER NO.]]=Data!$B$1),1,"")</f>
        <v/>
      </c>
      <c r="M21" s="998" t="str">
        <f>IFERROR(IF(AND(Table2[[#This Row],[SEREAL NO.]]&lt;&gt;"", Table2[[#This Row],[SEREAL NO.]]=Data!$A$103),1,""),"")</f>
        <v/>
      </c>
      <c r="N21" s="998" t="str">
        <f>IF(AND(Table2[[#This Row],[SIZE]]&lt;&gt;"", Table2[[#This Row],[SIZE]]=Data!$B$3),1,"")</f>
        <v/>
      </c>
      <c r="O21" s="998" t="str">
        <f>IF(AND(Table2[[#This Row],[TYPE]]&lt;&gt;"", Table2[[#This Row],[TYPE]]=Data!$B$4),1,"")</f>
        <v/>
      </c>
      <c r="P21" s="998" t="str">
        <f>IF(AND(Table2[[#This Row],[LV5 MAT NO.]]&lt;&gt;"", Table2[[#This Row],[LV5 MAT NO.]]=Data!$B$5),1,"")</f>
        <v/>
      </c>
      <c r="Q21" s="998" t="str">
        <f>IF(AND(Table2[[#This Row],[FROM]]&lt;&gt;"", Table2[[#This Row],[FROM]]=Data!$B$7),1,"")</f>
        <v/>
      </c>
      <c r="R21" s="998" t="str">
        <f>IF(AND(Table2[[#This Row],[LV3 or LV4 MAT NO.]]&lt;&gt;"", Table2[[#This Row],[LV3 or LV4 MAT NO.]]=Data!$B$8),1,"")</f>
        <v/>
      </c>
      <c r="S21" s="998"/>
      <c r="T21" s="998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35">
      <c r="E22" s="1000">
        <v>1092981</v>
      </c>
      <c r="F22" s="1000" t="s">
        <v>791</v>
      </c>
      <c r="I22" s="1000"/>
      <c r="J22" s="13" t="s">
        <v>2243</v>
      </c>
      <c r="L22" s="998" t="str">
        <f>IF(AND(Table2[[#This Row],[ORDER NO.]]&lt;&gt;"", Table2[[#This Row],[ORDER NO.]]=Data!$B$1),1,"")</f>
        <v/>
      </c>
      <c r="M22" s="998" t="str">
        <f>IFERROR(IF(AND(Table2[[#This Row],[SEREAL NO.]]&lt;&gt;"", Table2[[#This Row],[SEREAL NO.]]=Data!$A$103),1,""),"")</f>
        <v/>
      </c>
      <c r="N22" s="998" t="str">
        <f>IF(AND(Table2[[#This Row],[SIZE]]&lt;&gt;"", Table2[[#This Row],[SIZE]]=Data!$B$3),1,"")</f>
        <v/>
      </c>
      <c r="O22" s="998" t="str">
        <f>IF(AND(Table2[[#This Row],[TYPE]]&lt;&gt;"", Table2[[#This Row],[TYPE]]=Data!$B$4),1,"")</f>
        <v/>
      </c>
      <c r="P22" s="998" t="str">
        <f>IF(AND(Table2[[#This Row],[LV5 MAT NO.]]&lt;&gt;"", Table2[[#This Row],[LV5 MAT NO.]]=Data!$B$5),1,"")</f>
        <v/>
      </c>
      <c r="Q22" s="998" t="str">
        <f>IF(AND(Table2[[#This Row],[FROM]]&lt;&gt;"", Table2[[#This Row],[FROM]]=Data!$B$7),1,"")</f>
        <v/>
      </c>
      <c r="R22" s="998" t="str">
        <f>IF(AND(Table2[[#This Row],[LV3 or LV4 MAT NO.]]&lt;&gt;"", Table2[[#This Row],[LV3 or LV4 MAT NO.]]=Data!$B$8),1,"")</f>
        <v/>
      </c>
      <c r="S22" s="998"/>
      <c r="T22" s="998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35">
      <c r="E23" s="1000">
        <v>1083564</v>
      </c>
      <c r="F23" s="1000" t="s">
        <v>791</v>
      </c>
      <c r="I23" s="1000"/>
      <c r="J23" s="13" t="s">
        <v>2243</v>
      </c>
      <c r="L23" s="998" t="str">
        <f>IF(AND(Table2[[#This Row],[ORDER NO.]]&lt;&gt;"", Table2[[#This Row],[ORDER NO.]]=Data!$B$1),1,"")</f>
        <v/>
      </c>
      <c r="M23" s="998" t="str">
        <f>IFERROR(IF(AND(Table2[[#This Row],[SEREAL NO.]]&lt;&gt;"", Table2[[#This Row],[SEREAL NO.]]=Data!$A$103),1,""),"")</f>
        <v/>
      </c>
      <c r="N23" s="998" t="str">
        <f>IF(AND(Table2[[#This Row],[SIZE]]&lt;&gt;"", Table2[[#This Row],[SIZE]]=Data!$B$3),1,"")</f>
        <v/>
      </c>
      <c r="O23" s="998" t="str">
        <f>IF(AND(Table2[[#This Row],[TYPE]]&lt;&gt;"", Table2[[#This Row],[TYPE]]=Data!$B$4),1,"")</f>
        <v/>
      </c>
      <c r="P23" s="998" t="str">
        <f>IF(AND(Table2[[#This Row],[LV5 MAT NO.]]&lt;&gt;"", Table2[[#This Row],[LV5 MAT NO.]]=Data!$B$5),1,"")</f>
        <v/>
      </c>
      <c r="Q23" s="998" t="str">
        <f>IF(AND(Table2[[#This Row],[FROM]]&lt;&gt;"", Table2[[#This Row],[FROM]]=Data!$B$7),1,"")</f>
        <v/>
      </c>
      <c r="R23" s="998" t="str">
        <f>IF(AND(Table2[[#This Row],[LV3 or LV4 MAT NO.]]&lt;&gt;"", Table2[[#This Row],[LV3 or LV4 MAT NO.]]=Data!$B$8),1,"")</f>
        <v/>
      </c>
      <c r="S23" s="998"/>
      <c r="T23" s="998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35">
      <c r="E24" s="1000">
        <v>1176919</v>
      </c>
      <c r="F24" s="1000" t="s">
        <v>791</v>
      </c>
      <c r="I24" s="1000"/>
      <c r="J24" s="13" t="s">
        <v>2243</v>
      </c>
      <c r="L24" s="998" t="str">
        <f>IF(AND(Table2[[#This Row],[ORDER NO.]]&lt;&gt;"", Table2[[#This Row],[ORDER NO.]]=Data!$B$1),1,"")</f>
        <v/>
      </c>
      <c r="M24" s="998" t="str">
        <f>IFERROR(IF(AND(Table2[[#This Row],[SEREAL NO.]]&lt;&gt;"", Table2[[#This Row],[SEREAL NO.]]=Data!$A$103),1,""),"")</f>
        <v/>
      </c>
      <c r="N24" s="998" t="str">
        <f>IF(AND(Table2[[#This Row],[SIZE]]&lt;&gt;"", Table2[[#This Row],[SIZE]]=Data!$B$3),1,"")</f>
        <v/>
      </c>
      <c r="O24" s="998" t="str">
        <f>IF(AND(Table2[[#This Row],[TYPE]]&lt;&gt;"", Table2[[#This Row],[TYPE]]=Data!$B$4),1,"")</f>
        <v/>
      </c>
      <c r="P24" s="998" t="str">
        <f>IF(AND(Table2[[#This Row],[LV5 MAT NO.]]&lt;&gt;"", Table2[[#This Row],[LV5 MAT NO.]]=Data!$B$5),1,"")</f>
        <v/>
      </c>
      <c r="Q24" s="998" t="str">
        <f>IF(AND(Table2[[#This Row],[FROM]]&lt;&gt;"", Table2[[#This Row],[FROM]]=Data!$B$7),1,"")</f>
        <v/>
      </c>
      <c r="R24" s="998" t="str">
        <f>IF(AND(Table2[[#This Row],[LV3 or LV4 MAT NO.]]&lt;&gt;"", Table2[[#This Row],[LV3 or LV4 MAT NO.]]=Data!$B$8),1,"")</f>
        <v/>
      </c>
      <c r="S24" s="998"/>
      <c r="T24" s="998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35">
      <c r="E25" s="1000">
        <v>1269308</v>
      </c>
      <c r="F25" s="1000" t="s">
        <v>791</v>
      </c>
      <c r="I25" s="1000"/>
      <c r="J25" s="13" t="s">
        <v>2243</v>
      </c>
      <c r="L25" s="998" t="str">
        <f>IF(AND(Table2[[#This Row],[ORDER NO.]]&lt;&gt;"", Table2[[#This Row],[ORDER NO.]]=Data!$B$1),1,"")</f>
        <v/>
      </c>
      <c r="M25" s="998" t="str">
        <f>IFERROR(IF(AND(Table2[[#This Row],[SEREAL NO.]]&lt;&gt;"", Table2[[#This Row],[SEREAL NO.]]=Data!$A$103),1,""),"")</f>
        <v/>
      </c>
      <c r="N25" s="998" t="str">
        <f>IF(AND(Table2[[#This Row],[SIZE]]&lt;&gt;"", Table2[[#This Row],[SIZE]]=Data!$B$3),1,"")</f>
        <v/>
      </c>
      <c r="O25" s="998" t="str">
        <f>IF(AND(Table2[[#This Row],[TYPE]]&lt;&gt;"", Table2[[#This Row],[TYPE]]=Data!$B$4),1,"")</f>
        <v/>
      </c>
      <c r="P25" s="998" t="str">
        <f>IF(AND(Table2[[#This Row],[LV5 MAT NO.]]&lt;&gt;"", Table2[[#This Row],[LV5 MAT NO.]]=Data!$B$5),1,"")</f>
        <v/>
      </c>
      <c r="Q25" s="998" t="str">
        <f>IF(AND(Table2[[#This Row],[FROM]]&lt;&gt;"", Table2[[#This Row],[FROM]]=Data!$B$7),1,"")</f>
        <v/>
      </c>
      <c r="R25" s="998" t="str">
        <f>IF(AND(Table2[[#This Row],[LV3 or LV4 MAT NO.]]&lt;&gt;"", Table2[[#This Row],[LV3 or LV4 MAT NO.]]=Data!$B$8),1,"")</f>
        <v/>
      </c>
      <c r="S25" s="998"/>
      <c r="T25" s="998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35">
      <c r="B26" s="1000">
        <v>13844444</v>
      </c>
      <c r="I26" s="1000"/>
      <c r="J26" s="13" t="s">
        <v>2252</v>
      </c>
      <c r="L26" s="998" t="str">
        <f>IF(AND(Table2[[#This Row],[ORDER NO.]]&lt;&gt;"", Table2[[#This Row],[ORDER NO.]]=Data!$B$1),1,"")</f>
        <v/>
      </c>
      <c r="M26" s="998" t="str">
        <f>IFERROR(IF(AND(Table2[[#This Row],[SEREAL NO.]]&lt;&gt;"", Table2[[#This Row],[SEREAL NO.]]=Data!$A$103),1,""),"")</f>
        <v/>
      </c>
      <c r="N26" s="998" t="str">
        <f>IF(AND(Table2[[#This Row],[SIZE]]&lt;&gt;"", Table2[[#This Row],[SIZE]]=Data!$B$3),1,"")</f>
        <v/>
      </c>
      <c r="O26" s="998" t="str">
        <f>IF(AND(Table2[[#This Row],[TYPE]]&lt;&gt;"", Table2[[#This Row],[TYPE]]=Data!$B$4),1,"")</f>
        <v/>
      </c>
      <c r="P26" s="998" t="str">
        <f>IF(AND(Table2[[#This Row],[LV5 MAT NO.]]&lt;&gt;"", Table2[[#This Row],[LV5 MAT NO.]]=Data!$B$5),1,"")</f>
        <v/>
      </c>
      <c r="Q26" s="998" t="str">
        <f>IF(AND(Table2[[#This Row],[FROM]]&lt;&gt;"", Table2[[#This Row],[FROM]]=Data!$B$7),1,"")</f>
        <v/>
      </c>
      <c r="R26" s="998" t="str">
        <f>IF(AND(Table2[[#This Row],[LV3 or LV4 MAT NO.]]&lt;&gt;"", Table2[[#This Row],[LV3 or LV4 MAT NO.]]=Data!$B$8),1,"")</f>
        <v/>
      </c>
      <c r="S26" s="998"/>
      <c r="T26" s="998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35">
      <c r="E27" s="1000">
        <v>1249569</v>
      </c>
      <c r="I27" s="1000"/>
      <c r="J27" s="13" t="s">
        <v>2255</v>
      </c>
      <c r="L27" s="998" t="str">
        <f>IF(AND(Table2[[#This Row],[ORDER NO.]]&lt;&gt;"", Table2[[#This Row],[ORDER NO.]]=Data!$B$1),1,"")</f>
        <v/>
      </c>
      <c r="M27" s="998" t="str">
        <f>IFERROR(IF(AND(Table2[[#This Row],[SEREAL NO.]]&lt;&gt;"", Table2[[#This Row],[SEREAL NO.]]=Data!$A$103),1,""),"")</f>
        <v/>
      </c>
      <c r="N27" s="998" t="str">
        <f>IF(AND(Table2[[#This Row],[SIZE]]&lt;&gt;"", Table2[[#This Row],[SIZE]]=Data!$B$3),1,"")</f>
        <v/>
      </c>
      <c r="O27" s="998" t="str">
        <f>IF(AND(Table2[[#This Row],[TYPE]]&lt;&gt;"", Table2[[#This Row],[TYPE]]=Data!$B$4),1,"")</f>
        <v/>
      </c>
      <c r="P27" s="998" t="str">
        <f>IF(AND(Table2[[#This Row],[LV5 MAT NO.]]&lt;&gt;"", Table2[[#This Row],[LV5 MAT NO.]]=Data!$B$5),1,"")</f>
        <v/>
      </c>
      <c r="Q27" s="998" t="str">
        <f>IF(AND(Table2[[#This Row],[FROM]]&lt;&gt;"", Table2[[#This Row],[FROM]]=Data!$B$7),1,"")</f>
        <v/>
      </c>
      <c r="R27" s="998" t="str">
        <f>IF(AND(Table2[[#This Row],[LV3 or LV4 MAT NO.]]&lt;&gt;"", Table2[[#This Row],[LV3 or LV4 MAT NO.]]=Data!$B$8),1,"")</f>
        <v/>
      </c>
      <c r="S27" s="998"/>
      <c r="T27" s="998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35">
      <c r="H28" s="1000" t="s">
        <v>1488</v>
      </c>
      <c r="I28" s="1000"/>
      <c r="J28" s="13" t="s">
        <v>2253</v>
      </c>
      <c r="L28" s="998" t="str">
        <f>IF(AND(Table2[[#This Row],[ORDER NO.]]&lt;&gt;"", Table2[[#This Row],[ORDER NO.]]=Data!$B$1),1,"")</f>
        <v/>
      </c>
      <c r="M28" s="998" t="str">
        <f>IFERROR(IF(AND(Table2[[#This Row],[SEREAL NO.]]&lt;&gt;"", Table2[[#This Row],[SEREAL NO.]]=Data!$A$103),1,""),"")</f>
        <v/>
      </c>
      <c r="N28" s="998" t="str">
        <f>IF(AND(Table2[[#This Row],[SIZE]]&lt;&gt;"", Table2[[#This Row],[SIZE]]=Data!$B$3),1,"")</f>
        <v/>
      </c>
      <c r="O28" s="998" t="str">
        <f>IF(AND(Table2[[#This Row],[TYPE]]&lt;&gt;"", Table2[[#This Row],[TYPE]]=Data!$B$4),1,"")</f>
        <v/>
      </c>
      <c r="P28" s="998" t="str">
        <f>IF(AND(Table2[[#This Row],[LV5 MAT NO.]]&lt;&gt;"", Table2[[#This Row],[LV5 MAT NO.]]=Data!$B$5),1,"")</f>
        <v/>
      </c>
      <c r="Q28" s="998" t="str">
        <f>IF(AND(Table2[[#This Row],[FROM]]&lt;&gt;"", Table2[[#This Row],[FROM]]=Data!$B$7),1,"")</f>
        <v/>
      </c>
      <c r="R28" s="998" t="str">
        <f>IF(AND(Table2[[#This Row],[LV3 or LV4 MAT NO.]]&lt;&gt;"", Table2[[#This Row],[LV3 or LV4 MAT NO.]]=Data!$B$8),1,"")</f>
        <v/>
      </c>
      <c r="S28" s="998" cm="1">
        <f t="array" aca="1" ref="S28" ca="1">IF(SUMPRODUCT(--ISNUMBER(SEARCH(Table2[[#This Row],[Cutters]], INDIRECT("Data!H12:H21")))) &gt; 0, 1, 0)</f>
        <v>0</v>
      </c>
      <c r="T28" s="998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2487</v>
      </c>
    </row>
    <row r="29" spans="2:22" x14ac:dyDescent="0.35">
      <c r="H29" s="1000" t="s">
        <v>1232</v>
      </c>
      <c r="I29" s="1000"/>
      <c r="J29" s="13" t="s">
        <v>2254</v>
      </c>
      <c r="L29" s="998" t="str">
        <f>IF(AND(Table2[[#This Row],[ORDER NO.]]&lt;&gt;"", Table2[[#This Row],[ORDER NO.]]=Data!$B$1),1,"")</f>
        <v/>
      </c>
      <c r="M29" s="998" t="str">
        <f>IFERROR(IF(AND(Table2[[#This Row],[SEREAL NO.]]&lt;&gt;"", Table2[[#This Row],[SEREAL NO.]]=Data!$A$103),1,""),"")</f>
        <v/>
      </c>
      <c r="N29" s="998" t="str">
        <f>IF(AND(Table2[[#This Row],[SIZE]]&lt;&gt;"", Table2[[#This Row],[SIZE]]=Data!$B$3),1,"")</f>
        <v/>
      </c>
      <c r="O29" s="998" t="str">
        <f>IF(AND(Table2[[#This Row],[TYPE]]&lt;&gt;"", Table2[[#This Row],[TYPE]]=Data!$B$4),1,"")</f>
        <v/>
      </c>
      <c r="P29" s="998" t="str">
        <f>IF(AND(Table2[[#This Row],[LV5 MAT NO.]]&lt;&gt;"", Table2[[#This Row],[LV5 MAT NO.]]=Data!$B$5),1,"")</f>
        <v/>
      </c>
      <c r="Q29" s="998" t="str">
        <f>IF(AND(Table2[[#This Row],[FROM]]&lt;&gt;"", Table2[[#This Row],[FROM]]=Data!$B$7),1,"")</f>
        <v/>
      </c>
      <c r="R29" s="998" t="str">
        <f>IF(AND(Table2[[#This Row],[LV3 or LV4 MAT NO.]]&lt;&gt;"", Table2[[#This Row],[LV3 or LV4 MAT NO.]]=Data!$B$8),1,"")</f>
        <v/>
      </c>
      <c r="S29" s="998" cm="1">
        <f t="array" aca="1" ref="S29" ca="1">IF(SUMPRODUCT(--ISNUMBER(SEARCH(Table2[[#This Row],[Cutters]], INDIRECT("Data!H12:H21")))) &gt; 0, 1, 0)</f>
        <v>1</v>
      </c>
      <c r="T29" s="998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2426</v>
      </c>
    </row>
    <row r="30" spans="2:22" x14ac:dyDescent="0.35">
      <c r="E30" s="1000" t="s">
        <v>1325</v>
      </c>
      <c r="F30" s="1000" t="s">
        <v>2219</v>
      </c>
      <c r="I30" s="1000"/>
      <c r="J30" s="13" t="s">
        <v>2243</v>
      </c>
      <c r="L30" s="998" t="str">
        <f>IF(AND(Table2[[#This Row],[ORDER NO.]]&lt;&gt;"", Table2[[#This Row],[ORDER NO.]]=Data!$B$1),1,"")</f>
        <v/>
      </c>
      <c r="M30" s="998" t="str">
        <f>IFERROR(IF(AND(Table2[[#This Row],[SEREAL NO.]]&lt;&gt;"", Table2[[#This Row],[SEREAL NO.]]=Data!$A$103),1,""),"")</f>
        <v/>
      </c>
      <c r="N30" s="998" t="str">
        <f>IF(AND(Table2[[#This Row],[SIZE]]&lt;&gt;"", Table2[[#This Row],[SIZE]]=Data!$B$3),1,"")</f>
        <v/>
      </c>
      <c r="O30" s="998" t="str">
        <f>IF(AND(Table2[[#This Row],[TYPE]]&lt;&gt;"", Table2[[#This Row],[TYPE]]=Data!$B$4),1,"")</f>
        <v/>
      </c>
      <c r="P30" s="998" t="str">
        <f>IF(AND(Table2[[#This Row],[LV5 MAT NO.]]&lt;&gt;"", Table2[[#This Row],[LV5 MAT NO.]]=Data!$B$5),1,"")</f>
        <v/>
      </c>
      <c r="Q30" s="998" t="str">
        <f>IF(AND(Table2[[#This Row],[FROM]]&lt;&gt;"", Table2[[#This Row],[FROM]]=Data!$B$7),1,"")</f>
        <v/>
      </c>
      <c r="R30" s="998" t="str">
        <f>IF(AND(Table2[[#This Row],[LV3 or LV4 MAT NO.]]&lt;&gt;"", Table2[[#This Row],[LV3 or LV4 MAT NO.]]=Data!$B$8),1,"")</f>
        <v/>
      </c>
      <c r="S30" s="998"/>
      <c r="T30" s="998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35">
      <c r="E31" s="1000" t="s">
        <v>1222</v>
      </c>
      <c r="F31" s="1000" t="s">
        <v>2219</v>
      </c>
      <c r="I31" s="1000"/>
      <c r="J31" s="13" t="s">
        <v>2243</v>
      </c>
      <c r="L31" s="998" t="str">
        <f>IF(AND(Table2[[#This Row],[ORDER NO.]]&lt;&gt;"", Table2[[#This Row],[ORDER NO.]]=Data!$B$1),1,"")</f>
        <v/>
      </c>
      <c r="M31" s="998" t="str">
        <f>IFERROR(IF(AND(Table2[[#This Row],[SEREAL NO.]]&lt;&gt;"", Table2[[#This Row],[SEREAL NO.]]=Data!$A$103),1,""),"")</f>
        <v/>
      </c>
      <c r="N31" s="998" t="str">
        <f>IF(AND(Table2[[#This Row],[SIZE]]&lt;&gt;"", Table2[[#This Row],[SIZE]]=Data!$B$3),1,"")</f>
        <v/>
      </c>
      <c r="O31" s="998" t="str">
        <f>IF(AND(Table2[[#This Row],[TYPE]]&lt;&gt;"", Table2[[#This Row],[TYPE]]=Data!$B$4),1,"")</f>
        <v/>
      </c>
      <c r="P31" s="998" t="str">
        <f>IF(AND(Table2[[#This Row],[LV5 MAT NO.]]&lt;&gt;"", Table2[[#This Row],[LV5 MAT NO.]]=Data!$B$5),1,"")</f>
        <v/>
      </c>
      <c r="Q31" s="998" t="str">
        <f>IF(AND(Table2[[#This Row],[FROM]]&lt;&gt;"", Table2[[#This Row],[FROM]]=Data!$B$7),1,"")</f>
        <v/>
      </c>
      <c r="R31" s="998" t="str">
        <f>IF(AND(Table2[[#This Row],[LV3 or LV4 MAT NO.]]&lt;&gt;"", Table2[[#This Row],[LV3 or LV4 MAT NO.]]=Data!$B$8),1,"")</f>
        <v/>
      </c>
      <c r="S31" s="998"/>
      <c r="T31" s="998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35">
      <c r="E32" s="1000" t="s">
        <v>1838</v>
      </c>
      <c r="F32" s="1000" t="s">
        <v>2219</v>
      </c>
      <c r="I32" s="1000"/>
      <c r="J32" s="13" t="s">
        <v>2243</v>
      </c>
      <c r="L32" s="998" t="str">
        <f>IF(AND(Table2[[#This Row],[ORDER NO.]]&lt;&gt;"", Table2[[#This Row],[ORDER NO.]]=Data!$B$1),1,"")</f>
        <v/>
      </c>
      <c r="M32" s="998" t="str">
        <f>IFERROR(IF(AND(Table2[[#This Row],[SEREAL NO.]]&lt;&gt;"", Table2[[#This Row],[SEREAL NO.]]=Data!$A$103),1,""),"")</f>
        <v/>
      </c>
      <c r="N32" s="998" t="str">
        <f>IF(AND(Table2[[#This Row],[SIZE]]&lt;&gt;"", Table2[[#This Row],[SIZE]]=Data!$B$3),1,"")</f>
        <v/>
      </c>
      <c r="O32" s="998" t="str">
        <f>IF(AND(Table2[[#This Row],[TYPE]]&lt;&gt;"", Table2[[#This Row],[TYPE]]=Data!$B$4),1,"")</f>
        <v/>
      </c>
      <c r="P32" s="998" t="str">
        <f>IF(AND(Table2[[#This Row],[LV5 MAT NO.]]&lt;&gt;"", Table2[[#This Row],[LV5 MAT NO.]]=Data!$B$5),1,"")</f>
        <v/>
      </c>
      <c r="Q32" s="998" t="str">
        <f>IF(AND(Table2[[#This Row],[FROM]]&lt;&gt;"", Table2[[#This Row],[FROM]]=Data!$B$7),1,"")</f>
        <v/>
      </c>
      <c r="R32" s="998" t="str">
        <f>IF(AND(Table2[[#This Row],[LV3 or LV4 MAT NO.]]&lt;&gt;"", Table2[[#This Row],[LV3 or LV4 MAT NO.]]=Data!$B$8),1,"")</f>
        <v/>
      </c>
      <c r="S32" s="998"/>
      <c r="T32" s="998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35">
      <c r="E33" s="1000" t="s">
        <v>2168</v>
      </c>
      <c r="F33" s="1000" t="s">
        <v>2219</v>
      </c>
      <c r="I33" s="1000"/>
      <c r="J33" s="13" t="s">
        <v>2243</v>
      </c>
      <c r="L33" s="998" t="str">
        <f>IF(AND(Table2[[#This Row],[ORDER NO.]]&lt;&gt;"", Table2[[#This Row],[ORDER NO.]]=Data!$B$1),1,"")</f>
        <v/>
      </c>
      <c r="M33" s="998" t="str">
        <f>IFERROR(IF(AND(Table2[[#This Row],[SEREAL NO.]]&lt;&gt;"", Table2[[#This Row],[SEREAL NO.]]=Data!$A$103),1,""),"")</f>
        <v/>
      </c>
      <c r="N33" s="998" t="str">
        <f>IF(AND(Table2[[#This Row],[SIZE]]&lt;&gt;"", Table2[[#This Row],[SIZE]]=Data!$B$3),1,"")</f>
        <v/>
      </c>
      <c r="O33" s="998" t="str">
        <f>IF(AND(Table2[[#This Row],[TYPE]]&lt;&gt;"", Table2[[#This Row],[TYPE]]=Data!$B$4),1,"")</f>
        <v/>
      </c>
      <c r="P33" s="998" t="str">
        <f>IF(AND(Table2[[#This Row],[LV5 MAT NO.]]&lt;&gt;"", Table2[[#This Row],[LV5 MAT NO.]]=Data!$B$5),1,"")</f>
        <v/>
      </c>
      <c r="Q33" s="998" t="str">
        <f>IF(AND(Table2[[#This Row],[FROM]]&lt;&gt;"", Table2[[#This Row],[FROM]]=Data!$B$7),1,"")</f>
        <v/>
      </c>
      <c r="R33" s="998" t="str">
        <f>IF(AND(Table2[[#This Row],[LV3 or LV4 MAT NO.]]&lt;&gt;"", Table2[[#This Row],[LV3 or LV4 MAT NO.]]=Data!$B$8),1,"")</f>
        <v/>
      </c>
      <c r="S33" s="998"/>
      <c r="T33" s="998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35">
      <c r="E34" s="1000" t="s">
        <v>1325</v>
      </c>
      <c r="F34" s="1000" t="s">
        <v>2222</v>
      </c>
      <c r="I34" s="1000"/>
      <c r="J34" s="13" t="s">
        <v>2243</v>
      </c>
      <c r="L34" s="998" t="str">
        <f>IF(AND(Table2[[#This Row],[ORDER NO.]]&lt;&gt;"", Table2[[#This Row],[ORDER NO.]]=Data!$B$1),1,"")</f>
        <v/>
      </c>
      <c r="M34" s="998" t="str">
        <f>IFERROR(IF(AND(Table2[[#This Row],[SEREAL NO.]]&lt;&gt;"", Table2[[#This Row],[SEREAL NO.]]=Data!$A$103),1,""),"")</f>
        <v/>
      </c>
      <c r="N34" s="998" t="str">
        <f>IF(AND(Table2[[#This Row],[SIZE]]&lt;&gt;"", Table2[[#This Row],[SIZE]]=Data!$B$3),1,"")</f>
        <v/>
      </c>
      <c r="O34" s="998" t="str">
        <f>IF(AND(Table2[[#This Row],[TYPE]]&lt;&gt;"", Table2[[#This Row],[TYPE]]=Data!$B$4),1,"")</f>
        <v/>
      </c>
      <c r="P34" s="998" t="str">
        <f>IF(AND(Table2[[#This Row],[LV5 MAT NO.]]&lt;&gt;"", Table2[[#This Row],[LV5 MAT NO.]]=Data!$B$5),1,"")</f>
        <v/>
      </c>
      <c r="Q34" s="998" t="str">
        <f>IF(AND(Table2[[#This Row],[FROM]]&lt;&gt;"", Table2[[#This Row],[FROM]]=Data!$B$7),1,"")</f>
        <v/>
      </c>
      <c r="R34" s="998" t="str">
        <f>IF(AND(Table2[[#This Row],[LV3 or LV4 MAT NO.]]&lt;&gt;"", Table2[[#This Row],[LV3 or LV4 MAT NO.]]=Data!$B$8),1,"")</f>
        <v/>
      </c>
      <c r="S34" s="998"/>
      <c r="T34" s="998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35">
      <c r="E35" s="1000" t="s">
        <v>1222</v>
      </c>
      <c r="F35" s="1000" t="s">
        <v>2222</v>
      </c>
      <c r="I35" s="1000"/>
      <c r="J35" s="13" t="s">
        <v>2243</v>
      </c>
      <c r="L35" s="998" t="str">
        <f>IF(AND(Table2[[#This Row],[ORDER NO.]]&lt;&gt;"", Table2[[#This Row],[ORDER NO.]]=Data!$B$1),1,"")</f>
        <v/>
      </c>
      <c r="M35" s="998" t="str">
        <f>IFERROR(IF(AND(Table2[[#This Row],[SEREAL NO.]]&lt;&gt;"", Table2[[#This Row],[SEREAL NO.]]=Data!$A$103),1,""),"")</f>
        <v/>
      </c>
      <c r="N35" s="998" t="str">
        <f>IF(AND(Table2[[#This Row],[SIZE]]&lt;&gt;"", Table2[[#This Row],[SIZE]]=Data!$B$3),1,"")</f>
        <v/>
      </c>
      <c r="O35" s="998" t="str">
        <f>IF(AND(Table2[[#This Row],[TYPE]]&lt;&gt;"", Table2[[#This Row],[TYPE]]=Data!$B$4),1,"")</f>
        <v/>
      </c>
      <c r="P35" s="998" t="str">
        <f>IF(AND(Table2[[#This Row],[LV5 MAT NO.]]&lt;&gt;"", Table2[[#This Row],[LV5 MAT NO.]]=Data!$B$5),1,"")</f>
        <v/>
      </c>
      <c r="Q35" s="998" t="str">
        <f>IF(AND(Table2[[#This Row],[FROM]]&lt;&gt;"", Table2[[#This Row],[FROM]]=Data!$B$7),1,"")</f>
        <v/>
      </c>
      <c r="R35" s="998" t="str">
        <f>IF(AND(Table2[[#This Row],[LV3 or LV4 MAT NO.]]&lt;&gt;"", Table2[[#This Row],[LV3 or LV4 MAT NO.]]=Data!$B$8),1,"")</f>
        <v/>
      </c>
      <c r="S35" s="998"/>
      <c r="T35" s="998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35">
      <c r="E36" s="1000" t="s">
        <v>1838</v>
      </c>
      <c r="F36" s="1000" t="s">
        <v>2222</v>
      </c>
      <c r="I36" s="1000"/>
      <c r="J36" s="13" t="s">
        <v>2243</v>
      </c>
      <c r="L36" s="998" t="str">
        <f>IF(AND(Table2[[#This Row],[ORDER NO.]]&lt;&gt;"", Table2[[#This Row],[ORDER NO.]]=Data!$B$1),1,"")</f>
        <v/>
      </c>
      <c r="M36" s="998" t="str">
        <f>IFERROR(IF(AND(Table2[[#This Row],[SEREAL NO.]]&lt;&gt;"", Table2[[#This Row],[SEREAL NO.]]=Data!$A$103),1,""),"")</f>
        <v/>
      </c>
      <c r="N36" s="998" t="str">
        <f>IF(AND(Table2[[#This Row],[SIZE]]&lt;&gt;"", Table2[[#This Row],[SIZE]]=Data!$B$3),1,"")</f>
        <v/>
      </c>
      <c r="O36" s="998" t="str">
        <f>IF(AND(Table2[[#This Row],[TYPE]]&lt;&gt;"", Table2[[#This Row],[TYPE]]=Data!$B$4),1,"")</f>
        <v/>
      </c>
      <c r="P36" s="998" t="str">
        <f>IF(AND(Table2[[#This Row],[LV5 MAT NO.]]&lt;&gt;"", Table2[[#This Row],[LV5 MAT NO.]]=Data!$B$5),1,"")</f>
        <v/>
      </c>
      <c r="Q36" s="998" t="str">
        <f>IF(AND(Table2[[#This Row],[FROM]]&lt;&gt;"", Table2[[#This Row],[FROM]]=Data!$B$7),1,"")</f>
        <v/>
      </c>
      <c r="R36" s="998" t="str">
        <f>IF(AND(Table2[[#This Row],[LV3 or LV4 MAT NO.]]&lt;&gt;"", Table2[[#This Row],[LV3 or LV4 MAT NO.]]=Data!$B$8),1,"")</f>
        <v/>
      </c>
      <c r="S36" s="998"/>
      <c r="T36" s="998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35">
      <c r="E37" s="1000" t="s">
        <v>2168</v>
      </c>
      <c r="F37" s="1000" t="s">
        <v>2222</v>
      </c>
      <c r="I37" s="1000"/>
      <c r="J37" s="13" t="s">
        <v>2243</v>
      </c>
      <c r="L37" s="998" t="str">
        <f>IF(AND(Table2[[#This Row],[ORDER NO.]]&lt;&gt;"", Table2[[#This Row],[ORDER NO.]]=Data!$B$1),1,"")</f>
        <v/>
      </c>
      <c r="M37" s="998" t="str">
        <f>IFERROR(IF(AND(Table2[[#This Row],[SEREAL NO.]]&lt;&gt;"", Table2[[#This Row],[SEREAL NO.]]=Data!$A$103),1,""),"")</f>
        <v/>
      </c>
      <c r="N37" s="998" t="str">
        <f>IF(AND(Table2[[#This Row],[SIZE]]&lt;&gt;"", Table2[[#This Row],[SIZE]]=Data!$B$3),1,"")</f>
        <v/>
      </c>
      <c r="O37" s="998" t="str">
        <f>IF(AND(Table2[[#This Row],[TYPE]]&lt;&gt;"", Table2[[#This Row],[TYPE]]=Data!$B$4),1,"")</f>
        <v/>
      </c>
      <c r="P37" s="998" t="str">
        <f>IF(AND(Table2[[#This Row],[LV5 MAT NO.]]&lt;&gt;"", Table2[[#This Row],[LV5 MAT NO.]]=Data!$B$5),1,"")</f>
        <v/>
      </c>
      <c r="Q37" s="998" t="str">
        <f>IF(AND(Table2[[#This Row],[FROM]]&lt;&gt;"", Table2[[#This Row],[FROM]]=Data!$B$7),1,"")</f>
        <v/>
      </c>
      <c r="R37" s="998" t="str">
        <f>IF(AND(Table2[[#This Row],[LV3 or LV4 MAT NO.]]&lt;&gt;"", Table2[[#This Row],[LV3 or LV4 MAT NO.]]=Data!$B$8),1,"")</f>
        <v/>
      </c>
      <c r="S37" s="998"/>
      <c r="T37" s="998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35">
      <c r="E38" s="1000" t="s">
        <v>1325</v>
      </c>
      <c r="F38" s="1000" t="s">
        <v>791</v>
      </c>
      <c r="I38" s="1000"/>
      <c r="J38" s="13" t="s">
        <v>2243</v>
      </c>
      <c r="L38" s="998" t="str">
        <f>IF(AND(Table2[[#This Row],[ORDER NO.]]&lt;&gt;"", Table2[[#This Row],[ORDER NO.]]=Data!$B$1),1,"")</f>
        <v/>
      </c>
      <c r="M38" s="998" t="str">
        <f>IFERROR(IF(AND(Table2[[#This Row],[SEREAL NO.]]&lt;&gt;"", Table2[[#This Row],[SEREAL NO.]]=Data!$A$103),1,""),"")</f>
        <v/>
      </c>
      <c r="N38" s="998" t="str">
        <f>IF(AND(Table2[[#This Row],[SIZE]]&lt;&gt;"", Table2[[#This Row],[SIZE]]=Data!$B$3),1,"")</f>
        <v/>
      </c>
      <c r="O38" s="998" t="str">
        <f>IF(AND(Table2[[#This Row],[TYPE]]&lt;&gt;"", Table2[[#This Row],[TYPE]]=Data!$B$4),1,"")</f>
        <v/>
      </c>
      <c r="P38" s="998" t="str">
        <f>IF(AND(Table2[[#This Row],[LV5 MAT NO.]]&lt;&gt;"", Table2[[#This Row],[LV5 MAT NO.]]=Data!$B$5),1,"")</f>
        <v/>
      </c>
      <c r="Q38" s="998" t="str">
        <f>IF(AND(Table2[[#This Row],[FROM]]&lt;&gt;"", Table2[[#This Row],[FROM]]=Data!$B$7),1,"")</f>
        <v/>
      </c>
      <c r="R38" s="998" t="str">
        <f>IF(AND(Table2[[#This Row],[LV3 or LV4 MAT NO.]]&lt;&gt;"", Table2[[#This Row],[LV3 or LV4 MAT NO.]]=Data!$B$8),1,"")</f>
        <v/>
      </c>
      <c r="S38" s="998"/>
      <c r="T38" s="998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35">
      <c r="E39" s="1000" t="s">
        <v>1222</v>
      </c>
      <c r="F39" s="1000" t="s">
        <v>791</v>
      </c>
      <c r="I39" s="1000"/>
      <c r="J39" s="13" t="s">
        <v>2243</v>
      </c>
      <c r="L39" s="998" t="str">
        <f>IF(AND(Table2[[#This Row],[ORDER NO.]]&lt;&gt;"", Table2[[#This Row],[ORDER NO.]]=Data!$B$1),1,"")</f>
        <v/>
      </c>
      <c r="M39" s="998" t="str">
        <f>IFERROR(IF(AND(Table2[[#This Row],[SEREAL NO.]]&lt;&gt;"", Table2[[#This Row],[SEREAL NO.]]=Data!$A$103),1,""),"")</f>
        <v/>
      </c>
      <c r="N39" s="998" t="str">
        <f>IF(AND(Table2[[#This Row],[SIZE]]&lt;&gt;"", Table2[[#This Row],[SIZE]]=Data!$B$3),1,"")</f>
        <v/>
      </c>
      <c r="O39" s="998" t="str">
        <f>IF(AND(Table2[[#This Row],[TYPE]]&lt;&gt;"", Table2[[#This Row],[TYPE]]=Data!$B$4),1,"")</f>
        <v/>
      </c>
      <c r="P39" s="998" t="str">
        <f>IF(AND(Table2[[#This Row],[LV5 MAT NO.]]&lt;&gt;"", Table2[[#This Row],[LV5 MAT NO.]]=Data!$B$5),1,"")</f>
        <v/>
      </c>
      <c r="Q39" s="998" t="str">
        <f>IF(AND(Table2[[#This Row],[FROM]]&lt;&gt;"", Table2[[#This Row],[FROM]]=Data!$B$7),1,"")</f>
        <v/>
      </c>
      <c r="R39" s="998" t="str">
        <f>IF(AND(Table2[[#This Row],[LV3 or LV4 MAT NO.]]&lt;&gt;"", Table2[[#This Row],[LV3 or LV4 MAT NO.]]=Data!$B$8),1,"")</f>
        <v/>
      </c>
      <c r="S39" s="998"/>
      <c r="T39" s="998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35">
      <c r="E40" s="1000" t="s">
        <v>1838</v>
      </c>
      <c r="F40" s="1000" t="s">
        <v>791</v>
      </c>
      <c r="I40" s="1000"/>
      <c r="J40" s="13" t="s">
        <v>2243</v>
      </c>
      <c r="L40" s="998" t="str">
        <f>IF(AND(Table2[[#This Row],[ORDER NO.]]&lt;&gt;"", Table2[[#This Row],[ORDER NO.]]=Data!$B$1),1,"")</f>
        <v/>
      </c>
      <c r="M40" s="998" t="str">
        <f>IFERROR(IF(AND(Table2[[#This Row],[SEREAL NO.]]&lt;&gt;"", Table2[[#This Row],[SEREAL NO.]]=Data!$A$103),1,""),"")</f>
        <v/>
      </c>
      <c r="N40" s="998" t="str">
        <f>IF(AND(Table2[[#This Row],[SIZE]]&lt;&gt;"", Table2[[#This Row],[SIZE]]=Data!$B$3),1,"")</f>
        <v/>
      </c>
      <c r="O40" s="998" t="str">
        <f>IF(AND(Table2[[#This Row],[TYPE]]&lt;&gt;"", Table2[[#This Row],[TYPE]]=Data!$B$4),1,"")</f>
        <v/>
      </c>
      <c r="P40" s="998" t="str">
        <f>IF(AND(Table2[[#This Row],[LV5 MAT NO.]]&lt;&gt;"", Table2[[#This Row],[LV5 MAT NO.]]=Data!$B$5),1,"")</f>
        <v/>
      </c>
      <c r="Q40" s="998" t="str">
        <f>IF(AND(Table2[[#This Row],[FROM]]&lt;&gt;"", Table2[[#This Row],[FROM]]=Data!$B$7),1,"")</f>
        <v/>
      </c>
      <c r="R40" s="998" t="str">
        <f>IF(AND(Table2[[#This Row],[LV3 or LV4 MAT NO.]]&lt;&gt;"", Table2[[#This Row],[LV3 or LV4 MAT NO.]]=Data!$B$8),1,"")</f>
        <v/>
      </c>
      <c r="S40" s="998"/>
      <c r="T40" s="998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35">
      <c r="E41" s="1000" t="s">
        <v>2168</v>
      </c>
      <c r="F41" s="1000" t="s">
        <v>791</v>
      </c>
      <c r="I41" s="1000"/>
      <c r="J41" s="13" t="s">
        <v>2243</v>
      </c>
      <c r="L41" s="998" t="str">
        <f>IF(AND(Table2[[#This Row],[ORDER NO.]]&lt;&gt;"", Table2[[#This Row],[ORDER NO.]]=Data!$B$1),1,"")</f>
        <v/>
      </c>
      <c r="M41" s="998" t="str">
        <f>IFERROR(IF(AND(Table2[[#This Row],[SEREAL NO.]]&lt;&gt;"", Table2[[#This Row],[SEREAL NO.]]=Data!$A$103),1,""),"")</f>
        <v/>
      </c>
      <c r="N41" s="998" t="str">
        <f>IF(AND(Table2[[#This Row],[SIZE]]&lt;&gt;"", Table2[[#This Row],[SIZE]]=Data!$B$3),1,"")</f>
        <v/>
      </c>
      <c r="O41" s="998" t="str">
        <f>IF(AND(Table2[[#This Row],[TYPE]]&lt;&gt;"", Table2[[#This Row],[TYPE]]=Data!$B$4),1,"")</f>
        <v/>
      </c>
      <c r="P41" s="998" t="str">
        <f>IF(AND(Table2[[#This Row],[LV5 MAT NO.]]&lt;&gt;"", Table2[[#This Row],[LV5 MAT NO.]]=Data!$B$5),1,"")</f>
        <v/>
      </c>
      <c r="Q41" s="998" t="str">
        <f>IF(AND(Table2[[#This Row],[FROM]]&lt;&gt;"", Table2[[#This Row],[FROM]]=Data!$B$7),1,"")</f>
        <v/>
      </c>
      <c r="R41" s="998" t="str">
        <f>IF(AND(Table2[[#This Row],[LV3 or LV4 MAT NO.]]&lt;&gt;"", Table2[[#This Row],[LV3 or LV4 MAT NO.]]=Data!$B$8),1,"")</f>
        <v/>
      </c>
      <c r="S41" s="998"/>
      <c r="T41" s="998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35">
      <c r="E42" s="1000" t="s">
        <v>2137</v>
      </c>
      <c r="I42" s="1000"/>
      <c r="J42" s="13" t="s">
        <v>2255</v>
      </c>
      <c r="L42" s="998" t="str">
        <f>IF(AND(Table2[[#This Row],[ORDER NO.]]&lt;&gt;"", Table2[[#This Row],[ORDER NO.]]=Data!$B$1),1,"")</f>
        <v/>
      </c>
      <c r="M42" s="998" t="str">
        <f>IFERROR(IF(AND(Table2[[#This Row],[SEREAL NO.]]&lt;&gt;"", Table2[[#This Row],[SEREAL NO.]]=Data!$A$103),1,""),"")</f>
        <v/>
      </c>
      <c r="N42" s="998" t="str">
        <f>IF(AND(Table2[[#This Row],[SIZE]]&lt;&gt;"", Table2[[#This Row],[SIZE]]=Data!$B$3),1,"")</f>
        <v/>
      </c>
      <c r="O42" s="998" t="str">
        <f>IF(AND(Table2[[#This Row],[TYPE]]&lt;&gt;"", Table2[[#This Row],[TYPE]]=Data!$B$4),1,"")</f>
        <v/>
      </c>
      <c r="P42" s="998" t="str">
        <f>IF(AND(Table2[[#This Row],[LV5 MAT NO.]]&lt;&gt;"", Table2[[#This Row],[LV5 MAT NO.]]=Data!$B$5),1,"")</f>
        <v/>
      </c>
      <c r="Q42" s="998" t="str">
        <f>IF(AND(Table2[[#This Row],[FROM]]&lt;&gt;"", Table2[[#This Row],[FROM]]=Data!$B$7),1,"")</f>
        <v/>
      </c>
      <c r="R42" s="998" t="str">
        <f>IF(AND(Table2[[#This Row],[LV3 or LV4 MAT NO.]]&lt;&gt;"", Table2[[#This Row],[LV3 or LV4 MAT NO.]]=Data!$B$8),1,"")</f>
        <v/>
      </c>
      <c r="S42" s="998"/>
      <c r="T42" s="998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35">
      <c r="E43" s="1000" t="s">
        <v>2305</v>
      </c>
      <c r="F43" s="1000" t="s">
        <v>2219</v>
      </c>
      <c r="I43" s="1000"/>
      <c r="J43" s="13" t="s">
        <v>2306</v>
      </c>
      <c r="L43" s="998" t="str">
        <f>IF(AND(Table2[[#This Row],[ORDER NO.]]&lt;&gt;"", Table2[[#This Row],[ORDER NO.]]=Data!$B$1),1,"")</f>
        <v/>
      </c>
      <c r="M43" s="998" t="str">
        <f>IFERROR(IF(AND(Table2[[#This Row],[SEREAL NO.]]&lt;&gt;"", Table2[[#This Row],[SEREAL NO.]]=Data!$A$103),1,""),"")</f>
        <v/>
      </c>
      <c r="N43" s="998" t="str">
        <f>IF(AND(Table2[[#This Row],[SIZE]]&lt;&gt;"", Table2[[#This Row],[SIZE]]=Data!$B$3),1,"")</f>
        <v/>
      </c>
      <c r="O43" s="998" t="str">
        <f>IF(AND(Table2[[#This Row],[TYPE]]&lt;&gt;"", Table2[[#This Row],[TYPE]]=Data!$B$4),1,"")</f>
        <v/>
      </c>
      <c r="P43" s="998" t="str">
        <f>IF(AND(Table2[[#This Row],[LV5 MAT NO.]]&lt;&gt;"", Table2[[#This Row],[LV5 MAT NO.]]=Data!$B$5),1,"")</f>
        <v/>
      </c>
      <c r="Q43" s="998" t="str">
        <f>IF(AND(Table2[[#This Row],[FROM]]&lt;&gt;"", Table2[[#This Row],[FROM]]=Data!$B$7),1,"")</f>
        <v/>
      </c>
      <c r="R43" s="998" t="str">
        <f>IF(AND(Table2[[#This Row],[LV3 or LV4 MAT NO.]]&lt;&gt;"", Table2[[#This Row],[LV3 or LV4 MAT NO.]]=Data!$B$8),1,"")</f>
        <v/>
      </c>
      <c r="S43" s="998"/>
      <c r="T43" s="998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35">
      <c r="E44" s="1000" t="s">
        <v>2305</v>
      </c>
      <c r="F44" s="1000" t="s">
        <v>2222</v>
      </c>
      <c r="I44" s="1000"/>
      <c r="J44" s="13" t="s">
        <v>2306</v>
      </c>
      <c r="L44" s="998" t="str">
        <f>IF(AND(Table2[[#This Row],[ORDER NO.]]&lt;&gt;"", Table2[[#This Row],[ORDER NO.]]=Data!$B$1),1,"")</f>
        <v/>
      </c>
      <c r="M44" s="998" t="str">
        <f>IFERROR(IF(AND(Table2[[#This Row],[SEREAL NO.]]&lt;&gt;"", Table2[[#This Row],[SEREAL NO.]]=Data!$A$103),1,""),"")</f>
        <v/>
      </c>
      <c r="N44" s="998" t="str">
        <f>IF(AND(Table2[[#This Row],[SIZE]]&lt;&gt;"", Table2[[#This Row],[SIZE]]=Data!$B$3),1,"")</f>
        <v/>
      </c>
      <c r="O44" s="998" t="str">
        <f>IF(AND(Table2[[#This Row],[TYPE]]&lt;&gt;"", Table2[[#This Row],[TYPE]]=Data!$B$4),1,"")</f>
        <v/>
      </c>
      <c r="P44" s="998" t="str">
        <f>IF(AND(Table2[[#This Row],[LV5 MAT NO.]]&lt;&gt;"", Table2[[#This Row],[LV5 MAT NO.]]=Data!$B$5),1,"")</f>
        <v/>
      </c>
      <c r="Q44" s="998" t="str">
        <f>IF(AND(Table2[[#This Row],[FROM]]&lt;&gt;"", Table2[[#This Row],[FROM]]=Data!$B$7),1,"")</f>
        <v/>
      </c>
      <c r="R44" s="998" t="str">
        <f>IF(AND(Table2[[#This Row],[LV3 or LV4 MAT NO.]]&lt;&gt;"", Table2[[#This Row],[LV3 or LV4 MAT NO.]]=Data!$B$8),1,"")</f>
        <v/>
      </c>
      <c r="S44" s="998"/>
      <c r="T44" s="998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35">
      <c r="E45" s="1000" t="s">
        <v>2305</v>
      </c>
      <c r="F45" s="1000" t="s">
        <v>791</v>
      </c>
      <c r="I45" s="1000"/>
      <c r="J45" s="13" t="s">
        <v>2306</v>
      </c>
      <c r="L45" s="998" t="str">
        <f>IF(AND(Table2[[#This Row],[ORDER NO.]]&lt;&gt;"", Table2[[#This Row],[ORDER NO.]]=Data!$B$1),1,"")</f>
        <v/>
      </c>
      <c r="M45" s="998" t="str">
        <f>IFERROR(IF(AND(Table2[[#This Row],[SEREAL NO.]]&lt;&gt;"", Table2[[#This Row],[SEREAL NO.]]=Data!$A$103),1,""),"")</f>
        <v/>
      </c>
      <c r="N45" s="998" t="str">
        <f>IF(AND(Table2[[#This Row],[SIZE]]&lt;&gt;"", Table2[[#This Row],[SIZE]]=Data!$B$3),1,"")</f>
        <v/>
      </c>
      <c r="O45" s="998" t="str">
        <f>IF(AND(Table2[[#This Row],[TYPE]]&lt;&gt;"", Table2[[#This Row],[TYPE]]=Data!$B$4),1,"")</f>
        <v/>
      </c>
      <c r="P45" s="998" t="str">
        <f>IF(AND(Table2[[#This Row],[LV5 MAT NO.]]&lt;&gt;"", Table2[[#This Row],[LV5 MAT NO.]]=Data!$B$5),1,"")</f>
        <v/>
      </c>
      <c r="Q45" s="998" t="str">
        <f>IF(AND(Table2[[#This Row],[FROM]]&lt;&gt;"", Table2[[#This Row],[FROM]]=Data!$B$7),1,"")</f>
        <v/>
      </c>
      <c r="R45" s="998" t="str">
        <f>IF(AND(Table2[[#This Row],[LV3 or LV4 MAT NO.]]&lt;&gt;"", Table2[[#This Row],[LV3 or LV4 MAT NO.]]=Data!$B$8),1,"")</f>
        <v/>
      </c>
      <c r="S45" s="998"/>
      <c r="T45" s="998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35">
      <c r="E46" s="1000">
        <v>1246680</v>
      </c>
      <c r="F46" s="1000" t="s">
        <v>2219</v>
      </c>
      <c r="I46" s="1000"/>
      <c r="J46" s="13" t="s">
        <v>2307</v>
      </c>
      <c r="L46" s="998" t="str">
        <f>IF(AND(Table2[[#This Row],[ORDER NO.]]&lt;&gt;"", Table2[[#This Row],[ORDER NO.]]=Data!$B$1),1,"")</f>
        <v/>
      </c>
      <c r="M46" s="998" t="str">
        <f>IFERROR(IF(AND(Table2[[#This Row],[SEREAL NO.]]&lt;&gt;"", Table2[[#This Row],[SEREAL NO.]]=Data!$A$103),1,""),"")</f>
        <v/>
      </c>
      <c r="N46" s="998" t="str">
        <f>IF(AND(Table2[[#This Row],[SIZE]]&lt;&gt;"", Table2[[#This Row],[SIZE]]=Data!$B$3),1,"")</f>
        <v/>
      </c>
      <c r="O46" s="998" t="str">
        <f>IF(AND(Table2[[#This Row],[TYPE]]&lt;&gt;"", Table2[[#This Row],[TYPE]]=Data!$B$4),1,"")</f>
        <v/>
      </c>
      <c r="P46" s="998" t="str">
        <f>IF(AND(Table2[[#This Row],[LV5 MAT NO.]]&lt;&gt;"", Table2[[#This Row],[LV5 MAT NO.]]=Data!$B$5),1,"")</f>
        <v/>
      </c>
      <c r="Q46" s="998" t="str">
        <f>IF(AND(Table2[[#This Row],[FROM]]&lt;&gt;"", Table2[[#This Row],[FROM]]=Data!$B$7),1,"")</f>
        <v/>
      </c>
      <c r="R46" s="998" t="str">
        <f>IF(AND(Table2[[#This Row],[LV3 or LV4 MAT NO.]]&lt;&gt;"", Table2[[#This Row],[LV3 or LV4 MAT NO.]]=Data!$B$8),1,"")</f>
        <v/>
      </c>
      <c r="S46" s="998"/>
      <c r="T46" s="998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35">
      <c r="E47" s="1000">
        <v>1246680</v>
      </c>
      <c r="F47" s="1000" t="s">
        <v>2222</v>
      </c>
      <c r="I47" s="1000"/>
      <c r="J47" s="13" t="s">
        <v>2307</v>
      </c>
      <c r="L47" s="998" t="str">
        <f>IF(AND(Table2[[#This Row],[ORDER NO.]]&lt;&gt;"", Table2[[#This Row],[ORDER NO.]]=Data!$B$1),1,"")</f>
        <v/>
      </c>
      <c r="M47" s="998" t="str">
        <f>IFERROR(IF(AND(Table2[[#This Row],[SEREAL NO.]]&lt;&gt;"", Table2[[#This Row],[SEREAL NO.]]=Data!$A$103),1,""),"")</f>
        <v/>
      </c>
      <c r="N47" s="998" t="str">
        <f>IF(AND(Table2[[#This Row],[SIZE]]&lt;&gt;"", Table2[[#This Row],[SIZE]]=Data!$B$3),1,"")</f>
        <v/>
      </c>
      <c r="O47" s="998" t="str">
        <f>IF(AND(Table2[[#This Row],[TYPE]]&lt;&gt;"", Table2[[#This Row],[TYPE]]=Data!$B$4),1,"")</f>
        <v/>
      </c>
      <c r="P47" s="998" t="str">
        <f>IF(AND(Table2[[#This Row],[LV5 MAT NO.]]&lt;&gt;"", Table2[[#This Row],[LV5 MAT NO.]]=Data!$B$5),1,"")</f>
        <v/>
      </c>
      <c r="Q47" s="998" t="str">
        <f>IF(AND(Table2[[#This Row],[FROM]]&lt;&gt;"", Table2[[#This Row],[FROM]]=Data!$B$7),1,"")</f>
        <v/>
      </c>
      <c r="R47" s="998" t="str">
        <f>IF(AND(Table2[[#This Row],[LV3 or LV4 MAT NO.]]&lt;&gt;"", Table2[[#This Row],[LV3 or LV4 MAT NO.]]=Data!$B$8),1,"")</f>
        <v/>
      </c>
      <c r="S47" s="998"/>
      <c r="T47" s="998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35">
      <c r="E48" s="1000">
        <v>1246680</v>
      </c>
      <c r="F48" s="1000" t="s">
        <v>791</v>
      </c>
      <c r="I48" s="1000"/>
      <c r="J48" s="13" t="s">
        <v>2307</v>
      </c>
      <c r="L48" s="998" t="str">
        <f>IF(AND(Table2[[#This Row],[ORDER NO.]]&lt;&gt;"", Table2[[#This Row],[ORDER NO.]]=Data!$B$1),1,"")</f>
        <v/>
      </c>
      <c r="M48" s="998" t="str">
        <f>IFERROR(IF(AND(Table2[[#This Row],[SEREAL NO.]]&lt;&gt;"", Table2[[#This Row],[SEREAL NO.]]=Data!$A$103),1,""),"")</f>
        <v/>
      </c>
      <c r="N48" s="998" t="str">
        <f>IF(AND(Table2[[#This Row],[SIZE]]&lt;&gt;"", Table2[[#This Row],[SIZE]]=Data!$B$3),1,"")</f>
        <v/>
      </c>
      <c r="O48" s="998" t="str">
        <f>IF(AND(Table2[[#This Row],[TYPE]]&lt;&gt;"", Table2[[#This Row],[TYPE]]=Data!$B$4),1,"")</f>
        <v/>
      </c>
      <c r="P48" s="998" t="str">
        <f>IF(AND(Table2[[#This Row],[LV5 MAT NO.]]&lt;&gt;"", Table2[[#This Row],[LV5 MAT NO.]]=Data!$B$5),1,"")</f>
        <v/>
      </c>
      <c r="Q48" s="998" t="str">
        <f>IF(AND(Table2[[#This Row],[FROM]]&lt;&gt;"", Table2[[#This Row],[FROM]]=Data!$B$7),1,"")</f>
        <v/>
      </c>
      <c r="R48" s="998" t="str">
        <f>IF(AND(Table2[[#This Row],[LV3 or LV4 MAT NO.]]&lt;&gt;"", Table2[[#This Row],[LV3 or LV4 MAT NO.]]=Data!$B$8),1,"")</f>
        <v/>
      </c>
      <c r="S48" s="998"/>
      <c r="T48" s="998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35">
      <c r="E49" s="1000">
        <v>1267829</v>
      </c>
      <c r="F49" s="1000" t="s">
        <v>2311</v>
      </c>
      <c r="I49" s="1000"/>
      <c r="J49" s="13" t="s">
        <v>2327</v>
      </c>
      <c r="L49" s="998" t="str">
        <f>IF(AND(Table2[[#This Row],[ORDER NO.]]&lt;&gt;"", Table2[[#This Row],[ORDER NO.]]=Data!$B$1),1,"")</f>
        <v/>
      </c>
      <c r="M49" s="998" t="str">
        <f>IFERROR(IF(AND(Table2[[#This Row],[SEREAL NO.]]&lt;&gt;"", Table2[[#This Row],[SEREAL NO.]]=Data!$A$103),1,""),"")</f>
        <v/>
      </c>
      <c r="N49" s="998" t="str">
        <f>IF(AND(Table2[[#This Row],[SIZE]]&lt;&gt;"", Table2[[#This Row],[SIZE]]=Data!$B$3),1,"")</f>
        <v/>
      </c>
      <c r="O49" s="998" t="str">
        <f>IF(AND(Table2[[#This Row],[TYPE]]&lt;&gt;"", Table2[[#This Row],[TYPE]]=Data!$B$4),1,"")</f>
        <v/>
      </c>
      <c r="P49" s="998" t="str">
        <f>IF(AND(Table2[[#This Row],[LV5 MAT NO.]]&lt;&gt;"", Table2[[#This Row],[LV5 MAT NO.]]=Data!$B$5),1,"")</f>
        <v/>
      </c>
      <c r="Q49" s="998" t="str">
        <f>IF(AND(Table2[[#This Row],[FROM]]&lt;&gt;"", Table2[[#This Row],[FROM]]=Data!$B$7),1,"")</f>
        <v/>
      </c>
      <c r="R49" s="998" t="str">
        <f>IF(AND(Table2[[#This Row],[LV3 or LV4 MAT NO.]]&lt;&gt;"", Table2[[#This Row],[LV3 or LV4 MAT NO.]]=Data!$B$8),1,"")</f>
        <v/>
      </c>
      <c r="S49" s="998"/>
      <c r="T49" s="998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2426</v>
      </c>
    </row>
    <row r="50" spans="2:22" x14ac:dyDescent="0.35">
      <c r="E50" s="1000">
        <v>1276939</v>
      </c>
      <c r="F50" s="1000" t="s">
        <v>2311</v>
      </c>
      <c r="I50" s="1000"/>
      <c r="J50" s="13" t="s">
        <v>2327</v>
      </c>
      <c r="L50" s="998" t="str">
        <f>IF(AND(Table2[[#This Row],[ORDER NO.]]&lt;&gt;"", Table2[[#This Row],[ORDER NO.]]=Data!$B$1),1,"")</f>
        <v/>
      </c>
      <c r="M50" s="998" t="str">
        <f>IFERROR(IF(AND(Table2[[#This Row],[SEREAL NO.]]&lt;&gt;"", Table2[[#This Row],[SEREAL NO.]]=Data!$A$103),1,""),"")</f>
        <v/>
      </c>
      <c r="N50" s="998" t="str">
        <f>IF(AND(Table2[[#This Row],[SIZE]]&lt;&gt;"", Table2[[#This Row],[SIZE]]=Data!$B$3),1,"")</f>
        <v/>
      </c>
      <c r="O50" s="998" t="str">
        <f>IF(AND(Table2[[#This Row],[TYPE]]&lt;&gt;"", Table2[[#This Row],[TYPE]]=Data!$B$4),1,"")</f>
        <v/>
      </c>
      <c r="P50" s="998" t="str">
        <f>IF(AND(Table2[[#This Row],[LV5 MAT NO.]]&lt;&gt;"", Table2[[#This Row],[LV5 MAT NO.]]=Data!$B$5),1,"")</f>
        <v/>
      </c>
      <c r="Q50" s="998" t="str">
        <f>IF(AND(Table2[[#This Row],[FROM]]&lt;&gt;"", Table2[[#This Row],[FROM]]=Data!$B$7),1,"")</f>
        <v/>
      </c>
      <c r="R50" s="998" t="str">
        <f>IF(AND(Table2[[#This Row],[LV3 or LV4 MAT NO.]]&lt;&gt;"", Table2[[#This Row],[LV3 or LV4 MAT NO.]]=Data!$B$8),1,"")</f>
        <v/>
      </c>
      <c r="S50" s="998"/>
      <c r="T50" s="998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2426</v>
      </c>
    </row>
    <row r="51" spans="2:22" x14ac:dyDescent="0.35">
      <c r="E51" s="1000">
        <v>1255267</v>
      </c>
      <c r="F51" s="1000" t="s">
        <v>2311</v>
      </c>
      <c r="I51" s="1000"/>
      <c r="J51" s="13" t="s">
        <v>2327</v>
      </c>
      <c r="L51" s="998" t="str">
        <f>IF(AND(Table2[[#This Row],[ORDER NO.]]&lt;&gt;"", Table2[[#This Row],[ORDER NO.]]=Data!$B$1),1,"")</f>
        <v/>
      </c>
      <c r="M51" s="998" t="str">
        <f>IFERROR(IF(AND(Table2[[#This Row],[SEREAL NO.]]&lt;&gt;"", Table2[[#This Row],[SEREAL NO.]]=Data!$A$103),1,""),"")</f>
        <v/>
      </c>
      <c r="N51" s="998" t="str">
        <f>IF(AND(Table2[[#This Row],[SIZE]]&lt;&gt;"", Table2[[#This Row],[SIZE]]=Data!$B$3),1,"")</f>
        <v/>
      </c>
      <c r="O51" s="998" t="str">
        <f>IF(AND(Table2[[#This Row],[TYPE]]&lt;&gt;"", Table2[[#This Row],[TYPE]]=Data!$B$4),1,"")</f>
        <v/>
      </c>
      <c r="P51" s="998" t="str">
        <f>IF(AND(Table2[[#This Row],[LV5 MAT NO.]]&lt;&gt;"", Table2[[#This Row],[LV5 MAT NO.]]=Data!$B$5),1,"")</f>
        <v/>
      </c>
      <c r="Q51" s="998" t="str">
        <f>IF(AND(Table2[[#This Row],[FROM]]&lt;&gt;"", Table2[[#This Row],[FROM]]=Data!$B$7),1,"")</f>
        <v/>
      </c>
      <c r="R51" s="998" t="str">
        <f>IF(AND(Table2[[#This Row],[LV3 or LV4 MAT NO.]]&lt;&gt;"", Table2[[#This Row],[LV3 or LV4 MAT NO.]]=Data!$B$8),1,"")</f>
        <v/>
      </c>
      <c r="S51" s="998"/>
      <c r="T51" s="998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2426</v>
      </c>
    </row>
    <row r="52" spans="2:22" x14ac:dyDescent="0.35">
      <c r="E52" s="1000" t="s">
        <v>2169</v>
      </c>
      <c r="F52" s="1000" t="s">
        <v>2311</v>
      </c>
      <c r="I52" s="1000"/>
      <c r="J52" s="13" t="s">
        <v>2327</v>
      </c>
      <c r="L52" s="998" t="str">
        <f>IF(AND(Table2[[#This Row],[ORDER NO.]]&lt;&gt;"", Table2[[#This Row],[ORDER NO.]]=Data!$B$1),1,"")</f>
        <v/>
      </c>
      <c r="M52" s="998" t="str">
        <f>IFERROR(IF(AND(Table2[[#This Row],[SEREAL NO.]]&lt;&gt;"", Table2[[#This Row],[SEREAL NO.]]=Data!$A$103),1,""),"")</f>
        <v/>
      </c>
      <c r="N52" s="998" t="str">
        <f>IF(AND(Table2[[#This Row],[SIZE]]&lt;&gt;"", Table2[[#This Row],[SIZE]]=Data!$B$3),1,"")</f>
        <v/>
      </c>
      <c r="O52" s="998" t="str">
        <f>IF(AND(Table2[[#This Row],[TYPE]]&lt;&gt;"", Table2[[#This Row],[TYPE]]=Data!$B$4),1,"")</f>
        <v/>
      </c>
      <c r="P52" s="998" t="str">
        <f>IF(AND(Table2[[#This Row],[LV5 MAT NO.]]&lt;&gt;"", Table2[[#This Row],[LV5 MAT NO.]]=Data!$B$5),1,"")</f>
        <v/>
      </c>
      <c r="Q52" s="998" t="str">
        <f>IF(AND(Table2[[#This Row],[FROM]]&lt;&gt;"",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 s="998"/>
      <c r="T52" s="998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2426</v>
      </c>
    </row>
    <row r="53" spans="2:22" x14ac:dyDescent="0.35">
      <c r="E53" s="1000" t="s">
        <v>2217</v>
      </c>
      <c r="F53" s="1000" t="s">
        <v>2311</v>
      </c>
      <c r="I53" s="1000"/>
      <c r="J53" s="13" t="s">
        <v>2327</v>
      </c>
      <c r="L53" s="998" t="str">
        <f>IF(AND(Table2[[#This Row],[ORDER NO.]]&lt;&gt;"", Table2[[#This Row],[ORDER NO.]]=Data!$B$1),1,"")</f>
        <v/>
      </c>
      <c r="M53" s="998" t="str">
        <f>IFERROR(IF(AND(Table2[[#This Row],[SEREAL NO.]]&lt;&gt;"", Table2[[#This Row],[SEREAL NO.]]=Data!$A$103),1,""),"")</f>
        <v/>
      </c>
      <c r="N53" s="998" t="str">
        <f>IF(AND(Table2[[#This Row],[SIZE]]&lt;&gt;"", Table2[[#This Row],[SIZE]]=Data!$B$3),1,"")</f>
        <v/>
      </c>
      <c r="O53" s="998" t="str">
        <f>IF(AND(Table2[[#This Row],[TYPE]]&lt;&gt;"", Table2[[#This Row],[TYPE]]=Data!$B$4),1,"")</f>
        <v/>
      </c>
      <c r="P53" s="998" t="str">
        <f>IF(AND(Table2[[#This Row],[LV5 MAT NO.]]&lt;&gt;"", Table2[[#This Row],[LV5 MAT NO.]]=Data!$B$5),1,"")</f>
        <v/>
      </c>
      <c r="Q53" s="998" t="str">
        <f>IF(AND(Table2[[#This Row],[FROM]]&lt;&gt;"", Table2[[#This Row],[FROM]]=Data!$B$7),1,"")</f>
        <v/>
      </c>
      <c r="R53" s="998" t="str">
        <f>IF(AND(Table2[[#This Row],[LV3 or LV4 MAT NO.]]&lt;&gt;"", Table2[[#This Row],[LV3 or LV4 MAT NO.]]=Data!$B$8),1,"")</f>
        <v/>
      </c>
      <c r="S53" s="998"/>
      <c r="T53" s="998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2426</v>
      </c>
    </row>
    <row r="54" spans="2:22" x14ac:dyDescent="0.35">
      <c r="E54" s="1000" t="s">
        <v>2144</v>
      </c>
      <c r="F54" s="1000" t="s">
        <v>2311</v>
      </c>
      <c r="I54" s="1000"/>
      <c r="J54" s="13" t="s">
        <v>2327</v>
      </c>
      <c r="L54" s="998" t="str">
        <f>IF(AND(Table2[[#This Row],[ORDER NO.]]&lt;&gt;"", Table2[[#This Row],[ORDER NO.]]=Data!$B$1),1,"")</f>
        <v/>
      </c>
      <c r="M54" s="998" t="str">
        <f>IFERROR(IF(AND(Table2[[#This Row],[SEREAL NO.]]&lt;&gt;"", Table2[[#This Row],[SEREAL NO.]]=Data!$A$103),1,""),"")</f>
        <v/>
      </c>
      <c r="N54" s="998" t="str">
        <f>IF(AND(Table2[[#This Row],[SIZE]]&lt;&gt;"", Table2[[#This Row],[SIZE]]=Data!$B$3),1,"")</f>
        <v/>
      </c>
      <c r="O54" s="998" t="str">
        <f>IF(AND(Table2[[#This Row],[TYPE]]&lt;&gt;"", Table2[[#This Row],[TYPE]]=Data!$B$4),1,"")</f>
        <v/>
      </c>
      <c r="P54" s="998" t="str">
        <f>IF(AND(Table2[[#This Row],[LV5 MAT NO.]]&lt;&gt;"", Table2[[#This Row],[LV5 MAT NO.]]=Data!$B$5),1,"")</f>
        <v/>
      </c>
      <c r="Q54" s="998" t="str">
        <f>IF(AND(Table2[[#This Row],[FROM]]&lt;&gt;"", Table2[[#This Row],[FROM]]=Data!$B$7),1,"")</f>
        <v/>
      </c>
      <c r="R54" s="998" t="str">
        <f>IF(AND(Table2[[#This Row],[LV3 or LV4 MAT NO.]]&lt;&gt;"", Table2[[#This Row],[LV3 or LV4 MAT NO.]]=Data!$B$8),1,"")</f>
        <v/>
      </c>
      <c r="S54" s="998"/>
      <c r="T54" s="998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2426</v>
      </c>
    </row>
    <row r="55" spans="2:22" x14ac:dyDescent="0.35">
      <c r="E55" s="1000" t="s">
        <v>2324</v>
      </c>
      <c r="F55" s="1000" t="s">
        <v>2311</v>
      </c>
      <c r="I55" s="1000"/>
      <c r="J55" s="13" t="s">
        <v>2327</v>
      </c>
      <c r="L55" s="998" t="str">
        <f>IF(AND(Table2[[#This Row],[ORDER NO.]]&lt;&gt;"", Table2[[#This Row],[ORDER NO.]]=Data!$B$1),1,"")</f>
        <v/>
      </c>
      <c r="M55" s="998" t="str">
        <f>IFERROR(IF(AND(Table2[[#This Row],[SEREAL NO.]]&lt;&gt;"", Table2[[#This Row],[SEREAL NO.]]=Data!$A$103),1,""),"")</f>
        <v/>
      </c>
      <c r="N55" s="998" t="str">
        <f>IF(AND(Table2[[#This Row],[SIZE]]&lt;&gt;"", Table2[[#This Row],[SIZE]]=Data!$B$3),1,"")</f>
        <v/>
      </c>
      <c r="O55" s="998" t="str">
        <f>IF(AND(Table2[[#This Row],[TYPE]]&lt;&gt;"", Table2[[#This Row],[TYPE]]=Data!$B$4),1,"")</f>
        <v/>
      </c>
      <c r="P55" s="998" t="str">
        <f>IF(AND(Table2[[#This Row],[LV5 MAT NO.]]&lt;&gt;"", Table2[[#This Row],[LV5 MAT NO.]]=Data!$B$5),1,"")</f>
        <v/>
      </c>
      <c r="Q55" s="998" t="str">
        <f>IF(AND(Table2[[#This Row],[FROM]]&lt;&gt;"", Table2[[#This Row],[FROM]]=Data!$B$7),1,"")</f>
        <v/>
      </c>
      <c r="R55" s="998" t="str">
        <f>IF(AND(Table2[[#This Row],[LV3 or LV4 MAT NO.]]&lt;&gt;"", Table2[[#This Row],[LV3 or LV4 MAT NO.]]=Data!$B$8),1,"")</f>
        <v/>
      </c>
      <c r="S55" s="998"/>
      <c r="T55" s="998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2426</v>
      </c>
    </row>
    <row r="56" spans="2:22" x14ac:dyDescent="0.35">
      <c r="E56" s="1000" t="s">
        <v>2325</v>
      </c>
      <c r="F56" s="1000" t="s">
        <v>2311</v>
      </c>
      <c r="I56" s="1000"/>
      <c r="J56" s="13" t="s">
        <v>2327</v>
      </c>
      <c r="L56" s="998" t="str">
        <f>IF(AND(Table2[[#This Row],[ORDER NO.]]&lt;&gt;"", Table2[[#This Row],[ORDER NO.]]=Data!$B$1),1,"")</f>
        <v/>
      </c>
      <c r="M56" s="998" t="str">
        <f>IFERROR(IF(AND(Table2[[#This Row],[SEREAL NO.]]&lt;&gt;"", Table2[[#This Row],[SEREAL NO.]]=Data!$A$103),1,""),"")</f>
        <v/>
      </c>
      <c r="N56" s="998" t="str">
        <f>IF(AND(Table2[[#This Row],[SIZE]]&lt;&gt;"", Table2[[#This Row],[SIZE]]=Data!$B$3),1,"")</f>
        <v/>
      </c>
      <c r="O56" s="998" t="str">
        <f>IF(AND(Table2[[#This Row],[TYPE]]&lt;&gt;"", Table2[[#This Row],[TYPE]]=Data!$B$4),1,"")</f>
        <v/>
      </c>
      <c r="P56" s="998" t="str">
        <f>IF(AND(Table2[[#This Row],[LV5 MAT NO.]]&lt;&gt;"", Table2[[#This Row],[LV5 MAT NO.]]=Data!$B$5),1,"")</f>
        <v/>
      </c>
      <c r="Q56" s="998" t="str">
        <f>IF(AND(Table2[[#This Row],[FROM]]&lt;&gt;"", Table2[[#This Row],[FROM]]=Data!$B$7),1,"")</f>
        <v/>
      </c>
      <c r="R56" s="998" t="str">
        <f>IF(AND(Table2[[#This Row],[LV3 or LV4 MAT NO.]]&lt;&gt;"", Table2[[#This Row],[LV3 or LV4 MAT NO.]]=Data!$B$8),1,"")</f>
        <v/>
      </c>
      <c r="S56" s="998"/>
      <c r="T56" s="998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2426</v>
      </c>
    </row>
    <row r="57" spans="2:22" x14ac:dyDescent="0.35">
      <c r="E57" s="1000" t="s">
        <v>2326</v>
      </c>
      <c r="F57" s="1000" t="s">
        <v>2311</v>
      </c>
      <c r="I57" s="1000"/>
      <c r="J57" s="13" t="s">
        <v>2327</v>
      </c>
      <c r="L57" s="998" t="str">
        <f>IF(AND(Table2[[#This Row],[ORDER NO.]]&lt;&gt;"", Table2[[#This Row],[ORDER NO.]]=Data!$B$1),1,"")</f>
        <v/>
      </c>
      <c r="M57" s="998" t="str">
        <f>IFERROR(IF(AND(Table2[[#This Row],[SEREAL NO.]]&lt;&gt;"", Table2[[#This Row],[SEREAL NO.]]=Data!$A$103),1,""),"")</f>
        <v/>
      </c>
      <c r="N57" s="998" t="str">
        <f>IF(AND(Table2[[#This Row],[SIZE]]&lt;&gt;"", Table2[[#This Row],[SIZE]]=Data!$B$3),1,"")</f>
        <v/>
      </c>
      <c r="O57" s="998" t="str">
        <f>IF(AND(Table2[[#This Row],[TYPE]]&lt;&gt;"", Table2[[#This Row],[TYPE]]=Data!$B$4),1,"")</f>
        <v/>
      </c>
      <c r="P57" s="998" t="str">
        <f>IF(AND(Table2[[#This Row],[LV5 MAT NO.]]&lt;&gt;"", Table2[[#This Row],[LV5 MAT NO.]]=Data!$B$5),1,"")</f>
        <v/>
      </c>
      <c r="Q57" s="998" t="str">
        <f>IF(AND(Table2[[#This Row],[FROM]]&lt;&gt;"", Table2[[#This Row],[FROM]]=Data!$B$7),1,"")</f>
        <v/>
      </c>
      <c r="R57" s="998" t="str">
        <f>IF(AND(Table2[[#This Row],[LV3 or LV4 MAT NO.]]&lt;&gt;"", Table2[[#This Row],[LV3 or LV4 MAT NO.]]=Data!$B$8),1,"")</f>
        <v/>
      </c>
      <c r="S57" s="998"/>
      <c r="T57" s="998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2426</v>
      </c>
    </row>
    <row r="58" spans="2:22" x14ac:dyDescent="0.35">
      <c r="B58" s="1000" t="s">
        <v>2428</v>
      </c>
      <c r="F58" s="1000" t="s">
        <v>2311</v>
      </c>
      <c r="I58" s="1000"/>
      <c r="J58" s="13" t="s">
        <v>2429</v>
      </c>
      <c r="L58" s="998" t="str">
        <f>IF(AND(Table2[[#This Row],[ORDER NO.]]&lt;&gt;"", Table2[[#This Row],[ORDER NO.]]=Data!$B$1),1,"")</f>
        <v/>
      </c>
      <c r="M58" s="998">
        <f>IFERROR(IF(OR(AND(Table2[[#This Row],[SEREAL NO.]]&lt;&gt;"", Table2[[#This Row],[SEREAL NO.]]=Data!$A$103),
       AND(ISNUMBER(VALUE(LEFT(Data!$B$2,8))), MID(Data!$B$2,9,1)="R", RIGHT(Data!B2,1)="3")),
   1, 0),"")</f>
        <v>0</v>
      </c>
      <c r="N58" s="998" t="str">
        <f>IF(AND(Table2[[#This Row],[SIZE]]&lt;&gt;"", Table2[[#This Row],[SIZE]]=Data!$B$3),1,"")</f>
        <v/>
      </c>
      <c r="O58" s="998" t="str">
        <f>IF(AND(Table2[[#This Row],[TYPE]]&lt;&gt;"", Table2[[#This Row],[TYPE]]=Data!$B$4),1,"")</f>
        <v/>
      </c>
      <c r="P58" s="998" t="str">
        <f>IF(AND(Table2[[#This Row],[LV5 MAT NO.]]&lt;&gt;"", Table2[[#This Row],[LV5 MAT NO.]]=Data!$B$5),1,"")</f>
        <v/>
      </c>
      <c r="Q58" s="998" t="str">
        <f>IF(AND(Table2[[#This Row],[FROM]]&lt;&gt;"", Table2[[#This Row],[FROM]]=Data!$B$7),1,"")</f>
        <v/>
      </c>
      <c r="R58" s="998" t="str">
        <f>IF(AND(Table2[[#This Row],[LV3 or LV4 MAT NO.]]&lt;&gt;"", Table2[[#This Row],[LV3 or LV4 MAT NO.]]=Data!$B$8),1,"")</f>
        <v/>
      </c>
      <c r="S58" s="998"/>
      <c r="T58" s="998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35">
      <c r="I59" s="1000"/>
      <c r="L59" s="998" t="str">
        <f>IF(AND(Table2[[#This Row],[ORDER NO.]]&lt;&gt;"", Table2[[#This Row],[ORDER NO.]]=Data!$B$1),1,"")</f>
        <v/>
      </c>
      <c r="M59" s="998" t="str">
        <f>IFERROR(IF(AND(Table2[[#This Row],[SEREAL NO.]]&lt;&gt;"", Table2[[#This Row],[SEREAL NO.]]=Data!$A$103),1,""),"")</f>
        <v/>
      </c>
      <c r="N59" s="998" t="str">
        <f>IF(AND(Table2[[#This Row],[SIZE]]&lt;&gt;"", Table2[[#This Row],[SIZE]]=Data!$B$3),1,"")</f>
        <v/>
      </c>
      <c r="O59" s="998" t="str">
        <f>IF(AND(Table2[[#This Row],[TYPE]]&lt;&gt;"", Table2[[#This Row],[TYPE]]=Data!$B$4),1,"")</f>
        <v/>
      </c>
      <c r="P59" s="998" t="str">
        <f>IF(AND(Table2[[#This Row],[LV5 MAT NO.]]&lt;&gt;"", Table2[[#This Row],[LV5 MAT NO.]]=Data!$B$5),1,"")</f>
        <v/>
      </c>
      <c r="Q59" s="998" t="str">
        <f>IF(AND(Table2[[#This Row],[FROM]]&lt;&gt;"", Table2[[#This Row],[FROM]]=Data!$B$7),1,"")</f>
        <v/>
      </c>
      <c r="R59" s="998" t="str">
        <f>IF(AND(Table2[[#This Row],[LV3 or LV4 MAT NO.]]&lt;&gt;"", Table2[[#This Row],[LV3 or LV4 MAT NO.]]=Data!$B$8),1,"")</f>
        <v/>
      </c>
      <c r="S59" s="998"/>
      <c r="T59" s="998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35">
      <c r="I60" s="1000"/>
      <c r="L60" s="998" t="str">
        <f>IF(AND(Table2[[#This Row],[ORDER NO.]]&lt;&gt;"", Table2[[#This Row],[ORDER NO.]]=Data!$B$1),1,"")</f>
        <v/>
      </c>
      <c r="M60" s="998" t="str">
        <f>IFERROR(IF(AND(Table2[[#This Row],[SEREAL NO.]]&lt;&gt;"", Table2[[#This Row],[SEREAL NO.]]=Data!$A$103),1,""),"")</f>
        <v/>
      </c>
      <c r="N60" s="998" t="str">
        <f>IF(AND(Table2[[#This Row],[SIZE]]&lt;&gt;"", Table2[[#This Row],[SIZE]]=Data!$B$3),1,"")</f>
        <v/>
      </c>
      <c r="O60" s="998" t="str">
        <f>IF(AND(Table2[[#This Row],[TYPE]]&lt;&gt;"", Table2[[#This Row],[TYPE]]=Data!$B$4),1,"")</f>
        <v/>
      </c>
      <c r="P60" s="998" t="str">
        <f>IF(AND(Table2[[#This Row],[LV5 MAT NO.]]&lt;&gt;"", Table2[[#This Row],[LV5 MAT NO.]]=Data!$B$5),1,"")</f>
        <v/>
      </c>
      <c r="Q60" s="998" t="str">
        <f>IF(AND(Table2[[#This Row],[FROM]]&lt;&gt;"", Table2[[#This Row],[FROM]]=Data!$B$7),1,"")</f>
        <v/>
      </c>
      <c r="R60" s="998" t="str">
        <f>IF(AND(Table2[[#This Row],[LV3 or LV4 MAT NO.]]&lt;&gt;"", Table2[[#This Row],[LV3 or LV4 MAT NO.]]=Data!$B$8),1,"")</f>
        <v/>
      </c>
      <c r="S60" s="998"/>
      <c r="T60" s="998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35">
      <c r="I61" s="1000"/>
      <c r="L61" s="998" t="str">
        <f>IF(AND(Table2[[#This Row],[ORDER NO.]]&lt;&gt;"", Table2[[#This Row],[ORDER NO.]]=Data!$B$1),1,"")</f>
        <v/>
      </c>
      <c r="M61" s="998" t="str">
        <f>IFERROR(IF(AND(Table2[[#This Row],[SEREAL NO.]]&lt;&gt;"", Table2[[#This Row],[SEREAL NO.]]=Data!$A$103),1,""),"")</f>
        <v/>
      </c>
      <c r="N61" s="998" t="str">
        <f>IF(AND(Table2[[#This Row],[SIZE]]&lt;&gt;"", Table2[[#This Row],[SIZE]]=Data!$B$3),1,"")</f>
        <v/>
      </c>
      <c r="O61" s="998" t="str">
        <f>IF(AND(Table2[[#This Row],[TYPE]]&lt;&gt;"", Table2[[#This Row],[TYPE]]=Data!$B$4),1,"")</f>
        <v/>
      </c>
      <c r="P61" s="998" t="str">
        <f>IF(AND(Table2[[#This Row],[LV5 MAT NO.]]&lt;&gt;"", Table2[[#This Row],[LV5 MAT NO.]]=Data!$B$5),1,"")</f>
        <v/>
      </c>
      <c r="Q61" s="998" t="str">
        <f>IF(AND(Table2[[#This Row],[FROM]]&lt;&gt;"", Table2[[#This Row],[FROM]]=Data!$B$7),1,"")</f>
        <v/>
      </c>
      <c r="R61" s="998" t="str">
        <f>IF(AND(Table2[[#This Row],[LV3 or LV4 MAT NO.]]&lt;&gt;"", Table2[[#This Row],[LV3 or LV4 MAT NO.]]=Data!$B$8),1,"")</f>
        <v/>
      </c>
      <c r="S61" s="998"/>
      <c r="T61" s="998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35">
      <c r="I62" s="1000"/>
      <c r="L62" s="998" t="str">
        <f>IF(AND(Table2[[#This Row],[ORDER NO.]]&lt;&gt;"", Table2[[#This Row],[ORDER NO.]]=Data!$B$1),1,"")</f>
        <v/>
      </c>
      <c r="M62" s="998" t="str">
        <f>IFERROR(IF(AND(Table2[[#This Row],[SEREAL NO.]]&lt;&gt;"", Table2[[#This Row],[SEREAL NO.]]=Data!$A$103),1,""),"")</f>
        <v/>
      </c>
      <c r="N62" s="998" t="str">
        <f>IF(AND(Table2[[#This Row],[SIZE]]&lt;&gt;"", Table2[[#This Row],[SIZE]]=Data!$B$3),1,"")</f>
        <v/>
      </c>
      <c r="O62" s="998" t="str">
        <f>IF(AND(Table2[[#This Row],[TYPE]]&lt;&gt;"", Table2[[#This Row],[TYPE]]=Data!$B$4),1,"")</f>
        <v/>
      </c>
      <c r="P62" s="998" t="str">
        <f>IF(AND(Table2[[#This Row],[LV5 MAT NO.]]&lt;&gt;"", Table2[[#This Row],[LV5 MAT NO.]]=Data!$B$5),1,"")</f>
        <v/>
      </c>
      <c r="Q62" s="998" t="str">
        <f>IF(AND(Table2[[#This Row],[FROM]]&lt;&gt;"", Table2[[#This Row],[FROM]]=Data!$B$7),1,"")</f>
        <v/>
      </c>
      <c r="R62" s="998" t="str">
        <f>IF(AND(Table2[[#This Row],[LV3 or LV4 MAT NO.]]&lt;&gt;"", Table2[[#This Row],[LV3 or LV4 MAT NO.]]=Data!$B$8),1,"")</f>
        <v/>
      </c>
      <c r="S62" s="998"/>
      <c r="T62" s="998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35">
      <c r="I63" s="1000"/>
      <c r="L63" s="998" t="str">
        <f>IF(AND(Table2[[#This Row],[ORDER NO.]]&lt;&gt;"", Table2[[#This Row],[ORDER NO.]]=Data!$B$1),1,"")</f>
        <v/>
      </c>
      <c r="M63" s="998" t="str">
        <f>IFERROR(IF(AND(Table2[[#This Row],[SEREAL NO.]]&lt;&gt;"", Table2[[#This Row],[SEREAL NO.]]=Data!$A$103),1,""),"")</f>
        <v/>
      </c>
      <c r="N63" s="998" t="str">
        <f>IF(AND(Table2[[#This Row],[SIZE]]&lt;&gt;"", Table2[[#This Row],[SIZE]]=Data!$B$3),1,"")</f>
        <v/>
      </c>
      <c r="O63" s="998" t="str">
        <f>IF(AND(Table2[[#This Row],[TYPE]]&lt;&gt;"", Table2[[#This Row],[TYPE]]=Data!$B$4),1,"")</f>
        <v/>
      </c>
      <c r="P63" s="998" t="str">
        <f>IF(AND(Table2[[#This Row],[LV5 MAT NO.]]&lt;&gt;"", Table2[[#This Row],[LV5 MAT NO.]]=Data!$B$5),1,"")</f>
        <v/>
      </c>
      <c r="Q63" s="998" t="str">
        <f>IF(AND(Table2[[#This Row],[FROM]]&lt;&gt;"", Table2[[#This Row],[FROM]]=Data!$B$7),1,"")</f>
        <v/>
      </c>
      <c r="R63" s="998" t="str">
        <f>IF(AND(Table2[[#This Row],[LV3 or LV4 MAT NO.]]&lt;&gt;"", Table2[[#This Row],[LV3 or LV4 MAT NO.]]=Data!$B$8),1,"")</f>
        <v/>
      </c>
      <c r="S63" s="998"/>
      <c r="T63" s="998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35">
      <c r="I64" s="1000"/>
      <c r="L64" s="998" t="str">
        <f>IF(AND(Table2[[#This Row],[ORDER NO.]]&lt;&gt;"", Table2[[#This Row],[ORDER NO.]]=Data!$B$1),1,"")</f>
        <v/>
      </c>
      <c r="M64" s="998" t="str">
        <f>IFERROR(IF(AND(Table2[[#This Row],[SEREAL NO.]]&lt;&gt;"", Table2[[#This Row],[SEREAL NO.]]=Data!$A$103),1,""),"")</f>
        <v/>
      </c>
      <c r="N64" s="998" t="str">
        <f>IF(AND(Table2[[#This Row],[SIZE]]&lt;&gt;"", Table2[[#This Row],[SIZE]]=Data!$B$3),1,"")</f>
        <v/>
      </c>
      <c r="O64" s="998" t="str">
        <f>IF(AND(Table2[[#This Row],[TYPE]]&lt;&gt;"", Table2[[#This Row],[TYPE]]=Data!$B$4),1,"")</f>
        <v/>
      </c>
      <c r="P64" s="998" t="str">
        <f>IF(AND(Table2[[#This Row],[LV5 MAT NO.]]&lt;&gt;"", Table2[[#This Row],[LV5 MAT NO.]]=Data!$B$5),1,"")</f>
        <v/>
      </c>
      <c r="Q64" s="998" t="str">
        <f>IF(AND(Table2[[#This Row],[FROM]]&lt;&gt;"", Table2[[#This Row],[FROM]]=Data!$B$7),1,"")</f>
        <v/>
      </c>
      <c r="R64" s="998" t="str">
        <f>IF(AND(Table2[[#This Row],[LV3 or LV4 MAT NO.]]&lt;&gt;"", Table2[[#This Row],[LV3 or LV4 MAT NO.]]=Data!$B$8),1,"")</f>
        <v/>
      </c>
      <c r="S64" s="998"/>
      <c r="T64" s="998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35">
      <c r="I65" s="1000"/>
      <c r="L65" s="998" t="str">
        <f>IF(AND(Table2[[#This Row],[ORDER NO.]]&lt;&gt;"", Table2[[#This Row],[ORDER NO.]]=Data!$B$1),1,"")</f>
        <v/>
      </c>
      <c r="M65" s="998" t="str">
        <f>IFERROR(IF(AND(Table2[[#This Row],[SEREAL NO.]]&lt;&gt;"", Table2[[#This Row],[SEREAL NO.]]=Data!$A$103),1,""),"")</f>
        <v/>
      </c>
      <c r="N65" s="998" t="str">
        <f>IF(AND(Table2[[#This Row],[SIZE]]&lt;&gt;"", Table2[[#This Row],[SIZE]]=Data!$B$3),1,"")</f>
        <v/>
      </c>
      <c r="O65" s="998" t="str">
        <f>IF(AND(Table2[[#This Row],[TYPE]]&lt;&gt;"", Table2[[#This Row],[TYPE]]=Data!$B$4),1,"")</f>
        <v/>
      </c>
      <c r="P65" s="998" t="str">
        <f>IF(AND(Table2[[#This Row],[LV5 MAT NO.]]&lt;&gt;"", Table2[[#This Row],[LV5 MAT NO.]]=Data!$B$5),1,"")</f>
        <v/>
      </c>
      <c r="Q65" s="998" t="str">
        <f>IF(AND(Table2[[#This Row],[FROM]]&lt;&gt;"", Table2[[#This Row],[FROM]]=Data!$B$7),1,"")</f>
        <v/>
      </c>
      <c r="R65" s="998" t="str">
        <f>IF(AND(Table2[[#This Row],[LV3 or LV4 MAT NO.]]&lt;&gt;"", Table2[[#This Row],[LV3 or LV4 MAT NO.]]=Data!$B$8),1,"")</f>
        <v/>
      </c>
      <c r="S65" s="998"/>
      <c r="T65" s="998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35">
      <c r="I66" s="1000"/>
      <c r="L66" s="998" t="str">
        <f>IF(AND(Table2[[#This Row],[ORDER NO.]]&lt;&gt;"", Table2[[#This Row],[ORDER NO.]]=Data!$B$1),1,"")</f>
        <v/>
      </c>
      <c r="M66" s="998" t="str">
        <f>IFERROR(IF(AND(Table2[[#This Row],[SEREAL NO.]]&lt;&gt;"", Table2[[#This Row],[SEREAL NO.]]=Data!$A$103),1,""),"")</f>
        <v/>
      </c>
      <c r="N66" s="998" t="str">
        <f>IF(AND(Table2[[#This Row],[SIZE]]&lt;&gt;"", Table2[[#This Row],[SIZE]]=Data!$B$3),1,"")</f>
        <v/>
      </c>
      <c r="O66" s="998" t="str">
        <f>IF(AND(Table2[[#This Row],[TYPE]]&lt;&gt;"", Table2[[#This Row],[TYPE]]=Data!$B$4),1,"")</f>
        <v/>
      </c>
      <c r="P66" s="998" t="str">
        <f>IF(AND(Table2[[#This Row],[LV5 MAT NO.]]&lt;&gt;"", Table2[[#This Row],[LV5 MAT NO.]]=Data!$B$5),1,"")</f>
        <v/>
      </c>
      <c r="Q66" s="998" t="str">
        <f>IF(AND(Table2[[#This Row],[FROM]]&lt;&gt;"", Table2[[#This Row],[FROM]]=Data!$B$7),1,"")</f>
        <v/>
      </c>
      <c r="R66" s="998" t="str">
        <f>IF(AND(Table2[[#This Row],[LV3 or LV4 MAT NO.]]&lt;&gt;"", Table2[[#This Row],[LV3 or LV4 MAT NO.]]=Data!$B$8),1,"")</f>
        <v/>
      </c>
      <c r="S66" s="998"/>
      <c r="T66" s="998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35">
      <c r="I67" s="1000"/>
      <c r="L67" s="998" t="str">
        <f>IF(AND(Table2[[#This Row],[ORDER NO.]]&lt;&gt;"", Table2[[#This Row],[ORDER NO.]]=Data!$B$1),1,"")</f>
        <v/>
      </c>
      <c r="M67" s="998" t="str">
        <f>IFERROR(IF(AND(Table2[[#This Row],[SEREAL NO.]]&lt;&gt;"", Table2[[#This Row],[SEREAL NO.]]=Data!$A$103),1,""),"")</f>
        <v/>
      </c>
      <c r="N67" s="998" t="str">
        <f>IF(AND(Table2[[#This Row],[SIZE]]&lt;&gt;"", Table2[[#This Row],[SIZE]]=Data!$B$3),1,"")</f>
        <v/>
      </c>
      <c r="O67" s="998" t="str">
        <f>IF(AND(Table2[[#This Row],[TYPE]]&lt;&gt;"", Table2[[#This Row],[TYPE]]=Data!$B$4),1,"")</f>
        <v/>
      </c>
      <c r="P67" s="998" t="str">
        <f>IF(AND(Table2[[#This Row],[LV5 MAT NO.]]&lt;&gt;"", Table2[[#This Row],[LV5 MAT NO.]]=Data!$B$5),1,"")</f>
        <v/>
      </c>
      <c r="Q67" s="998" t="str">
        <f>IF(AND(Table2[[#This Row],[FROM]]&lt;&gt;"", Table2[[#This Row],[FROM]]=Data!$B$7),1,"")</f>
        <v/>
      </c>
      <c r="R67" s="998" t="str">
        <f>IF(AND(Table2[[#This Row],[LV3 or LV4 MAT NO.]]&lt;&gt;"", Table2[[#This Row],[LV3 or LV4 MAT NO.]]=Data!$B$8),1,"")</f>
        <v/>
      </c>
      <c r="S67" s="998"/>
      <c r="T67" s="998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35">
      <c r="I68" s="1000"/>
      <c r="L68" s="998" t="str">
        <f>IF(AND(Table2[[#This Row],[ORDER NO.]]&lt;&gt;"", Table2[[#This Row],[ORDER NO.]]=Data!$B$1),1,"")</f>
        <v/>
      </c>
      <c r="M68" s="998" t="str">
        <f>IFERROR(IF(AND(Table2[[#This Row],[SEREAL NO.]]&lt;&gt;"", Table2[[#This Row],[SEREAL NO.]]=Data!$A$103),1,""),"")</f>
        <v/>
      </c>
      <c r="N68" s="998" t="str">
        <f>IF(AND(Table2[[#This Row],[SIZE]]&lt;&gt;"", Table2[[#This Row],[SIZE]]=Data!$B$3),1,"")</f>
        <v/>
      </c>
      <c r="O68" s="998" t="str">
        <f>IF(AND(Table2[[#This Row],[TYPE]]&lt;&gt;"", Table2[[#This Row],[TYPE]]=Data!$B$4),1,"")</f>
        <v/>
      </c>
      <c r="P68" s="998" t="str">
        <f>IF(AND(Table2[[#This Row],[LV5 MAT NO.]]&lt;&gt;"", Table2[[#This Row],[LV5 MAT NO.]]=Data!$B$5),1,"")</f>
        <v/>
      </c>
      <c r="Q68" s="998" t="str">
        <f>IF(AND(Table2[[#This Row],[FROM]]&lt;&gt;"", Table2[[#This Row],[FROM]]=Data!$B$7),1,"")</f>
        <v/>
      </c>
      <c r="R68" s="998" t="str">
        <f>IF(AND(Table2[[#This Row],[LV3 or LV4 MAT NO.]]&lt;&gt;"", Table2[[#This Row],[LV3 or LV4 MAT NO.]]=Data!$B$8),1,"")</f>
        <v/>
      </c>
      <c r="S68" s="998"/>
      <c r="T68" s="998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35">
      <c r="I69" s="1000"/>
      <c r="L69" s="998" t="str">
        <f>IF(AND(Table2[[#This Row],[ORDER NO.]]&lt;&gt;"", Table2[[#This Row],[ORDER NO.]]=Data!$B$1),1,"")</f>
        <v/>
      </c>
      <c r="M69" s="998" t="str">
        <f>IFERROR(IF(AND(Table2[[#This Row],[SEREAL NO.]]&lt;&gt;"", Table2[[#This Row],[SEREAL NO.]]=Data!$A$103),1,""),"")</f>
        <v/>
      </c>
      <c r="N69" s="998" t="str">
        <f>IF(AND(Table2[[#This Row],[SIZE]]&lt;&gt;"", Table2[[#This Row],[SIZE]]=Data!$B$3),1,"")</f>
        <v/>
      </c>
      <c r="O69" s="998" t="str">
        <f>IF(AND(Table2[[#This Row],[TYPE]]&lt;&gt;"", Table2[[#This Row],[TYPE]]=Data!$B$4),1,"")</f>
        <v/>
      </c>
      <c r="P69" s="998" t="str">
        <f>IF(AND(Table2[[#This Row],[LV5 MAT NO.]]&lt;&gt;"", Table2[[#This Row],[LV5 MAT NO.]]=Data!$B$5),1,"")</f>
        <v/>
      </c>
      <c r="Q69" s="998" t="str">
        <f>IF(AND(Table2[[#This Row],[FROM]]&lt;&gt;"", Table2[[#This Row],[FROM]]=Data!$B$7),1,"")</f>
        <v/>
      </c>
      <c r="R69" s="998" t="str">
        <f>IF(AND(Table2[[#This Row],[LV3 or LV4 MAT NO.]]&lt;&gt;"", Table2[[#This Row],[LV3 or LV4 MAT NO.]]=Data!$B$8),1,"")</f>
        <v/>
      </c>
      <c r="S69" s="998"/>
      <c r="T69" s="998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35">
      <c r="I70" s="1000"/>
      <c r="L70" s="998" t="str">
        <f>IF(AND(Table2[[#This Row],[ORDER NO.]]&lt;&gt;"", Table2[[#This Row],[ORDER NO.]]=Data!$B$1),1,"")</f>
        <v/>
      </c>
      <c r="M70" s="998" t="str">
        <f>IFERROR(IF(AND(Table2[[#This Row],[SEREAL NO.]]&lt;&gt;"", Table2[[#This Row],[SEREAL NO.]]=Data!$A$103),1,""),"")</f>
        <v/>
      </c>
      <c r="N70" s="998" t="str">
        <f>IF(AND(Table2[[#This Row],[SIZE]]&lt;&gt;"", Table2[[#This Row],[SIZE]]=Data!$B$3),1,"")</f>
        <v/>
      </c>
      <c r="O70" s="998" t="str">
        <f>IF(AND(Table2[[#This Row],[TYPE]]&lt;&gt;"", Table2[[#This Row],[TYPE]]=Data!$B$4),1,"")</f>
        <v/>
      </c>
      <c r="P70" s="998" t="str">
        <f>IF(AND(Table2[[#This Row],[LV5 MAT NO.]]&lt;&gt;"", Table2[[#This Row],[LV5 MAT NO.]]=Data!$B$5),1,"")</f>
        <v/>
      </c>
      <c r="Q70" s="998" t="str">
        <f>IF(AND(Table2[[#This Row],[FROM]]&lt;&gt;"", Table2[[#This Row],[FROM]]=Data!$B$7),1,"")</f>
        <v/>
      </c>
      <c r="R70" s="998" t="str">
        <f>IF(AND(Table2[[#This Row],[LV3 or LV4 MAT NO.]]&lt;&gt;"", Table2[[#This Row],[LV3 or LV4 MAT NO.]]=Data!$B$8),1,"")</f>
        <v/>
      </c>
      <c r="S70" s="998"/>
      <c r="T70" s="998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35">
      <c r="I71" s="1000"/>
      <c r="L71" s="998" t="str">
        <f>IF(AND(Table2[[#This Row],[ORDER NO.]]&lt;&gt;"", Table2[[#This Row],[ORDER NO.]]=Data!$B$1),1,"")</f>
        <v/>
      </c>
      <c r="M71" s="998" t="str">
        <f>IFERROR(IF(AND(Table2[[#This Row],[SEREAL NO.]]&lt;&gt;"", Table2[[#This Row],[SEREAL NO.]]=Data!$A$103),1,""),"")</f>
        <v/>
      </c>
      <c r="N71" s="998" t="str">
        <f>IF(AND(Table2[[#This Row],[SIZE]]&lt;&gt;"", Table2[[#This Row],[SIZE]]=Data!$B$3),1,"")</f>
        <v/>
      </c>
      <c r="O71" s="998" t="str">
        <f>IF(AND(Table2[[#This Row],[TYPE]]&lt;&gt;"", Table2[[#This Row],[TYPE]]=Data!$B$4),1,"")</f>
        <v/>
      </c>
      <c r="P71" s="998" t="str">
        <f>IF(AND(Table2[[#This Row],[LV5 MAT NO.]]&lt;&gt;"", Table2[[#This Row],[LV5 MAT NO.]]=Data!$B$5),1,"")</f>
        <v/>
      </c>
      <c r="Q71" s="998" t="str">
        <f>IF(AND(Table2[[#This Row],[FROM]]&lt;&gt;"", Table2[[#This Row],[FROM]]=Data!$B$7),1,"")</f>
        <v/>
      </c>
      <c r="R71" s="998" t="str">
        <f>IF(AND(Table2[[#This Row],[LV3 or LV4 MAT NO.]]&lt;&gt;"", Table2[[#This Row],[LV3 or LV4 MAT NO.]]=Data!$B$8),1,"")</f>
        <v/>
      </c>
      <c r="S71" s="998"/>
      <c r="T71" s="998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35">
      <c r="I72" s="1000"/>
      <c r="L72" s="998" t="str">
        <f>IF(AND(Table2[[#This Row],[ORDER NO.]]&lt;&gt;"", Table2[[#This Row],[ORDER NO.]]=Data!$B$1),1,"")</f>
        <v/>
      </c>
      <c r="M72" s="998" t="str">
        <f>IFERROR(IF(AND(Table2[[#This Row],[SEREAL NO.]]&lt;&gt;"", Table2[[#This Row],[SEREAL NO.]]=Data!$A$103),1,""),"")</f>
        <v/>
      </c>
      <c r="N72" s="998" t="str">
        <f>IF(AND(Table2[[#This Row],[SIZE]]&lt;&gt;"", Table2[[#This Row],[SIZE]]=Data!$B$3),1,"")</f>
        <v/>
      </c>
      <c r="O72" s="998" t="str">
        <f>IF(AND(Table2[[#This Row],[TYPE]]&lt;&gt;"", Table2[[#This Row],[TYPE]]=Data!$B$4),1,"")</f>
        <v/>
      </c>
      <c r="P72" s="998" t="str">
        <f>IF(AND(Table2[[#This Row],[LV5 MAT NO.]]&lt;&gt;"", Table2[[#This Row],[LV5 MAT NO.]]=Data!$B$5),1,"")</f>
        <v/>
      </c>
      <c r="Q72" s="998" t="str">
        <f>IF(AND(Table2[[#This Row],[FROM]]&lt;&gt;"", Table2[[#This Row],[FROM]]=Data!$B$7),1,"")</f>
        <v/>
      </c>
      <c r="R72" s="998" t="str">
        <f>IF(AND(Table2[[#This Row],[LV3 or LV4 MAT NO.]]&lt;&gt;"", Table2[[#This Row],[LV3 or LV4 MAT NO.]]=Data!$B$8),1,"")</f>
        <v/>
      </c>
      <c r="S72" s="998"/>
      <c r="T72" s="998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35">
      <c r="I73" s="1000"/>
      <c r="L73" s="998" t="str">
        <f>IF(AND(Table2[[#This Row],[ORDER NO.]]&lt;&gt;"", Table2[[#This Row],[ORDER NO.]]=Data!$B$1),1,"")</f>
        <v/>
      </c>
      <c r="M73" s="998" t="str">
        <f>IFERROR(IF(AND(Table2[[#This Row],[SEREAL NO.]]&lt;&gt;"", Table2[[#This Row],[SEREAL NO.]]=Data!$A$103),1,""),"")</f>
        <v/>
      </c>
      <c r="N73" s="998" t="str">
        <f>IF(AND(Table2[[#This Row],[SIZE]]&lt;&gt;"", Table2[[#This Row],[SIZE]]=Data!$B$3),1,"")</f>
        <v/>
      </c>
      <c r="O73" s="998" t="str">
        <f>IF(AND(Table2[[#This Row],[TYPE]]&lt;&gt;"", Table2[[#This Row],[TYPE]]=Data!$B$4),1,"")</f>
        <v/>
      </c>
      <c r="P73" s="998" t="str">
        <f>IF(AND(Table2[[#This Row],[LV5 MAT NO.]]&lt;&gt;"", Table2[[#This Row],[LV5 MAT NO.]]=Data!$B$5),1,"")</f>
        <v/>
      </c>
      <c r="Q73" s="998" t="str">
        <f>IF(AND(Table2[[#This Row],[FROM]]&lt;&gt;"", Table2[[#This Row],[FROM]]=Data!$B$7),1,"")</f>
        <v/>
      </c>
      <c r="R73" s="998" t="str">
        <f>IF(AND(Table2[[#This Row],[LV3 or LV4 MAT NO.]]&lt;&gt;"", Table2[[#This Row],[LV3 or LV4 MAT NO.]]=Data!$B$8),1,"")</f>
        <v/>
      </c>
      <c r="S73" s="998"/>
      <c r="T73" s="998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35">
      <c r="I74" s="1000"/>
      <c r="L74" s="998" t="str">
        <f>IF(AND(Table2[[#This Row],[ORDER NO.]]&lt;&gt;"", Table2[[#This Row],[ORDER NO.]]=Data!$B$1),1,"")</f>
        <v/>
      </c>
      <c r="M74" s="998" t="str">
        <f>IFERROR(IF(AND(Table2[[#This Row],[SEREAL NO.]]&lt;&gt;"", Table2[[#This Row],[SEREAL NO.]]=Data!$A$103),1,""),"")</f>
        <v/>
      </c>
      <c r="N74" s="998" t="str">
        <f>IF(AND(Table2[[#This Row],[SIZE]]&lt;&gt;"", Table2[[#This Row],[SIZE]]=Data!$B$3),1,"")</f>
        <v/>
      </c>
      <c r="O74" s="998" t="str">
        <f>IF(AND(Table2[[#This Row],[TYPE]]&lt;&gt;"", Table2[[#This Row],[TYPE]]=Data!$B$4),1,"")</f>
        <v/>
      </c>
      <c r="P74" s="998" t="str">
        <f>IF(AND(Table2[[#This Row],[LV5 MAT NO.]]&lt;&gt;"", Table2[[#This Row],[LV5 MAT NO.]]=Data!$B$5),1,"")</f>
        <v/>
      </c>
      <c r="Q74" s="998" t="str">
        <f>IF(AND(Table2[[#This Row],[FROM]]&lt;&gt;"", Table2[[#This Row],[FROM]]=Data!$B$7),1,"")</f>
        <v/>
      </c>
      <c r="R74" s="998" t="str">
        <f>IF(AND(Table2[[#This Row],[LV3 or LV4 MAT NO.]]&lt;&gt;"", Table2[[#This Row],[LV3 or LV4 MAT NO.]]=Data!$B$8),1,"")</f>
        <v/>
      </c>
      <c r="S74" s="998"/>
      <c r="T74" s="998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35">
      <c r="I75" s="1000"/>
      <c r="L75" s="998" t="str">
        <f>IF(AND(Table2[[#This Row],[ORDER NO.]]&lt;&gt;"", Table2[[#This Row],[ORDER NO.]]=Data!$B$1),1,"")</f>
        <v/>
      </c>
      <c r="M75" s="998" t="str">
        <f>IFERROR(IF(AND(Table2[[#This Row],[SEREAL NO.]]&lt;&gt;"", Table2[[#This Row],[SEREAL NO.]]=Data!$A$103),1,""),"")</f>
        <v/>
      </c>
      <c r="N75" s="998" t="str">
        <f>IF(AND(Table2[[#This Row],[SIZE]]&lt;&gt;"", Table2[[#This Row],[SIZE]]=Data!$B$3),1,"")</f>
        <v/>
      </c>
      <c r="O75" s="998" t="str">
        <f>IF(AND(Table2[[#This Row],[TYPE]]&lt;&gt;"", Table2[[#This Row],[TYPE]]=Data!$B$4),1,"")</f>
        <v/>
      </c>
      <c r="P75" s="998" t="str">
        <f>IF(AND(Table2[[#This Row],[LV5 MAT NO.]]&lt;&gt;"", Table2[[#This Row],[LV5 MAT NO.]]=Data!$B$5),1,"")</f>
        <v/>
      </c>
      <c r="Q75" s="998" t="str">
        <f>IF(AND(Table2[[#This Row],[FROM]]&lt;&gt;"", Table2[[#This Row],[FROM]]=Data!$B$7),1,"")</f>
        <v/>
      </c>
      <c r="R75" s="998" t="str">
        <f>IF(AND(Table2[[#This Row],[LV3 or LV4 MAT NO.]]&lt;&gt;"", Table2[[#This Row],[LV3 or LV4 MAT NO.]]=Data!$B$8),1,"")</f>
        <v/>
      </c>
      <c r="S75" s="998"/>
      <c r="T75" s="998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35">
      <c r="I76" s="1000"/>
      <c r="L76" s="998" t="str">
        <f>IF(AND(Table2[[#This Row],[ORDER NO.]]&lt;&gt;"", Table2[[#This Row],[ORDER NO.]]=Data!$B$1),1,"")</f>
        <v/>
      </c>
      <c r="M76" s="998" t="str">
        <f>IFERROR(IF(AND(Table2[[#This Row],[SEREAL NO.]]&lt;&gt;"", Table2[[#This Row],[SEREAL NO.]]=Data!$A$103),1,""),"")</f>
        <v/>
      </c>
      <c r="N76" s="998" t="str">
        <f>IF(AND(Table2[[#This Row],[SIZE]]&lt;&gt;"", Table2[[#This Row],[SIZE]]=Data!$B$3),1,"")</f>
        <v/>
      </c>
      <c r="O76" s="998" t="str">
        <f>IF(AND(Table2[[#This Row],[TYPE]]&lt;&gt;"", Table2[[#This Row],[TYPE]]=Data!$B$4),1,"")</f>
        <v/>
      </c>
      <c r="P76" s="998" t="str">
        <f>IF(AND(Table2[[#This Row],[LV5 MAT NO.]]&lt;&gt;"", Table2[[#This Row],[LV5 MAT NO.]]=Data!$B$5),1,"")</f>
        <v/>
      </c>
      <c r="Q76" s="998" t="str">
        <f>IF(AND(Table2[[#This Row],[FROM]]&lt;&gt;"", Table2[[#This Row],[FROM]]=Data!$B$7),1,"")</f>
        <v/>
      </c>
      <c r="R76" s="998" t="str">
        <f>IF(AND(Table2[[#This Row],[LV3 or LV4 MAT NO.]]&lt;&gt;"", Table2[[#This Row],[LV3 or LV4 MAT NO.]]=Data!$B$8),1,"")</f>
        <v/>
      </c>
      <c r="S76" s="998"/>
      <c r="T76" s="998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35">
      <c r="I77" s="1000"/>
      <c r="L77" s="998" t="str">
        <f>IF(AND(Table2[[#This Row],[ORDER NO.]]&lt;&gt;"", Table2[[#This Row],[ORDER NO.]]=Data!$B$1),1,"")</f>
        <v/>
      </c>
      <c r="M77" s="998" t="str">
        <f>IFERROR(IF(AND(Table2[[#This Row],[SEREAL NO.]]&lt;&gt;"", Table2[[#This Row],[SEREAL NO.]]=Data!$A$103),1,""),"")</f>
        <v/>
      </c>
      <c r="N77" s="998" t="str">
        <f>IF(AND(Table2[[#This Row],[SIZE]]&lt;&gt;"", Table2[[#This Row],[SIZE]]=Data!$B$3),1,"")</f>
        <v/>
      </c>
      <c r="O77" s="998" t="str">
        <f>IF(AND(Table2[[#This Row],[TYPE]]&lt;&gt;"", Table2[[#This Row],[TYPE]]=Data!$B$4),1,"")</f>
        <v/>
      </c>
      <c r="P77" s="998" t="str">
        <f>IF(AND(Table2[[#This Row],[LV5 MAT NO.]]&lt;&gt;"", Table2[[#This Row],[LV5 MAT NO.]]=Data!$B$5),1,"")</f>
        <v/>
      </c>
      <c r="Q77" s="998" t="str">
        <f>IF(AND(Table2[[#This Row],[FROM]]&lt;&gt;"", Table2[[#This Row],[FROM]]=Data!$B$7),1,"")</f>
        <v/>
      </c>
      <c r="R77" s="998" t="str">
        <f>IF(AND(Table2[[#This Row],[LV3 or LV4 MAT NO.]]&lt;&gt;"", Table2[[#This Row],[LV3 or LV4 MAT NO.]]=Data!$B$8),1,"")</f>
        <v/>
      </c>
      <c r="S77" s="998"/>
      <c r="T77" s="998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35">
      <c r="I78" s="1000"/>
      <c r="L78" s="998" t="str">
        <f>IF(AND(Table2[[#This Row],[ORDER NO.]]&lt;&gt;"", Table2[[#This Row],[ORDER NO.]]=Data!$B$1),1,"")</f>
        <v/>
      </c>
      <c r="M78" s="998" t="str">
        <f>IFERROR(IF(AND(Table2[[#This Row],[SEREAL NO.]]&lt;&gt;"", Table2[[#This Row],[SEREAL NO.]]=Data!$A$103),1,""),"")</f>
        <v/>
      </c>
      <c r="N78" s="998" t="str">
        <f>IF(AND(Table2[[#This Row],[SIZE]]&lt;&gt;"", Table2[[#This Row],[SIZE]]=Data!$B$3),1,"")</f>
        <v/>
      </c>
      <c r="O78" s="998" t="str">
        <f>IF(AND(Table2[[#This Row],[TYPE]]&lt;&gt;"", Table2[[#This Row],[TYPE]]=Data!$B$4),1,"")</f>
        <v/>
      </c>
      <c r="P78" s="998" t="str">
        <f>IF(AND(Table2[[#This Row],[LV5 MAT NO.]]&lt;&gt;"", Table2[[#This Row],[LV5 MAT NO.]]=Data!$B$5),1,"")</f>
        <v/>
      </c>
      <c r="Q78" s="998" t="str">
        <f>IF(AND(Table2[[#This Row],[FROM]]&lt;&gt;"", Table2[[#This Row],[FROM]]=Data!$B$7),1,"")</f>
        <v/>
      </c>
      <c r="R78" s="998" t="str">
        <f>IF(AND(Table2[[#This Row],[LV3 or LV4 MAT NO.]]&lt;&gt;"", Table2[[#This Row],[LV3 or LV4 MAT NO.]]=Data!$B$8),1,"")</f>
        <v/>
      </c>
      <c r="S78" s="998"/>
      <c r="T78" s="998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35">
      <c r="I79" s="1000"/>
      <c r="L79" s="998" t="str">
        <f>IF(AND(Table2[[#This Row],[ORDER NO.]]&lt;&gt;"", Table2[[#This Row],[ORDER NO.]]=Data!$B$1),1,"")</f>
        <v/>
      </c>
      <c r="M79" s="998" t="str">
        <f>IFERROR(IF(AND(Table2[[#This Row],[SEREAL NO.]]&lt;&gt;"", Table2[[#This Row],[SEREAL NO.]]=Data!$A$103),1,""),"")</f>
        <v/>
      </c>
      <c r="N79" s="998" t="str">
        <f>IF(AND(Table2[[#This Row],[SIZE]]&lt;&gt;"", Table2[[#This Row],[SIZE]]=Data!$B$3),1,"")</f>
        <v/>
      </c>
      <c r="O79" s="998" t="str">
        <f>IF(AND(Table2[[#This Row],[TYPE]]&lt;&gt;"", Table2[[#This Row],[TYPE]]=Data!$B$4),1,"")</f>
        <v/>
      </c>
      <c r="P79" s="998" t="str">
        <f>IF(AND(Table2[[#This Row],[LV5 MAT NO.]]&lt;&gt;"", Table2[[#This Row],[LV5 MAT NO.]]=Data!$B$5),1,"")</f>
        <v/>
      </c>
      <c r="Q79" s="998" t="str">
        <f>IF(AND(Table2[[#This Row],[FROM]]&lt;&gt;"", Table2[[#This Row],[FROM]]=Data!$B$7),1,"")</f>
        <v/>
      </c>
      <c r="R79" s="998" t="str">
        <f>IF(AND(Table2[[#This Row],[LV3 or LV4 MAT NO.]]&lt;&gt;"", Table2[[#This Row],[LV3 or LV4 MAT NO.]]=Data!$B$8),1,"")</f>
        <v/>
      </c>
      <c r="S79" s="998"/>
      <c r="T79" s="998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35">
      <c r="I80" s="1000"/>
      <c r="L80" s="998" t="str">
        <f>IF(AND(Table2[[#This Row],[ORDER NO.]]&lt;&gt;"", Table2[[#This Row],[ORDER NO.]]=Data!$B$1),1,"")</f>
        <v/>
      </c>
      <c r="M80" s="998" t="str">
        <f>IFERROR(IF(AND(Table2[[#This Row],[SEREAL NO.]]&lt;&gt;"", Table2[[#This Row],[SEREAL NO.]]=Data!$A$103),1,""),"")</f>
        <v/>
      </c>
      <c r="N80" s="998" t="str">
        <f>IF(AND(Table2[[#This Row],[SIZE]]&lt;&gt;"", Table2[[#This Row],[SIZE]]=Data!$B$3),1,"")</f>
        <v/>
      </c>
      <c r="O80" s="998" t="str">
        <f>IF(AND(Table2[[#This Row],[TYPE]]&lt;&gt;"", Table2[[#This Row],[TYPE]]=Data!$B$4),1,"")</f>
        <v/>
      </c>
      <c r="P80" s="998" t="str">
        <f>IF(AND(Table2[[#This Row],[LV5 MAT NO.]]&lt;&gt;"", Table2[[#This Row],[LV5 MAT NO.]]=Data!$B$5),1,"")</f>
        <v/>
      </c>
      <c r="Q80" s="998" t="str">
        <f>IF(AND(Table2[[#This Row],[FROM]]&lt;&gt;"", Table2[[#This Row],[FROM]]=Data!$B$7),1,"")</f>
        <v/>
      </c>
      <c r="R80" s="998" t="str">
        <f>IF(AND(Table2[[#This Row],[LV3 or LV4 MAT NO.]]&lt;&gt;"", Table2[[#This Row],[LV3 or LV4 MAT NO.]]=Data!$B$8),1,"")</f>
        <v/>
      </c>
      <c r="S80" s="998"/>
      <c r="T80" s="998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35">
      <c r="I81" s="1000"/>
      <c r="L81" s="998" t="str">
        <f>IF(AND(Table2[[#This Row],[ORDER NO.]]&lt;&gt;"", Table2[[#This Row],[ORDER NO.]]=Data!$B$1),1,"")</f>
        <v/>
      </c>
      <c r="M81" s="998" t="str">
        <f>IFERROR(IF(AND(Table2[[#This Row],[SEREAL NO.]]&lt;&gt;"", Table2[[#This Row],[SEREAL NO.]]=Data!$A$103),1,""),"")</f>
        <v/>
      </c>
      <c r="N81" s="998" t="str">
        <f>IF(AND(Table2[[#This Row],[SIZE]]&lt;&gt;"", Table2[[#This Row],[SIZE]]=Data!$B$3),1,"")</f>
        <v/>
      </c>
      <c r="O81" s="998" t="str">
        <f>IF(AND(Table2[[#This Row],[TYPE]]&lt;&gt;"", Table2[[#This Row],[TYPE]]=Data!$B$4),1,"")</f>
        <v/>
      </c>
      <c r="P81" s="998" t="str">
        <f>IF(AND(Table2[[#This Row],[LV5 MAT NO.]]&lt;&gt;"", Table2[[#This Row],[LV5 MAT NO.]]=Data!$B$5),1,"")</f>
        <v/>
      </c>
      <c r="Q81" s="998" t="str">
        <f>IF(AND(Table2[[#This Row],[FROM]]&lt;&gt;"", Table2[[#This Row],[FROM]]=Data!$B$7),1,"")</f>
        <v/>
      </c>
      <c r="R81" s="998" t="str">
        <f>IF(AND(Table2[[#This Row],[LV3 or LV4 MAT NO.]]&lt;&gt;"", Table2[[#This Row],[LV3 or LV4 MAT NO.]]=Data!$B$8),1,"")</f>
        <v/>
      </c>
      <c r="S81" s="998"/>
      <c r="T81" s="998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35">
      <c r="I82" s="1000"/>
      <c r="L82" s="998" t="str">
        <f>IF(AND(Table2[[#This Row],[ORDER NO.]]&lt;&gt;"", Table2[[#This Row],[ORDER NO.]]=Data!$B$1),1,"")</f>
        <v/>
      </c>
      <c r="M82" s="998" t="str">
        <f>IFERROR(IF(AND(Table2[[#This Row],[SEREAL NO.]]&lt;&gt;"", Table2[[#This Row],[SEREAL NO.]]=Data!$A$103),1,""),"")</f>
        <v/>
      </c>
      <c r="N82" s="998" t="str">
        <f>IF(AND(Table2[[#This Row],[SIZE]]&lt;&gt;"", Table2[[#This Row],[SIZE]]=Data!$B$3),1,"")</f>
        <v/>
      </c>
      <c r="O82" s="998" t="str">
        <f>IF(AND(Table2[[#This Row],[TYPE]]&lt;&gt;"", Table2[[#This Row],[TYPE]]=Data!$B$4),1,"")</f>
        <v/>
      </c>
      <c r="P82" s="998" t="str">
        <f>IF(AND(Table2[[#This Row],[LV5 MAT NO.]]&lt;&gt;"", Table2[[#This Row],[LV5 MAT NO.]]=Data!$B$5),1,"")</f>
        <v/>
      </c>
      <c r="Q82" s="998" t="str">
        <f>IF(AND(Table2[[#This Row],[FROM]]&lt;&gt;"", Table2[[#This Row],[FROM]]=Data!$B$7),1,"")</f>
        <v/>
      </c>
      <c r="R82" s="998" t="str">
        <f>IF(AND(Table2[[#This Row],[LV3 or LV4 MAT NO.]]&lt;&gt;"", Table2[[#This Row],[LV3 or LV4 MAT NO.]]=Data!$B$8),1,"")</f>
        <v/>
      </c>
      <c r="S82" s="998"/>
      <c r="T82" s="998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35">
      <c r="I83" s="1000"/>
      <c r="L83" s="998" t="str">
        <f>IF(AND(Table2[[#This Row],[ORDER NO.]]&lt;&gt;"", Table2[[#This Row],[ORDER NO.]]=Data!$B$1),1,"")</f>
        <v/>
      </c>
      <c r="M83" s="998" t="str">
        <f>IFERROR(IF(AND(Table2[[#This Row],[SEREAL NO.]]&lt;&gt;"", Table2[[#This Row],[SEREAL NO.]]=Data!$A$103),1,""),"")</f>
        <v/>
      </c>
      <c r="N83" s="998" t="str">
        <f>IF(AND(Table2[[#This Row],[SIZE]]&lt;&gt;"", Table2[[#This Row],[SIZE]]=Data!$B$3),1,"")</f>
        <v/>
      </c>
      <c r="O83" s="998" t="str">
        <f>IF(AND(Table2[[#This Row],[TYPE]]&lt;&gt;"", Table2[[#This Row],[TYPE]]=Data!$B$4),1,"")</f>
        <v/>
      </c>
      <c r="P83" s="998" t="str">
        <f>IF(AND(Table2[[#This Row],[LV5 MAT NO.]]&lt;&gt;"", Table2[[#This Row],[LV5 MAT NO.]]=Data!$B$5),1,"")</f>
        <v/>
      </c>
      <c r="Q83" s="998" t="str">
        <f>IF(AND(Table2[[#This Row],[FROM]]&lt;&gt;"", Table2[[#This Row],[FROM]]=Data!$B$7),1,"")</f>
        <v/>
      </c>
      <c r="R83" s="998" t="str">
        <f>IF(AND(Table2[[#This Row],[LV3 or LV4 MAT NO.]]&lt;&gt;"", Table2[[#This Row],[LV3 or LV4 MAT NO.]]=Data!$B$8),1,"")</f>
        <v/>
      </c>
      <c r="S83" s="998"/>
      <c r="T83" s="998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35">
      <c r="I84" s="1000"/>
      <c r="L84" s="998" t="str">
        <f>IF(AND(Table2[[#This Row],[ORDER NO.]]&lt;&gt;"", Table2[[#This Row],[ORDER NO.]]=Data!$B$1),1,"")</f>
        <v/>
      </c>
      <c r="M84" s="998" t="str">
        <f>IFERROR(IF(AND(Table2[[#This Row],[SEREAL NO.]]&lt;&gt;"", Table2[[#This Row],[SEREAL NO.]]=Data!$A$103),1,""),"")</f>
        <v/>
      </c>
      <c r="N84" s="998" t="str">
        <f>IF(AND(Table2[[#This Row],[SIZE]]&lt;&gt;"", Table2[[#This Row],[SIZE]]=Data!$B$3),1,"")</f>
        <v/>
      </c>
      <c r="O84" s="998" t="str">
        <f>IF(AND(Table2[[#This Row],[TYPE]]&lt;&gt;"", Table2[[#This Row],[TYPE]]=Data!$B$4),1,"")</f>
        <v/>
      </c>
      <c r="P84" s="998" t="str">
        <f>IF(AND(Table2[[#This Row],[LV5 MAT NO.]]&lt;&gt;"", Table2[[#This Row],[LV5 MAT NO.]]=Data!$B$5),1,"")</f>
        <v/>
      </c>
      <c r="Q84" s="998" t="str">
        <f>IF(AND(Table2[[#This Row],[FROM]]&lt;&gt;"", Table2[[#This Row],[FROM]]=Data!$B$7),1,"")</f>
        <v/>
      </c>
      <c r="R84" s="998" t="str">
        <f>IF(AND(Table2[[#This Row],[LV3 or LV4 MAT NO.]]&lt;&gt;"", Table2[[#This Row],[LV3 or LV4 MAT NO.]]=Data!$B$8),1,"")</f>
        <v/>
      </c>
      <c r="S84" s="998"/>
      <c r="T84" s="998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35">
      <c r="I85" s="1000"/>
      <c r="L85" s="998" t="str">
        <f>IF(AND(Table2[[#This Row],[ORDER NO.]]&lt;&gt;"", Table2[[#This Row],[ORDER NO.]]=Data!$B$1),1,"")</f>
        <v/>
      </c>
      <c r="M85" s="998" t="str">
        <f>IFERROR(IF(AND(Table2[[#This Row],[SEREAL NO.]]&lt;&gt;"", Table2[[#This Row],[SEREAL NO.]]=Data!$A$103),1,""),"")</f>
        <v/>
      </c>
      <c r="N85" s="998" t="str">
        <f>IF(AND(Table2[[#This Row],[SIZE]]&lt;&gt;"", Table2[[#This Row],[SIZE]]=Data!$B$3),1,"")</f>
        <v/>
      </c>
      <c r="O85" s="998" t="str">
        <f>IF(AND(Table2[[#This Row],[TYPE]]&lt;&gt;"", Table2[[#This Row],[TYPE]]=Data!$B$4),1,"")</f>
        <v/>
      </c>
      <c r="P85" s="998" t="str">
        <f>IF(AND(Table2[[#This Row],[LV5 MAT NO.]]&lt;&gt;"", Table2[[#This Row],[LV5 MAT NO.]]=Data!$B$5),1,"")</f>
        <v/>
      </c>
      <c r="Q85" s="998" t="str">
        <f>IF(AND(Table2[[#This Row],[FROM]]&lt;&gt;"", Table2[[#This Row],[FROM]]=Data!$B$7),1,"")</f>
        <v/>
      </c>
      <c r="R85" s="998" t="str">
        <f>IF(AND(Table2[[#This Row],[LV3 or LV4 MAT NO.]]&lt;&gt;"", Table2[[#This Row],[LV3 or LV4 MAT NO.]]=Data!$B$8),1,"")</f>
        <v/>
      </c>
      <c r="S85" s="998"/>
      <c r="T85" s="998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35">
      <c r="I86" s="1000"/>
      <c r="L86" s="998" t="str">
        <f>IF(AND(Table2[[#This Row],[ORDER NO.]]&lt;&gt;"", Table2[[#This Row],[ORDER NO.]]=Data!$B$1),1,"")</f>
        <v/>
      </c>
      <c r="M86" s="998" t="str">
        <f>IFERROR(IF(AND(Table2[[#This Row],[SEREAL NO.]]&lt;&gt;"", Table2[[#This Row],[SEREAL NO.]]=Data!$A$103),1,""),"")</f>
        <v/>
      </c>
      <c r="N86" s="998" t="str">
        <f>IF(AND(Table2[[#This Row],[SIZE]]&lt;&gt;"", Table2[[#This Row],[SIZE]]=Data!$B$3),1,"")</f>
        <v/>
      </c>
      <c r="O86" s="998" t="str">
        <f>IF(AND(Table2[[#This Row],[TYPE]]&lt;&gt;"", Table2[[#This Row],[TYPE]]=Data!$B$4),1,"")</f>
        <v/>
      </c>
      <c r="P86" s="998" t="str">
        <f>IF(AND(Table2[[#This Row],[LV5 MAT NO.]]&lt;&gt;"", Table2[[#This Row],[LV5 MAT NO.]]=Data!$B$5),1,"")</f>
        <v/>
      </c>
      <c r="Q86" s="998" t="str">
        <f>IF(AND(Table2[[#This Row],[FROM]]&lt;&gt;"", Table2[[#This Row],[FROM]]=Data!$B$7),1,"")</f>
        <v/>
      </c>
      <c r="R86" s="998" t="str">
        <f>IF(AND(Table2[[#This Row],[LV3 or LV4 MAT NO.]]&lt;&gt;"", Table2[[#This Row],[LV3 or LV4 MAT NO.]]=Data!$B$8),1,"")</f>
        <v/>
      </c>
      <c r="S86" s="998"/>
      <c r="T86" s="998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35">
      <c r="I87" s="1000"/>
      <c r="L87" s="998" t="str">
        <f>IF(AND(Table2[[#This Row],[ORDER NO.]]&lt;&gt;"", Table2[[#This Row],[ORDER NO.]]=Data!$B$1),1,"")</f>
        <v/>
      </c>
      <c r="M87" s="998" t="str">
        <f>IFERROR(IF(AND(Table2[[#This Row],[SEREAL NO.]]&lt;&gt;"", Table2[[#This Row],[SEREAL NO.]]=Data!$A$103),1,""),"")</f>
        <v/>
      </c>
      <c r="N87" s="998" t="str">
        <f>IF(AND(Table2[[#This Row],[SIZE]]&lt;&gt;"", Table2[[#This Row],[SIZE]]=Data!$B$3),1,"")</f>
        <v/>
      </c>
      <c r="O87" s="998" t="str">
        <f>IF(AND(Table2[[#This Row],[TYPE]]&lt;&gt;"", Table2[[#This Row],[TYPE]]=Data!$B$4),1,"")</f>
        <v/>
      </c>
      <c r="P87" s="998" t="str">
        <f>IF(AND(Table2[[#This Row],[LV5 MAT NO.]]&lt;&gt;"", Table2[[#This Row],[LV5 MAT NO.]]=Data!$B$5),1,"")</f>
        <v/>
      </c>
      <c r="Q87" s="998" t="str">
        <f>IF(AND(Table2[[#This Row],[FROM]]&lt;&gt;"", Table2[[#This Row],[FROM]]=Data!$B$7),1,"")</f>
        <v/>
      </c>
      <c r="R87" s="998" t="str">
        <f>IF(AND(Table2[[#This Row],[LV3 or LV4 MAT NO.]]&lt;&gt;"", Table2[[#This Row],[LV3 or LV4 MAT NO.]]=Data!$B$8),1,"")</f>
        <v/>
      </c>
      <c r="S87" s="998"/>
      <c r="T87" s="998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35">
      <c r="I88" s="1000"/>
      <c r="L88" s="998" t="str">
        <f>IF(AND(Table2[[#This Row],[ORDER NO.]]&lt;&gt;"", Table2[[#This Row],[ORDER NO.]]=Data!$B$1),1,"")</f>
        <v/>
      </c>
      <c r="M88" s="998" t="str">
        <f>IFERROR(IF(AND(Table2[[#This Row],[SEREAL NO.]]&lt;&gt;"", Table2[[#This Row],[SEREAL NO.]]=Data!$A$103),1,""),"")</f>
        <v/>
      </c>
      <c r="N88" s="998" t="str">
        <f>IF(AND(Table2[[#This Row],[SIZE]]&lt;&gt;"", Table2[[#This Row],[SIZE]]=Data!$B$3),1,"")</f>
        <v/>
      </c>
      <c r="O88" s="998" t="str">
        <f>IF(AND(Table2[[#This Row],[TYPE]]&lt;&gt;"", Table2[[#This Row],[TYPE]]=Data!$B$4),1,"")</f>
        <v/>
      </c>
      <c r="P88" s="998" t="str">
        <f>IF(AND(Table2[[#This Row],[LV5 MAT NO.]]&lt;&gt;"", Table2[[#This Row],[LV5 MAT NO.]]=Data!$B$5),1,"")</f>
        <v/>
      </c>
      <c r="Q88" s="998" t="str">
        <f>IF(AND(Table2[[#This Row],[FROM]]&lt;&gt;"", Table2[[#This Row],[FROM]]=Data!$B$7),1,"")</f>
        <v/>
      </c>
      <c r="R88" s="998" t="str">
        <f>IF(AND(Table2[[#This Row],[LV3 or LV4 MAT NO.]]&lt;&gt;"", Table2[[#This Row],[LV3 or LV4 MAT NO.]]=Data!$B$8),1,"")</f>
        <v/>
      </c>
      <c r="S88" s="998"/>
      <c r="T88" s="998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35">
      <c r="I89" s="1000"/>
      <c r="L89" s="998" t="str">
        <f>IF(AND(Table2[[#This Row],[ORDER NO.]]&lt;&gt;"", Table2[[#This Row],[ORDER NO.]]=Data!$B$1),1,"")</f>
        <v/>
      </c>
      <c r="M89" s="998" t="str">
        <f>IFERROR(IF(AND(Table2[[#This Row],[SEREAL NO.]]&lt;&gt;"", Table2[[#This Row],[SEREAL NO.]]=Data!$A$103),1,""),"")</f>
        <v/>
      </c>
      <c r="N89" s="998" t="str">
        <f>IF(AND(Table2[[#This Row],[SIZE]]&lt;&gt;"", Table2[[#This Row],[SIZE]]=Data!$B$3),1,"")</f>
        <v/>
      </c>
      <c r="O89" s="998" t="str">
        <f>IF(AND(Table2[[#This Row],[TYPE]]&lt;&gt;"", Table2[[#This Row],[TYPE]]=Data!$B$4),1,"")</f>
        <v/>
      </c>
      <c r="P89" s="998" t="str">
        <f>IF(AND(Table2[[#This Row],[LV5 MAT NO.]]&lt;&gt;"", Table2[[#This Row],[LV5 MAT NO.]]=Data!$B$5),1,"")</f>
        <v/>
      </c>
      <c r="Q89" s="998" t="str">
        <f>IF(AND(Table2[[#This Row],[FROM]]&lt;&gt;"", Table2[[#This Row],[FROM]]=Data!$B$7),1,"")</f>
        <v/>
      </c>
      <c r="R89" s="998" t="str">
        <f>IF(AND(Table2[[#This Row],[LV3 or LV4 MAT NO.]]&lt;&gt;"", Table2[[#This Row],[LV3 or LV4 MAT NO.]]=Data!$B$8),1,"")</f>
        <v/>
      </c>
      <c r="S89" s="998"/>
      <c r="T89" s="998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35">
      <c r="I90" s="1000"/>
      <c r="L90" s="998" t="str">
        <f>IF(AND(Table2[[#This Row],[ORDER NO.]]&lt;&gt;"", Table2[[#This Row],[ORDER NO.]]=Data!$B$1),1,"")</f>
        <v/>
      </c>
      <c r="M90" s="998" t="str">
        <f>IFERROR(IF(AND(Table2[[#This Row],[SEREAL NO.]]&lt;&gt;"", Table2[[#This Row],[SEREAL NO.]]=Data!$A$103),1,""),"")</f>
        <v/>
      </c>
      <c r="N90" s="998" t="str">
        <f>IF(AND(Table2[[#This Row],[SIZE]]&lt;&gt;"", Table2[[#This Row],[SIZE]]=Data!$B$3),1,"")</f>
        <v/>
      </c>
      <c r="O90" s="998" t="str">
        <f>IF(AND(Table2[[#This Row],[TYPE]]&lt;&gt;"", Table2[[#This Row],[TYPE]]=Data!$B$4),1,"")</f>
        <v/>
      </c>
      <c r="P90" s="998" t="str">
        <f>IF(AND(Table2[[#This Row],[LV5 MAT NO.]]&lt;&gt;"", Table2[[#This Row],[LV5 MAT NO.]]=Data!$B$5),1,"")</f>
        <v/>
      </c>
      <c r="Q90" s="998" t="str">
        <f>IF(AND(Table2[[#This Row],[FROM]]&lt;&gt;"", Table2[[#This Row],[FROM]]=Data!$B$7),1,"")</f>
        <v/>
      </c>
      <c r="R90" s="998" t="str">
        <f>IF(AND(Table2[[#This Row],[LV3 or LV4 MAT NO.]]&lt;&gt;"", Table2[[#This Row],[LV3 or LV4 MAT NO.]]=Data!$B$8),1,"")</f>
        <v/>
      </c>
      <c r="S90" s="998"/>
      <c r="T90" s="998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35">
      <c r="I91" s="1000"/>
      <c r="L91" s="998" t="str">
        <f>IF(AND(Table2[[#This Row],[ORDER NO.]]&lt;&gt;"", Table2[[#This Row],[ORDER NO.]]=Data!$B$1),1,"")</f>
        <v/>
      </c>
      <c r="M91" s="998" t="str">
        <f>IFERROR(IF(AND(Table2[[#This Row],[SEREAL NO.]]&lt;&gt;"", Table2[[#This Row],[SEREAL NO.]]=Data!$A$103),1,""),"")</f>
        <v/>
      </c>
      <c r="N91" s="998" t="str">
        <f>IF(AND(Table2[[#This Row],[SIZE]]&lt;&gt;"", Table2[[#This Row],[SIZE]]=Data!$B$3),1,"")</f>
        <v/>
      </c>
      <c r="O91" s="998" t="str">
        <f>IF(AND(Table2[[#This Row],[TYPE]]&lt;&gt;"", Table2[[#This Row],[TYPE]]=Data!$B$4),1,"")</f>
        <v/>
      </c>
      <c r="P91" s="998" t="str">
        <f>IF(AND(Table2[[#This Row],[LV5 MAT NO.]]&lt;&gt;"", Table2[[#This Row],[LV5 MAT NO.]]=Data!$B$5),1,"")</f>
        <v/>
      </c>
      <c r="Q91" s="998" t="str">
        <f>IF(AND(Table2[[#This Row],[FROM]]&lt;&gt;"", Table2[[#This Row],[FROM]]=Data!$B$7),1,"")</f>
        <v/>
      </c>
      <c r="R91" s="998" t="str">
        <f>IF(AND(Table2[[#This Row],[LV3 or LV4 MAT NO.]]&lt;&gt;"", Table2[[#This Row],[LV3 or LV4 MAT NO.]]=Data!$B$8),1,"")</f>
        <v/>
      </c>
      <c r="S91" s="998"/>
      <c r="T91" s="998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35">
      <c r="I92" s="1000"/>
      <c r="L92" s="998" t="str">
        <f>IF(AND(Table2[[#This Row],[ORDER NO.]]&lt;&gt;"", Table2[[#This Row],[ORDER NO.]]=Data!$B$1),1,"")</f>
        <v/>
      </c>
      <c r="M92" s="998" t="str">
        <f>IFERROR(IF(AND(Table2[[#This Row],[SEREAL NO.]]&lt;&gt;"", Table2[[#This Row],[SEREAL NO.]]=Data!$A$103),1,""),"")</f>
        <v/>
      </c>
      <c r="N92" s="998" t="str">
        <f>IF(AND(Table2[[#This Row],[SIZE]]&lt;&gt;"", Table2[[#This Row],[SIZE]]=Data!$B$3),1,"")</f>
        <v/>
      </c>
      <c r="O92" s="998" t="str">
        <f>IF(AND(Table2[[#This Row],[TYPE]]&lt;&gt;"", Table2[[#This Row],[TYPE]]=Data!$B$4),1,"")</f>
        <v/>
      </c>
      <c r="P92" s="998" t="str">
        <f>IF(AND(Table2[[#This Row],[LV5 MAT NO.]]&lt;&gt;"", Table2[[#This Row],[LV5 MAT NO.]]=Data!$B$5),1,"")</f>
        <v/>
      </c>
      <c r="Q92" s="998" t="str">
        <f>IF(AND(Table2[[#This Row],[FROM]]&lt;&gt;"", Table2[[#This Row],[FROM]]=Data!$B$7),1,"")</f>
        <v/>
      </c>
      <c r="R92" s="998" t="str">
        <f>IF(AND(Table2[[#This Row],[LV3 or LV4 MAT NO.]]&lt;&gt;"", Table2[[#This Row],[LV3 or LV4 MAT NO.]]=Data!$B$8),1,"")</f>
        <v/>
      </c>
      <c r="S92" s="998"/>
      <c r="T92" s="998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35">
      <c r="I93" s="1000"/>
      <c r="L93" s="998" t="str">
        <f>IF(AND(Table2[[#This Row],[ORDER NO.]]&lt;&gt;"", Table2[[#This Row],[ORDER NO.]]=Data!$B$1),1,"")</f>
        <v/>
      </c>
      <c r="M93" s="998" t="str">
        <f>IFERROR(IF(AND(Table2[[#This Row],[SEREAL NO.]]&lt;&gt;"", Table2[[#This Row],[SEREAL NO.]]=Data!$A$103),1,""),"")</f>
        <v/>
      </c>
      <c r="N93" s="998" t="str">
        <f>IF(AND(Table2[[#This Row],[SIZE]]&lt;&gt;"", Table2[[#This Row],[SIZE]]=Data!$B$3),1,"")</f>
        <v/>
      </c>
      <c r="O93" s="998" t="str">
        <f>IF(AND(Table2[[#This Row],[TYPE]]&lt;&gt;"", Table2[[#This Row],[TYPE]]=Data!$B$4),1,"")</f>
        <v/>
      </c>
      <c r="P93" s="998" t="str">
        <f>IF(AND(Table2[[#This Row],[LV5 MAT NO.]]&lt;&gt;"", Table2[[#This Row],[LV5 MAT NO.]]=Data!$B$5),1,"")</f>
        <v/>
      </c>
      <c r="Q93" s="998" t="str">
        <f>IF(AND(Table2[[#This Row],[FROM]]&lt;&gt;"", Table2[[#This Row],[FROM]]=Data!$B$7),1,"")</f>
        <v/>
      </c>
      <c r="R93" s="998" t="str">
        <f>IF(AND(Table2[[#This Row],[LV3 or LV4 MAT NO.]]&lt;&gt;"", Table2[[#This Row],[LV3 or LV4 MAT NO.]]=Data!$B$8),1,"")</f>
        <v/>
      </c>
      <c r="S93" s="998"/>
      <c r="T93" s="998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35">
      <c r="I94" s="1000"/>
      <c r="L94" s="998" t="str">
        <f>IF(AND(Table2[[#This Row],[ORDER NO.]]&lt;&gt;"", Table2[[#This Row],[ORDER NO.]]=Data!$B$1),1,"")</f>
        <v/>
      </c>
      <c r="M94" s="998" t="str">
        <f>IFERROR(IF(AND(Table2[[#This Row],[SEREAL NO.]]&lt;&gt;"", Table2[[#This Row],[SEREAL NO.]]=Data!$A$103),1,""),"")</f>
        <v/>
      </c>
      <c r="N94" s="998" t="str">
        <f>IF(AND(Table2[[#This Row],[SIZE]]&lt;&gt;"", Table2[[#This Row],[SIZE]]=Data!$B$3),1,"")</f>
        <v/>
      </c>
      <c r="O94" s="998" t="str">
        <f>IF(AND(Table2[[#This Row],[TYPE]]&lt;&gt;"", Table2[[#This Row],[TYPE]]=Data!$B$4),1,"")</f>
        <v/>
      </c>
      <c r="P94" s="998" t="str">
        <f>IF(AND(Table2[[#This Row],[LV5 MAT NO.]]&lt;&gt;"", Table2[[#This Row],[LV5 MAT NO.]]=Data!$B$5),1,"")</f>
        <v/>
      </c>
      <c r="Q94" s="998" t="str">
        <f>IF(AND(Table2[[#This Row],[FROM]]&lt;&gt;"", Table2[[#This Row],[FROM]]=Data!$B$7),1,"")</f>
        <v/>
      </c>
      <c r="R94" s="998" t="str">
        <f>IF(AND(Table2[[#This Row],[LV3 or LV4 MAT NO.]]&lt;&gt;"", Table2[[#This Row],[LV3 or LV4 MAT NO.]]=Data!$B$8),1,"")</f>
        <v/>
      </c>
      <c r="S94" s="998"/>
      <c r="T94" s="998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35">
      <c r="I95" s="1000"/>
      <c r="L95" s="998" t="str">
        <f>IF(AND(Table2[[#This Row],[ORDER NO.]]&lt;&gt;"", Table2[[#This Row],[ORDER NO.]]=Data!$B$1),1,"")</f>
        <v/>
      </c>
      <c r="M95" s="998" t="str">
        <f>IFERROR(IF(AND(Table2[[#This Row],[SEREAL NO.]]&lt;&gt;"", Table2[[#This Row],[SEREAL NO.]]=Data!$A$103),1,""),"")</f>
        <v/>
      </c>
      <c r="N95" s="998" t="str">
        <f>IF(AND(Table2[[#This Row],[SIZE]]&lt;&gt;"", Table2[[#This Row],[SIZE]]=Data!$B$3),1,"")</f>
        <v/>
      </c>
      <c r="O95" s="998" t="str">
        <f>IF(AND(Table2[[#This Row],[TYPE]]&lt;&gt;"", Table2[[#This Row],[TYPE]]=Data!$B$4),1,"")</f>
        <v/>
      </c>
      <c r="P95" s="998" t="str">
        <f>IF(AND(Table2[[#This Row],[LV5 MAT NO.]]&lt;&gt;"", Table2[[#This Row],[LV5 MAT NO.]]=Data!$B$5),1,"")</f>
        <v/>
      </c>
      <c r="Q95" s="998" t="str">
        <f>IF(AND(Table2[[#This Row],[FROM]]&lt;&gt;"", Table2[[#This Row],[FROM]]=Data!$B$7),1,"")</f>
        <v/>
      </c>
      <c r="R95" s="998" t="str">
        <f>IF(AND(Table2[[#This Row],[LV3 or LV4 MAT NO.]]&lt;&gt;"", Table2[[#This Row],[LV3 or LV4 MAT NO.]]=Data!$B$8),1,"")</f>
        <v/>
      </c>
      <c r="S95" s="998"/>
      <c r="T95" s="998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35">
      <c r="I96" s="1000"/>
      <c r="L96" s="998" t="str">
        <f>IF(AND(Table2[[#This Row],[ORDER NO.]]&lt;&gt;"", Table2[[#This Row],[ORDER NO.]]=Data!$B$1),1,"")</f>
        <v/>
      </c>
      <c r="M96" s="998" t="str">
        <f>IFERROR(IF(AND(Table2[[#This Row],[SEREAL NO.]]&lt;&gt;"", Table2[[#This Row],[SEREAL NO.]]=Data!$A$103),1,""),"")</f>
        <v/>
      </c>
      <c r="N96" s="998" t="str">
        <f>IF(AND(Table2[[#This Row],[SIZE]]&lt;&gt;"", Table2[[#This Row],[SIZE]]=Data!$B$3),1,"")</f>
        <v/>
      </c>
      <c r="O96" s="998" t="str">
        <f>IF(AND(Table2[[#This Row],[TYPE]]&lt;&gt;"", Table2[[#This Row],[TYPE]]=Data!$B$4),1,"")</f>
        <v/>
      </c>
      <c r="P96" s="998" t="str">
        <f>IF(AND(Table2[[#This Row],[LV5 MAT NO.]]&lt;&gt;"", Table2[[#This Row],[LV5 MAT NO.]]=Data!$B$5),1,"")</f>
        <v/>
      </c>
      <c r="Q96" s="998" t="str">
        <f>IF(AND(Table2[[#This Row],[FROM]]&lt;&gt;"", Table2[[#This Row],[FROM]]=Data!$B$7),1,"")</f>
        <v/>
      </c>
      <c r="R96" s="998" t="str">
        <f>IF(AND(Table2[[#This Row],[LV3 or LV4 MAT NO.]]&lt;&gt;"", Table2[[#This Row],[LV3 or LV4 MAT NO.]]=Data!$B$8),1,"")</f>
        <v/>
      </c>
      <c r="S96" s="998"/>
      <c r="T96" s="998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35">
      <c r="I97" s="1000"/>
      <c r="L97" s="998" t="str">
        <f>IF(AND(Table2[[#This Row],[ORDER NO.]]&lt;&gt;"", Table2[[#This Row],[ORDER NO.]]=Data!$B$1),1,"")</f>
        <v/>
      </c>
      <c r="M97" s="998" t="str">
        <f>IFERROR(IF(AND(Table2[[#This Row],[SEREAL NO.]]&lt;&gt;"", Table2[[#This Row],[SEREAL NO.]]=Data!$A$103),1,""),"")</f>
        <v/>
      </c>
      <c r="N97" s="998" t="str">
        <f>IF(AND(Table2[[#This Row],[SIZE]]&lt;&gt;"", Table2[[#This Row],[SIZE]]=Data!$B$3),1,"")</f>
        <v/>
      </c>
      <c r="O97" s="998" t="str">
        <f>IF(AND(Table2[[#This Row],[TYPE]]&lt;&gt;"", Table2[[#This Row],[TYPE]]=Data!$B$4),1,"")</f>
        <v/>
      </c>
      <c r="P97" s="998" t="str">
        <f>IF(AND(Table2[[#This Row],[LV5 MAT NO.]]&lt;&gt;"", Table2[[#This Row],[LV5 MAT NO.]]=Data!$B$5),1,"")</f>
        <v/>
      </c>
      <c r="Q97" s="998" t="str">
        <f>IF(AND(Table2[[#This Row],[FROM]]&lt;&gt;"", Table2[[#This Row],[FROM]]=Data!$B$7),1,"")</f>
        <v/>
      </c>
      <c r="R97" s="998" t="str">
        <f>IF(AND(Table2[[#This Row],[LV3 or LV4 MAT NO.]]&lt;&gt;"", Table2[[#This Row],[LV3 or LV4 MAT NO.]]=Data!$B$8),1,"")</f>
        <v/>
      </c>
      <c r="S97" s="998"/>
      <c r="T97" s="998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35">
      <c r="I98" s="1000"/>
      <c r="L98" s="998" t="str">
        <f>IF(AND(Table2[[#This Row],[ORDER NO.]]&lt;&gt;"", Table2[[#This Row],[ORDER NO.]]=Data!$B$1),1,"")</f>
        <v/>
      </c>
      <c r="M98" s="998" t="str">
        <f>IFERROR(IF(AND(Table2[[#This Row],[SEREAL NO.]]&lt;&gt;"", Table2[[#This Row],[SEREAL NO.]]=Data!$A$103),1,""),"")</f>
        <v/>
      </c>
      <c r="N98" s="998" t="str">
        <f>IF(AND(Table2[[#This Row],[SIZE]]&lt;&gt;"", Table2[[#This Row],[SIZE]]=Data!$B$3),1,"")</f>
        <v/>
      </c>
      <c r="O98" s="998" t="str">
        <f>IF(AND(Table2[[#This Row],[TYPE]]&lt;&gt;"", Table2[[#This Row],[TYPE]]=Data!$B$4),1,"")</f>
        <v/>
      </c>
      <c r="P98" s="998" t="str">
        <f>IF(AND(Table2[[#This Row],[LV5 MAT NO.]]&lt;&gt;"", Table2[[#This Row],[LV5 MAT NO.]]=Data!$B$5),1,"")</f>
        <v/>
      </c>
      <c r="Q98" s="998" t="str">
        <f>IF(AND(Table2[[#This Row],[FROM]]&lt;&gt;"", Table2[[#This Row],[FROM]]=Data!$B$7),1,"")</f>
        <v/>
      </c>
      <c r="R98" s="998" t="str">
        <f>IF(AND(Table2[[#This Row],[LV3 or LV4 MAT NO.]]&lt;&gt;"", Table2[[#This Row],[LV3 or LV4 MAT NO.]]=Data!$B$8),1,"")</f>
        <v/>
      </c>
      <c r="S98" s="998"/>
      <c r="T98" s="998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35">
      <c r="I99" s="1000"/>
      <c r="L99" s="998" t="str">
        <f>IF(AND(Table2[[#This Row],[ORDER NO.]]&lt;&gt;"", Table2[[#This Row],[ORDER NO.]]=Data!$B$1),1,"")</f>
        <v/>
      </c>
      <c r="M99" s="998" t="str">
        <f>IFERROR(IF(AND(Table2[[#This Row],[SEREAL NO.]]&lt;&gt;"", Table2[[#This Row],[SEREAL NO.]]=Data!$A$103),1,""),"")</f>
        <v/>
      </c>
      <c r="N99" s="998" t="str">
        <f>IF(AND(Table2[[#This Row],[SIZE]]&lt;&gt;"", Table2[[#This Row],[SIZE]]=Data!$B$3),1,"")</f>
        <v/>
      </c>
      <c r="O99" s="998" t="str">
        <f>IF(AND(Table2[[#This Row],[TYPE]]&lt;&gt;"", Table2[[#This Row],[TYPE]]=Data!$B$4),1,"")</f>
        <v/>
      </c>
      <c r="P99" s="998" t="str">
        <f>IF(AND(Table2[[#This Row],[LV5 MAT NO.]]&lt;&gt;"", Table2[[#This Row],[LV5 MAT NO.]]=Data!$B$5),1,"")</f>
        <v/>
      </c>
      <c r="Q99" s="998" t="str">
        <f>IF(AND(Table2[[#This Row],[FROM]]&lt;&gt;"", Table2[[#This Row],[FROM]]=Data!$B$7),1,"")</f>
        <v/>
      </c>
      <c r="R99" s="998" t="str">
        <f>IF(AND(Table2[[#This Row],[LV3 or LV4 MAT NO.]]&lt;&gt;"", Table2[[#This Row],[LV3 or LV4 MAT NO.]]=Data!$B$8),1,"")</f>
        <v/>
      </c>
      <c r="S99" s="998"/>
      <c r="T99" s="998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35">
      <c r="I100" s="1000"/>
      <c r="L100" s="998" t="str">
        <f>IF(AND(Table2[[#This Row],[ORDER NO.]]&lt;&gt;"", Table2[[#This Row],[ORDER NO.]]=Data!$B$1),1,"")</f>
        <v/>
      </c>
      <c r="M100" s="998" t="str">
        <f>IFERROR(IF(AND(Table2[[#This Row],[SEREAL NO.]]&lt;&gt;"", Table2[[#This Row],[SEREAL NO.]]=Data!$A$103),1,""),"")</f>
        <v/>
      </c>
      <c r="N100" s="998" t="str">
        <f>IF(AND(Table2[[#This Row],[SIZE]]&lt;&gt;"", Table2[[#This Row],[SIZE]]=Data!$B$3),1,"")</f>
        <v/>
      </c>
      <c r="O100" s="998" t="str">
        <f>IF(AND(Table2[[#This Row],[TYPE]]&lt;&gt;"", Table2[[#This Row],[TYPE]]=Data!$B$4),1,"")</f>
        <v/>
      </c>
      <c r="P100" s="998" t="str">
        <f>IF(AND(Table2[[#This Row],[LV5 MAT NO.]]&lt;&gt;"", Table2[[#This Row],[LV5 MAT NO.]]=Data!$B$5),1,"")</f>
        <v/>
      </c>
      <c r="Q100" s="998" t="str">
        <f>IF(AND(Table2[[#This Row],[FROM]]&lt;&gt;"", Table2[[#This Row],[FROM]]=Data!$B$7),1,"")</f>
        <v/>
      </c>
      <c r="R100" s="998" t="str">
        <f>IF(AND(Table2[[#This Row],[LV3 or LV4 MAT NO.]]&lt;&gt;"", Table2[[#This Row],[LV3 or LV4 MAT NO.]]=Data!$B$8),1,"")</f>
        <v/>
      </c>
      <c r="S100" s="998"/>
      <c r="T100" s="998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35">
      <c r="I101" s="1000"/>
      <c r="L101" s="998" t="str">
        <f>IF(AND(Table2[[#This Row],[ORDER NO.]]&lt;&gt;"", Table2[[#This Row],[ORDER NO.]]=Data!$B$1),1,"")</f>
        <v/>
      </c>
      <c r="M101" s="998" t="str">
        <f>IFERROR(IF(AND(Table2[[#This Row],[SEREAL NO.]]&lt;&gt;"", Table2[[#This Row],[SEREAL NO.]]=Data!$A$103),1,""),"")</f>
        <v/>
      </c>
      <c r="N101" s="998" t="str">
        <f>IF(AND(Table2[[#This Row],[SIZE]]&lt;&gt;"", Table2[[#This Row],[SIZE]]=Data!$B$3),1,"")</f>
        <v/>
      </c>
      <c r="O101" s="998" t="str">
        <f>IF(AND(Table2[[#This Row],[TYPE]]&lt;&gt;"", Table2[[#This Row],[TYPE]]=Data!$B$4),1,"")</f>
        <v/>
      </c>
      <c r="P101" s="998" t="str">
        <f>IF(AND(Table2[[#This Row],[LV5 MAT NO.]]&lt;&gt;"", Table2[[#This Row],[LV5 MAT NO.]]=Data!$B$5),1,"")</f>
        <v/>
      </c>
      <c r="Q101" s="998" t="str">
        <f>IF(AND(Table2[[#This Row],[FROM]]&lt;&gt;"", Table2[[#This Row],[FROM]]=Data!$B$7),1,"")</f>
        <v/>
      </c>
      <c r="R101" s="998" t="str">
        <f>IF(AND(Table2[[#This Row],[LV3 or LV4 MAT NO.]]&lt;&gt;"", Table2[[#This Row],[LV3 or LV4 MAT NO.]]=Data!$B$8),1,"")</f>
        <v/>
      </c>
      <c r="S101" s="998"/>
      <c r="T101" s="998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35">
      <c r="I102" s="1000"/>
      <c r="L102" s="998" t="str">
        <f>IF(AND(Table2[[#This Row],[ORDER NO.]]&lt;&gt;"", Table2[[#This Row],[ORDER NO.]]=Data!$B$1),1,"")</f>
        <v/>
      </c>
      <c r="M102" s="998" t="str">
        <f>IFERROR(IF(AND(Table2[[#This Row],[SEREAL NO.]]&lt;&gt;"", Table2[[#This Row],[SEREAL NO.]]=Data!$A$103),1,""),"")</f>
        <v/>
      </c>
      <c r="N102" s="998" t="str">
        <f>IF(AND(Table2[[#This Row],[SIZE]]&lt;&gt;"", Table2[[#This Row],[SIZE]]=Data!$B$3),1,"")</f>
        <v/>
      </c>
      <c r="O102" s="998" t="str">
        <f>IF(AND(Table2[[#This Row],[TYPE]]&lt;&gt;"", Table2[[#This Row],[TYPE]]=Data!$B$4),1,"")</f>
        <v/>
      </c>
      <c r="P102" s="998" t="str">
        <f>IF(AND(Table2[[#This Row],[LV5 MAT NO.]]&lt;&gt;"", Table2[[#This Row],[LV5 MAT NO.]]=Data!$B$5),1,"")</f>
        <v/>
      </c>
      <c r="Q102" s="998" t="str">
        <f>IF(AND(Table2[[#This Row],[FROM]]&lt;&gt;"", Table2[[#This Row],[FROM]]=Data!$B$7),1,"")</f>
        <v/>
      </c>
      <c r="R102" s="998" t="str">
        <f>IF(AND(Table2[[#This Row],[LV3 or LV4 MAT NO.]]&lt;&gt;"", Table2[[#This Row],[LV3 or LV4 MAT NO.]]=Data!$B$8),1,"")</f>
        <v/>
      </c>
      <c r="S102" s="998"/>
      <c r="T102" s="998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35">
      <c r="I103" s="1000"/>
      <c r="L103" s="998" t="str">
        <f>IF(AND(Table2[[#This Row],[ORDER NO.]]&lt;&gt;"", Table2[[#This Row],[ORDER NO.]]=Data!$B$1),1,"")</f>
        <v/>
      </c>
      <c r="M103" s="998" t="str">
        <f>IFERROR(IF(AND(Table2[[#This Row],[SEREAL NO.]]&lt;&gt;"", Table2[[#This Row],[SEREAL NO.]]=Data!$A$103),1,""),"")</f>
        <v/>
      </c>
      <c r="N103" s="998" t="str">
        <f>IF(AND(Table2[[#This Row],[SIZE]]&lt;&gt;"", Table2[[#This Row],[SIZE]]=Data!$B$3),1,"")</f>
        <v/>
      </c>
      <c r="O103" s="998" t="str">
        <f>IF(AND(Table2[[#This Row],[TYPE]]&lt;&gt;"", Table2[[#This Row],[TYPE]]=Data!$B$4),1,"")</f>
        <v/>
      </c>
      <c r="P103" s="998" t="str">
        <f>IF(AND(Table2[[#This Row],[LV5 MAT NO.]]&lt;&gt;"", Table2[[#This Row],[LV5 MAT NO.]]=Data!$B$5),1,"")</f>
        <v/>
      </c>
      <c r="Q103" s="998" t="str">
        <f>IF(AND(Table2[[#This Row],[FROM]]&lt;&gt;"", Table2[[#This Row],[FROM]]=Data!$B$7),1,"")</f>
        <v/>
      </c>
      <c r="R103" s="998" t="str">
        <f>IF(AND(Table2[[#This Row],[LV3 or LV4 MAT NO.]]&lt;&gt;"", Table2[[#This Row],[LV3 or LV4 MAT NO.]]=Data!$B$8),1,"")</f>
        <v/>
      </c>
      <c r="S103" s="998"/>
      <c r="T103" s="998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35">
      <c r="I104" s="1000"/>
      <c r="L104" s="998" t="str">
        <f>IF(AND(Table2[[#This Row],[ORDER NO.]]&lt;&gt;"", Table2[[#This Row],[ORDER NO.]]=Data!$B$1),1,"")</f>
        <v/>
      </c>
      <c r="M104" s="998" t="str">
        <f>IFERROR(IF(AND(Table2[[#This Row],[SEREAL NO.]]&lt;&gt;"", Table2[[#This Row],[SEREAL NO.]]=Data!$A$103),1,""),"")</f>
        <v/>
      </c>
      <c r="N104" s="998" t="str">
        <f>IF(AND(Table2[[#This Row],[SIZE]]&lt;&gt;"", Table2[[#This Row],[SIZE]]=Data!$B$3),1,"")</f>
        <v/>
      </c>
      <c r="O104" s="998" t="str">
        <f>IF(AND(Table2[[#This Row],[TYPE]]&lt;&gt;"", Table2[[#This Row],[TYPE]]=Data!$B$4),1,"")</f>
        <v/>
      </c>
      <c r="P104" s="998" t="str">
        <f>IF(AND(Table2[[#This Row],[LV5 MAT NO.]]&lt;&gt;"", Table2[[#This Row],[LV5 MAT NO.]]=Data!$B$5),1,"")</f>
        <v/>
      </c>
      <c r="Q104" s="998" t="str">
        <f>IF(AND(Table2[[#This Row],[FROM]]&lt;&gt;"", Table2[[#This Row],[FROM]]=Data!$B$7),1,"")</f>
        <v/>
      </c>
      <c r="R104" s="998" t="str">
        <f>IF(AND(Table2[[#This Row],[LV3 or LV4 MAT NO.]]&lt;&gt;"", Table2[[#This Row],[LV3 or LV4 MAT NO.]]=Data!$B$8),1,"")</f>
        <v/>
      </c>
      <c r="S104" s="998"/>
      <c r="T104" s="998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35">
      <c r="I105" s="1000"/>
      <c r="L105" s="998" t="str">
        <f>IF(AND(Table2[[#This Row],[ORDER NO.]]&lt;&gt;"", Table2[[#This Row],[ORDER NO.]]=Data!$B$1),1,"")</f>
        <v/>
      </c>
      <c r="M105" s="998" t="str">
        <f>IFERROR(IF(AND(Table2[[#This Row],[SEREAL NO.]]&lt;&gt;"", Table2[[#This Row],[SEREAL NO.]]=Data!$A$103),1,""),"")</f>
        <v/>
      </c>
      <c r="N105" s="998" t="str">
        <f>IF(AND(Table2[[#This Row],[SIZE]]&lt;&gt;"", Table2[[#This Row],[SIZE]]=Data!$B$3),1,"")</f>
        <v/>
      </c>
      <c r="O105" s="998" t="str">
        <f>IF(AND(Table2[[#This Row],[TYPE]]&lt;&gt;"", Table2[[#This Row],[TYPE]]=Data!$B$4),1,"")</f>
        <v/>
      </c>
      <c r="P105" s="998" t="str">
        <f>IF(AND(Table2[[#This Row],[LV5 MAT NO.]]&lt;&gt;"", Table2[[#This Row],[LV5 MAT NO.]]=Data!$B$5),1,"")</f>
        <v/>
      </c>
      <c r="Q105" s="998" t="str">
        <f>IF(AND(Table2[[#This Row],[FROM]]&lt;&gt;"", Table2[[#This Row],[FROM]]=Data!$B$7),1,"")</f>
        <v/>
      </c>
      <c r="R105" s="998" t="str">
        <f>IF(AND(Table2[[#This Row],[LV3 or LV4 MAT NO.]]&lt;&gt;"", Table2[[#This Row],[LV3 or LV4 MAT NO.]]=Data!$B$8),1,"")</f>
        <v/>
      </c>
      <c r="S105" s="998"/>
      <c r="T105" s="998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35">
      <c r="I106" s="1000"/>
      <c r="L106" s="998" t="str">
        <f>IF(AND(Table2[[#This Row],[ORDER NO.]]&lt;&gt;"", Table2[[#This Row],[ORDER NO.]]=Data!$B$1),1,"")</f>
        <v/>
      </c>
      <c r="M106" s="998" t="str">
        <f>IFERROR(IF(AND(Table2[[#This Row],[SEREAL NO.]]&lt;&gt;"", Table2[[#This Row],[SEREAL NO.]]=Data!$A$103),1,""),"")</f>
        <v/>
      </c>
      <c r="N106" s="998" t="str">
        <f>IF(AND(Table2[[#This Row],[SIZE]]&lt;&gt;"", Table2[[#This Row],[SIZE]]=Data!$B$3),1,"")</f>
        <v/>
      </c>
      <c r="O106" s="998" t="str">
        <f>IF(AND(Table2[[#This Row],[TYPE]]&lt;&gt;"", Table2[[#This Row],[TYPE]]=Data!$B$4),1,"")</f>
        <v/>
      </c>
      <c r="P106" s="998" t="str">
        <f>IF(AND(Table2[[#This Row],[LV5 MAT NO.]]&lt;&gt;"", Table2[[#This Row],[LV5 MAT NO.]]=Data!$B$5),1,"")</f>
        <v/>
      </c>
      <c r="Q106" s="998" t="str">
        <f>IF(AND(Table2[[#This Row],[FROM]]&lt;&gt;"", Table2[[#This Row],[FROM]]=Data!$B$7),1,"")</f>
        <v/>
      </c>
      <c r="R106" s="998" t="str">
        <f>IF(AND(Table2[[#This Row],[LV3 or LV4 MAT NO.]]&lt;&gt;"", Table2[[#This Row],[LV3 or LV4 MAT NO.]]=Data!$B$8),1,"")</f>
        <v/>
      </c>
      <c r="S106" s="998"/>
      <c r="T106" s="998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35">
      <c r="I107" s="1000"/>
      <c r="L107" s="998" t="str">
        <f>IF(AND(Table2[[#This Row],[ORDER NO.]]&lt;&gt;"", Table2[[#This Row],[ORDER NO.]]=Data!$B$1),1,"")</f>
        <v/>
      </c>
      <c r="M107" s="998" t="str">
        <f>IFERROR(IF(AND(Table2[[#This Row],[SEREAL NO.]]&lt;&gt;"", Table2[[#This Row],[SEREAL NO.]]=Data!$A$103),1,""),"")</f>
        <v/>
      </c>
      <c r="N107" s="998" t="str">
        <f>IF(AND(Table2[[#This Row],[SIZE]]&lt;&gt;"", Table2[[#This Row],[SIZE]]=Data!$B$3),1,"")</f>
        <v/>
      </c>
      <c r="O107" s="998" t="str">
        <f>IF(AND(Table2[[#This Row],[TYPE]]&lt;&gt;"", Table2[[#This Row],[TYPE]]=Data!$B$4),1,"")</f>
        <v/>
      </c>
      <c r="P107" s="998" t="str">
        <f>IF(AND(Table2[[#This Row],[LV5 MAT NO.]]&lt;&gt;"", Table2[[#This Row],[LV5 MAT NO.]]=Data!$B$5),1,"")</f>
        <v/>
      </c>
      <c r="Q107" s="998" t="str">
        <f>IF(AND(Table2[[#This Row],[FROM]]&lt;&gt;"", Table2[[#This Row],[FROM]]=Data!$B$7),1,"")</f>
        <v/>
      </c>
      <c r="R107" s="998" t="str">
        <f>IF(AND(Table2[[#This Row],[LV3 or LV4 MAT NO.]]&lt;&gt;"", Table2[[#This Row],[LV3 or LV4 MAT NO.]]=Data!$B$8),1,"")</f>
        <v/>
      </c>
      <c r="S107" s="998"/>
      <c r="T107" s="998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35">
      <c r="I108" s="1000"/>
      <c r="L108" s="998" t="str">
        <f>IF(AND(Table2[[#This Row],[ORDER NO.]]&lt;&gt;"", Table2[[#This Row],[ORDER NO.]]=Data!$B$1),1,"")</f>
        <v/>
      </c>
      <c r="M108" s="998" t="str">
        <f>IFERROR(IF(AND(Table2[[#This Row],[SEREAL NO.]]&lt;&gt;"", Table2[[#This Row],[SEREAL NO.]]=Data!$A$103),1,""),"")</f>
        <v/>
      </c>
      <c r="N108" s="998" t="str">
        <f>IF(AND(Table2[[#This Row],[SIZE]]&lt;&gt;"", Table2[[#This Row],[SIZE]]=Data!$B$3),1,"")</f>
        <v/>
      </c>
      <c r="O108" s="998" t="str">
        <f>IF(AND(Table2[[#This Row],[TYPE]]&lt;&gt;"", Table2[[#This Row],[TYPE]]=Data!$B$4),1,"")</f>
        <v/>
      </c>
      <c r="P108" s="998" t="str">
        <f>IF(AND(Table2[[#This Row],[LV5 MAT NO.]]&lt;&gt;"", Table2[[#This Row],[LV5 MAT NO.]]=Data!$B$5),1,"")</f>
        <v/>
      </c>
      <c r="Q108" s="998" t="str">
        <f>IF(AND(Table2[[#This Row],[FROM]]&lt;&gt;"", Table2[[#This Row],[FROM]]=Data!$B$7),1,"")</f>
        <v/>
      </c>
      <c r="R108" s="998" t="str">
        <f>IF(AND(Table2[[#This Row],[LV3 or LV4 MAT NO.]]&lt;&gt;"", Table2[[#This Row],[LV3 or LV4 MAT NO.]]=Data!$B$8),1,"")</f>
        <v/>
      </c>
      <c r="S108" s="998"/>
      <c r="T108" s="998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35">
      <c r="I109" s="1000"/>
      <c r="L109" s="998" t="str">
        <f>IF(AND(Table2[[#This Row],[ORDER NO.]]&lt;&gt;"", Table2[[#This Row],[ORDER NO.]]=Data!$B$1),1,"")</f>
        <v/>
      </c>
      <c r="M109" s="998" t="str">
        <f>IFERROR(IF(AND(Table2[[#This Row],[SEREAL NO.]]&lt;&gt;"", Table2[[#This Row],[SEREAL NO.]]=Data!$A$103),1,""),"")</f>
        <v/>
      </c>
      <c r="N109" s="998" t="str">
        <f>IF(AND(Table2[[#This Row],[SIZE]]&lt;&gt;"", Table2[[#This Row],[SIZE]]=Data!$B$3),1,"")</f>
        <v/>
      </c>
      <c r="O109" s="998" t="str">
        <f>IF(AND(Table2[[#This Row],[TYPE]]&lt;&gt;"", Table2[[#This Row],[TYPE]]=Data!$B$4),1,"")</f>
        <v/>
      </c>
      <c r="P109" s="998" t="str">
        <f>IF(AND(Table2[[#This Row],[LV5 MAT NO.]]&lt;&gt;"", Table2[[#This Row],[LV5 MAT NO.]]=Data!$B$5),1,"")</f>
        <v/>
      </c>
      <c r="Q109" s="998" t="str">
        <f>IF(AND(Table2[[#This Row],[FROM]]&lt;&gt;"", Table2[[#This Row],[FROM]]=Data!$B$7),1,"")</f>
        <v/>
      </c>
      <c r="R109" s="998" t="str">
        <f>IF(AND(Table2[[#This Row],[LV3 or LV4 MAT NO.]]&lt;&gt;"", Table2[[#This Row],[LV3 or LV4 MAT NO.]]=Data!$B$8),1,"")</f>
        <v/>
      </c>
      <c r="S109" s="998"/>
      <c r="T109" s="998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35">
      <c r="I110" s="1000"/>
      <c r="L110" s="998" t="str">
        <f>IF(AND(Table2[[#This Row],[ORDER NO.]]&lt;&gt;"", Table2[[#This Row],[ORDER NO.]]=Data!$B$1),1,"")</f>
        <v/>
      </c>
      <c r="M110" s="998" t="str">
        <f>IFERROR(IF(AND(Table2[[#This Row],[SEREAL NO.]]&lt;&gt;"", Table2[[#This Row],[SEREAL NO.]]=Data!$A$103),1,""),"")</f>
        <v/>
      </c>
      <c r="N110" s="998" t="str">
        <f>IF(AND(Table2[[#This Row],[SIZE]]&lt;&gt;"", Table2[[#This Row],[SIZE]]=Data!$B$3),1,"")</f>
        <v/>
      </c>
      <c r="O110" s="998" t="str">
        <f>IF(AND(Table2[[#This Row],[TYPE]]&lt;&gt;"", Table2[[#This Row],[TYPE]]=Data!$B$4),1,"")</f>
        <v/>
      </c>
      <c r="P110" s="998" t="str">
        <f>IF(AND(Table2[[#This Row],[LV5 MAT NO.]]&lt;&gt;"", Table2[[#This Row],[LV5 MAT NO.]]=Data!$B$5),1,"")</f>
        <v/>
      </c>
      <c r="Q110" s="998" t="str">
        <f>IF(AND(Table2[[#This Row],[FROM]]&lt;&gt;"", Table2[[#This Row],[FROM]]=Data!$B$7),1,"")</f>
        <v/>
      </c>
      <c r="R110" s="998" t="str">
        <f>IF(AND(Table2[[#This Row],[LV3 or LV4 MAT NO.]]&lt;&gt;"", Table2[[#This Row],[LV3 or LV4 MAT NO.]]=Data!$B$8),1,"")</f>
        <v/>
      </c>
      <c r="S110" s="998"/>
      <c r="T110" s="998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35">
      <c r="I111" s="1000"/>
      <c r="L111" s="998" t="str">
        <f>IF(AND(Table2[[#This Row],[ORDER NO.]]&lt;&gt;"", Table2[[#This Row],[ORDER NO.]]=Data!$B$1),1,"")</f>
        <v/>
      </c>
      <c r="M111" s="998" t="str">
        <f>IFERROR(IF(AND(Table2[[#This Row],[SEREAL NO.]]&lt;&gt;"", Table2[[#This Row],[SEREAL NO.]]=Data!$A$103),1,""),"")</f>
        <v/>
      </c>
      <c r="N111" s="998" t="str">
        <f>IF(AND(Table2[[#This Row],[SIZE]]&lt;&gt;"", Table2[[#This Row],[SIZE]]=Data!$B$3),1,"")</f>
        <v/>
      </c>
      <c r="O111" s="998" t="str">
        <f>IF(AND(Table2[[#This Row],[TYPE]]&lt;&gt;"", Table2[[#This Row],[TYPE]]=Data!$B$4),1,"")</f>
        <v/>
      </c>
      <c r="P111" s="998" t="str">
        <f>IF(AND(Table2[[#This Row],[LV5 MAT NO.]]&lt;&gt;"", Table2[[#This Row],[LV5 MAT NO.]]=Data!$B$5),1,"")</f>
        <v/>
      </c>
      <c r="Q111" s="998" t="str">
        <f>IF(AND(Table2[[#This Row],[FROM]]&lt;&gt;"", Table2[[#This Row],[FROM]]=Data!$B$7),1,"")</f>
        <v/>
      </c>
      <c r="R111" s="998" t="str">
        <f>IF(AND(Table2[[#This Row],[LV3 or LV4 MAT NO.]]&lt;&gt;"", Table2[[#This Row],[LV3 or LV4 MAT NO.]]=Data!$B$8),1,"")</f>
        <v/>
      </c>
      <c r="S111" s="998"/>
      <c r="T111" s="998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35">
      <c r="I112" s="1000"/>
      <c r="L112" s="998" t="str">
        <f>IF(AND(Table2[[#This Row],[ORDER NO.]]&lt;&gt;"", Table2[[#This Row],[ORDER NO.]]=Data!$B$1),1,"")</f>
        <v/>
      </c>
      <c r="M112" s="998" t="str">
        <f>IFERROR(IF(AND(Table2[[#This Row],[SEREAL NO.]]&lt;&gt;"", Table2[[#This Row],[SEREAL NO.]]=Data!$A$103),1,""),"")</f>
        <v/>
      </c>
      <c r="N112" s="998" t="str">
        <f>IF(AND(Table2[[#This Row],[SIZE]]&lt;&gt;"", Table2[[#This Row],[SIZE]]=Data!$B$3),1,"")</f>
        <v/>
      </c>
      <c r="O112" s="998" t="str">
        <f>IF(AND(Table2[[#This Row],[TYPE]]&lt;&gt;"", Table2[[#This Row],[TYPE]]=Data!$B$4),1,"")</f>
        <v/>
      </c>
      <c r="P112" s="998" t="str">
        <f>IF(AND(Table2[[#This Row],[LV5 MAT NO.]]&lt;&gt;"", Table2[[#This Row],[LV5 MAT NO.]]=Data!$B$5),1,"")</f>
        <v/>
      </c>
      <c r="Q112" s="998" t="str">
        <f>IF(AND(Table2[[#This Row],[FROM]]&lt;&gt;"", Table2[[#This Row],[FROM]]=Data!$B$7),1,"")</f>
        <v/>
      </c>
      <c r="R112" s="998" t="str">
        <f>IF(AND(Table2[[#This Row],[LV3 or LV4 MAT NO.]]&lt;&gt;"", Table2[[#This Row],[LV3 or LV4 MAT NO.]]=Data!$B$8),1,"")</f>
        <v/>
      </c>
      <c r="S112" s="998"/>
      <c r="T112" s="998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35">
      <c r="I113" s="1000"/>
      <c r="L113" s="998" t="str">
        <f>IF(AND(Table2[[#This Row],[ORDER NO.]]&lt;&gt;"", Table2[[#This Row],[ORDER NO.]]=Data!$B$1),1,"")</f>
        <v/>
      </c>
      <c r="M113" s="998" t="str">
        <f>IFERROR(IF(AND(Table2[[#This Row],[SEREAL NO.]]&lt;&gt;"", Table2[[#This Row],[SEREAL NO.]]=Data!$A$103),1,""),"")</f>
        <v/>
      </c>
      <c r="N113" s="998" t="str">
        <f>IF(AND(Table2[[#This Row],[SIZE]]&lt;&gt;"", Table2[[#This Row],[SIZE]]=Data!$B$3),1,"")</f>
        <v/>
      </c>
      <c r="O113" s="998" t="str">
        <f>IF(AND(Table2[[#This Row],[TYPE]]&lt;&gt;"", Table2[[#This Row],[TYPE]]=Data!$B$4),1,"")</f>
        <v/>
      </c>
      <c r="P113" s="998" t="str">
        <f>IF(AND(Table2[[#This Row],[LV5 MAT NO.]]&lt;&gt;"", Table2[[#This Row],[LV5 MAT NO.]]=Data!$B$5),1,"")</f>
        <v/>
      </c>
      <c r="Q113" s="998" t="str">
        <f>IF(AND(Table2[[#This Row],[FROM]]&lt;&gt;"", Table2[[#This Row],[FROM]]=Data!$B$7),1,"")</f>
        <v/>
      </c>
      <c r="R113" s="998" t="str">
        <f>IF(AND(Table2[[#This Row],[LV3 or LV4 MAT NO.]]&lt;&gt;"", Table2[[#This Row],[LV3 or LV4 MAT NO.]]=Data!$B$8),1,"")</f>
        <v/>
      </c>
      <c r="S113" s="998"/>
      <c r="T113" s="998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35">
      <c r="I114" s="1000"/>
      <c r="L114" s="998" t="str">
        <f>IF(AND(Table2[[#This Row],[ORDER NO.]]&lt;&gt;"", Table2[[#This Row],[ORDER NO.]]=Data!$B$1),1,"")</f>
        <v/>
      </c>
      <c r="M114" s="998" t="str">
        <f>IFERROR(IF(AND(Table2[[#This Row],[SEREAL NO.]]&lt;&gt;"", Table2[[#This Row],[SEREAL NO.]]=Data!$A$103),1,""),"")</f>
        <v/>
      </c>
      <c r="N114" s="998" t="str">
        <f>IF(AND(Table2[[#This Row],[SIZE]]&lt;&gt;"", Table2[[#This Row],[SIZE]]=Data!$B$3),1,"")</f>
        <v/>
      </c>
      <c r="O114" s="998" t="str">
        <f>IF(AND(Table2[[#This Row],[TYPE]]&lt;&gt;"", Table2[[#This Row],[TYPE]]=Data!$B$4),1,"")</f>
        <v/>
      </c>
      <c r="P114" s="998" t="str">
        <f>IF(AND(Table2[[#This Row],[LV5 MAT NO.]]&lt;&gt;"", Table2[[#This Row],[LV5 MAT NO.]]=Data!$B$5),1,"")</f>
        <v/>
      </c>
      <c r="Q114" s="998" t="str">
        <f>IF(AND(Table2[[#This Row],[FROM]]&lt;&gt;"", Table2[[#This Row],[FROM]]=Data!$B$7),1,"")</f>
        <v/>
      </c>
      <c r="R114" s="998" t="str">
        <f>IF(AND(Table2[[#This Row],[LV3 or LV4 MAT NO.]]&lt;&gt;"", Table2[[#This Row],[LV3 or LV4 MAT NO.]]=Data!$B$8),1,"")</f>
        <v/>
      </c>
      <c r="S114" s="998"/>
      <c r="T114" s="998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35">
      <c r="I115" s="1000"/>
      <c r="L115" s="998" t="str">
        <f>IF(AND(Table2[[#This Row],[ORDER NO.]]&lt;&gt;"", Table2[[#This Row],[ORDER NO.]]=Data!$B$1),1,"")</f>
        <v/>
      </c>
      <c r="M115" s="998" t="str">
        <f>IFERROR(IF(AND(Table2[[#This Row],[SEREAL NO.]]&lt;&gt;"", Table2[[#This Row],[SEREAL NO.]]=Data!$A$103),1,""),"")</f>
        <v/>
      </c>
      <c r="N115" s="998" t="str">
        <f>IF(AND(Table2[[#This Row],[SIZE]]&lt;&gt;"", Table2[[#This Row],[SIZE]]=Data!$B$3),1,"")</f>
        <v/>
      </c>
      <c r="O115" s="998" t="str">
        <f>IF(AND(Table2[[#This Row],[TYPE]]&lt;&gt;"", Table2[[#This Row],[TYPE]]=Data!$B$4),1,"")</f>
        <v/>
      </c>
      <c r="P115" s="998" t="str">
        <f>IF(AND(Table2[[#This Row],[LV5 MAT NO.]]&lt;&gt;"", Table2[[#This Row],[LV5 MAT NO.]]=Data!$B$5),1,"")</f>
        <v/>
      </c>
      <c r="Q115" s="998" t="str">
        <f>IF(AND(Table2[[#This Row],[FROM]]&lt;&gt;"", Table2[[#This Row],[FROM]]=Data!$B$7),1,"")</f>
        <v/>
      </c>
      <c r="R115" s="998" t="str">
        <f>IF(AND(Table2[[#This Row],[LV3 or LV4 MAT NO.]]&lt;&gt;"", Table2[[#This Row],[LV3 or LV4 MAT NO.]]=Data!$B$8),1,"")</f>
        <v/>
      </c>
      <c r="S115" s="998"/>
      <c r="T115" s="998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35">
      <c r="I116" s="1000"/>
      <c r="L116" s="998" t="str">
        <f>IF(AND(Table2[[#This Row],[ORDER NO.]]&lt;&gt;"", Table2[[#This Row],[ORDER NO.]]=Data!$B$1),1,"")</f>
        <v/>
      </c>
      <c r="M116" s="998" t="str">
        <f>IFERROR(IF(AND(Table2[[#This Row],[SEREAL NO.]]&lt;&gt;"", Table2[[#This Row],[SEREAL NO.]]=Data!$A$103),1,""),"")</f>
        <v/>
      </c>
      <c r="N116" s="998" t="str">
        <f>IF(AND(Table2[[#This Row],[SIZE]]&lt;&gt;"", Table2[[#This Row],[SIZE]]=Data!$B$3),1,"")</f>
        <v/>
      </c>
      <c r="O116" s="998" t="str">
        <f>IF(AND(Table2[[#This Row],[TYPE]]&lt;&gt;"", Table2[[#This Row],[TYPE]]=Data!$B$4),1,"")</f>
        <v/>
      </c>
      <c r="P116" s="998" t="str">
        <f>IF(AND(Table2[[#This Row],[LV5 MAT NO.]]&lt;&gt;"", Table2[[#This Row],[LV5 MAT NO.]]=Data!$B$5),1,"")</f>
        <v/>
      </c>
      <c r="Q116" s="998" t="str">
        <f>IF(AND(Table2[[#This Row],[FROM]]&lt;&gt;"", Table2[[#This Row],[FROM]]=Data!$B$7),1,"")</f>
        <v/>
      </c>
      <c r="R116" s="998" t="str">
        <f>IF(AND(Table2[[#This Row],[LV3 or LV4 MAT NO.]]&lt;&gt;"", Table2[[#This Row],[LV3 or LV4 MAT NO.]]=Data!$B$8),1,"")</f>
        <v/>
      </c>
      <c r="S116" s="998"/>
      <c r="T116" s="998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35">
      <c r="I117" s="1000"/>
      <c r="L117" s="998" t="str">
        <f>IF(AND(Table2[[#This Row],[ORDER NO.]]&lt;&gt;"", Table2[[#This Row],[ORDER NO.]]=Data!$B$1),1,"")</f>
        <v/>
      </c>
      <c r="M117" s="998" t="str">
        <f>IFERROR(IF(AND(Table2[[#This Row],[SEREAL NO.]]&lt;&gt;"", Table2[[#This Row],[SEREAL NO.]]=Data!$A$103),1,""),"")</f>
        <v/>
      </c>
      <c r="N117" s="998" t="str">
        <f>IF(AND(Table2[[#This Row],[SIZE]]&lt;&gt;"", Table2[[#This Row],[SIZE]]=Data!$B$3),1,"")</f>
        <v/>
      </c>
      <c r="O117" s="998" t="str">
        <f>IF(AND(Table2[[#This Row],[TYPE]]&lt;&gt;"", Table2[[#This Row],[TYPE]]=Data!$B$4),1,"")</f>
        <v/>
      </c>
      <c r="P117" s="998" t="str">
        <f>IF(AND(Table2[[#This Row],[LV5 MAT NO.]]&lt;&gt;"", Table2[[#This Row],[LV5 MAT NO.]]=Data!$B$5),1,"")</f>
        <v/>
      </c>
      <c r="Q117" s="998" t="str">
        <f>IF(AND(Table2[[#This Row],[FROM]]&lt;&gt;"", Table2[[#This Row],[FROM]]=Data!$B$7),1,"")</f>
        <v/>
      </c>
      <c r="R117" s="998" t="str">
        <f>IF(AND(Table2[[#This Row],[LV3 or LV4 MAT NO.]]&lt;&gt;"", Table2[[#This Row],[LV3 or LV4 MAT NO.]]=Data!$B$8),1,"")</f>
        <v/>
      </c>
      <c r="S117" s="998"/>
      <c r="T117" s="998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35">
      <c r="I118" s="1000"/>
      <c r="L118" s="998" t="str">
        <f>IF(AND(Table2[[#This Row],[ORDER NO.]]&lt;&gt;"", Table2[[#This Row],[ORDER NO.]]=Data!$B$1),1,"")</f>
        <v/>
      </c>
      <c r="M118" s="998" t="str">
        <f>IFERROR(IF(AND(Table2[[#This Row],[SEREAL NO.]]&lt;&gt;"", Table2[[#This Row],[SEREAL NO.]]=Data!$A$103),1,""),"")</f>
        <v/>
      </c>
      <c r="N118" s="998" t="str">
        <f>IF(AND(Table2[[#This Row],[SIZE]]&lt;&gt;"", Table2[[#This Row],[SIZE]]=Data!$B$3),1,"")</f>
        <v/>
      </c>
      <c r="O118" s="998" t="str">
        <f>IF(AND(Table2[[#This Row],[TYPE]]&lt;&gt;"", Table2[[#This Row],[TYPE]]=Data!$B$4),1,"")</f>
        <v/>
      </c>
      <c r="P118" s="998" t="str">
        <f>IF(AND(Table2[[#This Row],[LV5 MAT NO.]]&lt;&gt;"", Table2[[#This Row],[LV5 MAT NO.]]=Data!$B$5),1,"")</f>
        <v/>
      </c>
      <c r="Q118" s="998" t="str">
        <f>IF(AND(Table2[[#This Row],[FROM]]&lt;&gt;"", Table2[[#This Row],[FROM]]=Data!$B$7),1,"")</f>
        <v/>
      </c>
      <c r="R118" s="998" t="str">
        <f>IF(AND(Table2[[#This Row],[LV3 or LV4 MAT NO.]]&lt;&gt;"", Table2[[#This Row],[LV3 or LV4 MAT NO.]]=Data!$B$8),1,"")</f>
        <v/>
      </c>
      <c r="S118" s="998"/>
      <c r="T118" s="998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35">
      <c r="I119" s="1000"/>
      <c r="L119" s="998" t="str">
        <f>IF(AND(Table2[[#This Row],[ORDER NO.]]&lt;&gt;"", Table2[[#This Row],[ORDER NO.]]=Data!$B$1),1,"")</f>
        <v/>
      </c>
      <c r="M119" s="998" t="str">
        <f>IFERROR(IF(AND(Table2[[#This Row],[SEREAL NO.]]&lt;&gt;"", Table2[[#This Row],[SEREAL NO.]]=Data!$A$103),1,""),"")</f>
        <v/>
      </c>
      <c r="N119" s="998" t="str">
        <f>IF(AND(Table2[[#This Row],[SIZE]]&lt;&gt;"", Table2[[#This Row],[SIZE]]=Data!$B$3),1,"")</f>
        <v/>
      </c>
      <c r="O119" s="998" t="str">
        <f>IF(AND(Table2[[#This Row],[TYPE]]&lt;&gt;"", Table2[[#This Row],[TYPE]]=Data!$B$4),1,"")</f>
        <v/>
      </c>
      <c r="P119" s="998" t="str">
        <f>IF(AND(Table2[[#This Row],[LV5 MAT NO.]]&lt;&gt;"", Table2[[#This Row],[LV5 MAT NO.]]=Data!$B$5),1,"")</f>
        <v/>
      </c>
      <c r="Q119" s="998" t="str">
        <f>IF(AND(Table2[[#This Row],[FROM]]&lt;&gt;"", Table2[[#This Row],[FROM]]=Data!$B$7),1,"")</f>
        <v/>
      </c>
      <c r="R119" s="998" t="str">
        <f>IF(AND(Table2[[#This Row],[LV3 or LV4 MAT NO.]]&lt;&gt;"", Table2[[#This Row],[LV3 or LV4 MAT NO.]]=Data!$B$8),1,"")</f>
        <v/>
      </c>
      <c r="S119" s="998"/>
      <c r="T119" s="998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35">
      <c r="I120" s="1000"/>
      <c r="L120" s="998" t="str">
        <f>IF(AND(Table2[[#This Row],[ORDER NO.]]&lt;&gt;"", Table2[[#This Row],[ORDER NO.]]=Data!$B$1),1,"")</f>
        <v/>
      </c>
      <c r="M120" s="998" t="str">
        <f>IFERROR(IF(AND(Table2[[#This Row],[SEREAL NO.]]&lt;&gt;"", Table2[[#This Row],[SEREAL NO.]]=Data!$A$103),1,""),"")</f>
        <v/>
      </c>
      <c r="N120" s="998" t="str">
        <f>IF(AND(Table2[[#This Row],[SIZE]]&lt;&gt;"", Table2[[#This Row],[SIZE]]=Data!$B$3),1,"")</f>
        <v/>
      </c>
      <c r="O120" s="998" t="str">
        <f>IF(AND(Table2[[#This Row],[TYPE]]&lt;&gt;"", Table2[[#This Row],[TYPE]]=Data!$B$4),1,"")</f>
        <v/>
      </c>
      <c r="P120" s="998" t="str">
        <f>IF(AND(Table2[[#This Row],[LV5 MAT NO.]]&lt;&gt;"", Table2[[#This Row],[LV5 MAT NO.]]=Data!$B$5),1,"")</f>
        <v/>
      </c>
      <c r="Q120" s="998" t="str">
        <f>IF(AND(Table2[[#This Row],[FROM]]&lt;&gt;"", Table2[[#This Row],[FROM]]=Data!$B$7),1,"")</f>
        <v/>
      </c>
      <c r="R120" s="998" t="str">
        <f>IF(AND(Table2[[#This Row],[LV3 or LV4 MAT NO.]]&lt;&gt;"", Table2[[#This Row],[LV3 or LV4 MAT NO.]]=Data!$B$8),1,"")</f>
        <v/>
      </c>
      <c r="S120" s="998"/>
      <c r="T120" s="998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35">
      <c r="I121" s="1000"/>
      <c r="L121" s="998" t="str">
        <f>IF(AND(Table2[[#This Row],[ORDER NO.]]&lt;&gt;"", Table2[[#This Row],[ORDER NO.]]=Data!$B$1),1,"")</f>
        <v/>
      </c>
      <c r="M121" s="998" t="str">
        <f>IFERROR(IF(AND(Table2[[#This Row],[SEREAL NO.]]&lt;&gt;"", Table2[[#This Row],[SEREAL NO.]]=Data!$A$103),1,""),"")</f>
        <v/>
      </c>
      <c r="N121" s="998" t="str">
        <f>IF(AND(Table2[[#This Row],[SIZE]]&lt;&gt;"", Table2[[#This Row],[SIZE]]=Data!$B$3),1,"")</f>
        <v/>
      </c>
      <c r="O121" s="998" t="str">
        <f>IF(AND(Table2[[#This Row],[TYPE]]&lt;&gt;"", Table2[[#This Row],[TYPE]]=Data!$B$4),1,"")</f>
        <v/>
      </c>
      <c r="P121" s="998" t="str">
        <f>IF(AND(Table2[[#This Row],[LV5 MAT NO.]]&lt;&gt;"", Table2[[#This Row],[LV5 MAT NO.]]=Data!$B$5),1,"")</f>
        <v/>
      </c>
      <c r="Q121" s="998" t="str">
        <f>IF(AND(Table2[[#This Row],[FROM]]&lt;&gt;"", Table2[[#This Row],[FROM]]=Data!$B$7),1,"")</f>
        <v/>
      </c>
      <c r="R121" s="998" t="str">
        <f>IF(AND(Table2[[#This Row],[LV3 or LV4 MAT NO.]]&lt;&gt;"", Table2[[#This Row],[LV3 or LV4 MAT NO.]]=Data!$B$8),1,"")</f>
        <v/>
      </c>
      <c r="S121" s="998"/>
      <c r="T121" s="998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35">
      <c r="I122" s="1000"/>
      <c r="L122" s="998" t="str">
        <f>IF(AND(Table2[[#This Row],[ORDER NO.]]&lt;&gt;"", Table2[[#This Row],[ORDER NO.]]=Data!$B$1),1,"")</f>
        <v/>
      </c>
      <c r="M122" s="998" t="str">
        <f>IFERROR(IF(AND(Table2[[#This Row],[SEREAL NO.]]&lt;&gt;"", Table2[[#This Row],[SEREAL NO.]]=Data!$A$103),1,""),"")</f>
        <v/>
      </c>
      <c r="N122" s="998" t="str">
        <f>IF(AND(Table2[[#This Row],[SIZE]]&lt;&gt;"", Table2[[#This Row],[SIZE]]=Data!$B$3),1,"")</f>
        <v/>
      </c>
      <c r="O122" s="998" t="str">
        <f>IF(AND(Table2[[#This Row],[TYPE]]&lt;&gt;"", Table2[[#This Row],[TYPE]]=Data!$B$4),1,"")</f>
        <v/>
      </c>
      <c r="P122" s="998" t="str">
        <f>IF(AND(Table2[[#This Row],[LV5 MAT NO.]]&lt;&gt;"", Table2[[#This Row],[LV5 MAT NO.]]=Data!$B$5),1,"")</f>
        <v/>
      </c>
      <c r="Q122" s="998" t="str">
        <f>IF(AND(Table2[[#This Row],[FROM]]&lt;&gt;"", Table2[[#This Row],[FROM]]=Data!$B$7),1,"")</f>
        <v/>
      </c>
      <c r="R122" s="998" t="str">
        <f>IF(AND(Table2[[#This Row],[LV3 or LV4 MAT NO.]]&lt;&gt;"", Table2[[#This Row],[LV3 or LV4 MAT NO.]]=Data!$B$8),1,"")</f>
        <v/>
      </c>
      <c r="S122" s="998"/>
      <c r="T122" s="998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35">
      <c r="I123" s="1000"/>
      <c r="L123" s="998" t="str">
        <f>IF(AND(Table2[[#This Row],[ORDER NO.]]&lt;&gt;"", Table2[[#This Row],[ORDER NO.]]=Data!$B$1),1,"")</f>
        <v/>
      </c>
      <c r="M123" s="998" t="str">
        <f>IFERROR(IF(AND(Table2[[#This Row],[SEREAL NO.]]&lt;&gt;"", Table2[[#This Row],[SEREAL NO.]]=Data!$A$103),1,""),"")</f>
        <v/>
      </c>
      <c r="N123" s="998" t="str">
        <f>IF(AND(Table2[[#This Row],[SIZE]]&lt;&gt;"", Table2[[#This Row],[SIZE]]=Data!$B$3),1,"")</f>
        <v/>
      </c>
      <c r="O123" s="998" t="str">
        <f>IF(AND(Table2[[#This Row],[TYPE]]&lt;&gt;"", Table2[[#This Row],[TYPE]]=Data!$B$4),1,"")</f>
        <v/>
      </c>
      <c r="P123" s="998" t="str">
        <f>IF(AND(Table2[[#This Row],[LV5 MAT NO.]]&lt;&gt;"", Table2[[#This Row],[LV5 MAT NO.]]=Data!$B$5),1,"")</f>
        <v/>
      </c>
      <c r="Q123" s="998" t="str">
        <f>IF(AND(Table2[[#This Row],[FROM]]&lt;&gt;"", Table2[[#This Row],[FROM]]=Data!$B$7),1,"")</f>
        <v/>
      </c>
      <c r="R123" s="998" t="str">
        <f>IF(AND(Table2[[#This Row],[LV3 or LV4 MAT NO.]]&lt;&gt;"", Table2[[#This Row],[LV3 or LV4 MAT NO.]]=Data!$B$8),1,"")</f>
        <v/>
      </c>
      <c r="S123" s="998"/>
      <c r="T123" s="998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35">
      <c r="I124" s="1000"/>
      <c r="L124" s="998" t="str">
        <f>IF(AND(Table2[[#This Row],[ORDER NO.]]&lt;&gt;"", Table2[[#This Row],[ORDER NO.]]=Data!$B$1),1,"")</f>
        <v/>
      </c>
      <c r="M124" s="998" t="str">
        <f>IFERROR(IF(AND(Table2[[#This Row],[SEREAL NO.]]&lt;&gt;"", Table2[[#This Row],[SEREAL NO.]]=Data!$A$103),1,""),"")</f>
        <v/>
      </c>
      <c r="N124" s="998" t="str">
        <f>IF(AND(Table2[[#This Row],[SIZE]]&lt;&gt;"", Table2[[#This Row],[SIZE]]=Data!$B$3),1,"")</f>
        <v/>
      </c>
      <c r="O124" s="998" t="str">
        <f>IF(AND(Table2[[#This Row],[TYPE]]&lt;&gt;"", Table2[[#This Row],[TYPE]]=Data!$B$4),1,"")</f>
        <v/>
      </c>
      <c r="P124" s="998" t="str">
        <f>IF(AND(Table2[[#This Row],[LV5 MAT NO.]]&lt;&gt;"", Table2[[#This Row],[LV5 MAT NO.]]=Data!$B$5),1,"")</f>
        <v/>
      </c>
      <c r="Q124" s="998" t="str">
        <f>IF(AND(Table2[[#This Row],[FROM]]&lt;&gt;"", Table2[[#This Row],[FROM]]=Data!$B$7),1,"")</f>
        <v/>
      </c>
      <c r="R124" s="998" t="str">
        <f>IF(AND(Table2[[#This Row],[LV3 or LV4 MAT NO.]]&lt;&gt;"", Table2[[#This Row],[LV3 or LV4 MAT NO.]]=Data!$B$8),1,"")</f>
        <v/>
      </c>
      <c r="S124" s="998"/>
      <c r="T124" s="998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35">
      <c r="I125" s="1000"/>
      <c r="L125" s="998" t="str">
        <f>IF(AND(Table2[[#This Row],[ORDER NO.]]&lt;&gt;"", Table2[[#This Row],[ORDER NO.]]=Data!$B$1),1,"")</f>
        <v/>
      </c>
      <c r="M125" s="998" t="str">
        <f>IFERROR(IF(AND(Table2[[#This Row],[SEREAL NO.]]&lt;&gt;"", Table2[[#This Row],[SEREAL NO.]]=Data!$A$103),1,""),"")</f>
        <v/>
      </c>
      <c r="N125" s="998" t="str">
        <f>IF(AND(Table2[[#This Row],[SIZE]]&lt;&gt;"", Table2[[#This Row],[SIZE]]=Data!$B$3),1,"")</f>
        <v/>
      </c>
      <c r="O125" s="998" t="str">
        <f>IF(AND(Table2[[#This Row],[TYPE]]&lt;&gt;"", Table2[[#This Row],[TYPE]]=Data!$B$4),1,"")</f>
        <v/>
      </c>
      <c r="P125" s="998" t="str">
        <f>IF(AND(Table2[[#This Row],[LV5 MAT NO.]]&lt;&gt;"", Table2[[#This Row],[LV5 MAT NO.]]=Data!$B$5),1,"")</f>
        <v/>
      </c>
      <c r="Q125" s="998" t="str">
        <f>IF(AND(Table2[[#This Row],[FROM]]&lt;&gt;"", Table2[[#This Row],[FROM]]=Data!$B$7),1,"")</f>
        <v/>
      </c>
      <c r="R125" s="998" t="str">
        <f>IF(AND(Table2[[#This Row],[LV3 or LV4 MAT NO.]]&lt;&gt;"", Table2[[#This Row],[LV3 or LV4 MAT NO.]]=Data!$B$8),1,"")</f>
        <v/>
      </c>
      <c r="S125" s="998"/>
      <c r="T125" s="998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35">
      <c r="I126" s="1000"/>
      <c r="L126" s="998" t="str">
        <f>IF(AND(Table2[[#This Row],[ORDER NO.]]&lt;&gt;"", Table2[[#This Row],[ORDER NO.]]=Data!$B$1),1,"")</f>
        <v/>
      </c>
      <c r="M126" s="998" t="str">
        <f>IFERROR(IF(AND(Table2[[#This Row],[SEREAL NO.]]&lt;&gt;"", Table2[[#This Row],[SEREAL NO.]]=Data!$A$103),1,""),"")</f>
        <v/>
      </c>
      <c r="N126" s="998" t="str">
        <f>IF(AND(Table2[[#This Row],[SIZE]]&lt;&gt;"", Table2[[#This Row],[SIZE]]=Data!$B$3),1,"")</f>
        <v/>
      </c>
      <c r="O126" s="998" t="str">
        <f>IF(AND(Table2[[#This Row],[TYPE]]&lt;&gt;"", Table2[[#This Row],[TYPE]]=Data!$B$4),1,"")</f>
        <v/>
      </c>
      <c r="P126" s="998" t="str">
        <f>IF(AND(Table2[[#This Row],[LV5 MAT NO.]]&lt;&gt;"", Table2[[#This Row],[LV5 MAT NO.]]=Data!$B$5),1,"")</f>
        <v/>
      </c>
      <c r="Q126" s="998" t="str">
        <f>IF(AND(Table2[[#This Row],[FROM]]&lt;&gt;"", Table2[[#This Row],[FROM]]=Data!$B$7),1,"")</f>
        <v/>
      </c>
      <c r="R126" s="998" t="str">
        <f>IF(AND(Table2[[#This Row],[LV3 or LV4 MAT NO.]]&lt;&gt;"", Table2[[#This Row],[LV3 or LV4 MAT NO.]]=Data!$B$8),1,"")</f>
        <v/>
      </c>
      <c r="S126" s="998"/>
      <c r="T126" s="998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35">
      <c r="I127" s="1000"/>
      <c r="L127" s="998" t="str">
        <f>IF(AND(Table2[[#This Row],[ORDER NO.]]&lt;&gt;"", Table2[[#This Row],[ORDER NO.]]=Data!$B$1),1,"")</f>
        <v/>
      </c>
      <c r="M127" s="998" t="str">
        <f>IFERROR(IF(AND(Table2[[#This Row],[SEREAL NO.]]&lt;&gt;"", Table2[[#This Row],[SEREAL NO.]]=Data!$A$103),1,""),"")</f>
        <v/>
      </c>
      <c r="N127" s="998" t="str">
        <f>IF(AND(Table2[[#This Row],[SIZE]]&lt;&gt;"", Table2[[#This Row],[SIZE]]=Data!$B$3),1,"")</f>
        <v/>
      </c>
      <c r="O127" s="998" t="str">
        <f>IF(AND(Table2[[#This Row],[TYPE]]&lt;&gt;"", Table2[[#This Row],[TYPE]]=Data!$B$4),1,"")</f>
        <v/>
      </c>
      <c r="P127" s="998" t="str">
        <f>IF(AND(Table2[[#This Row],[LV5 MAT NO.]]&lt;&gt;"", Table2[[#This Row],[LV5 MAT NO.]]=Data!$B$5),1,"")</f>
        <v/>
      </c>
      <c r="Q127" s="998" t="str">
        <f>IF(AND(Table2[[#This Row],[FROM]]&lt;&gt;"", Table2[[#This Row],[FROM]]=Data!$B$7),1,"")</f>
        <v/>
      </c>
      <c r="R127" s="998" t="str">
        <f>IF(AND(Table2[[#This Row],[LV3 or LV4 MAT NO.]]&lt;&gt;"", Table2[[#This Row],[LV3 or LV4 MAT NO.]]=Data!$B$8),1,"")</f>
        <v/>
      </c>
      <c r="S127" s="998"/>
      <c r="T127" s="998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35">
      <c r="I128" s="1000"/>
      <c r="L128" s="998" t="str">
        <f>IF(AND(Table2[[#This Row],[ORDER NO.]]&lt;&gt;"", Table2[[#This Row],[ORDER NO.]]=Data!$B$1),1,"")</f>
        <v/>
      </c>
      <c r="M128" s="998" t="str">
        <f>IFERROR(IF(AND(Table2[[#This Row],[SEREAL NO.]]&lt;&gt;"", Table2[[#This Row],[SEREAL NO.]]=Data!$A$103),1,""),"")</f>
        <v/>
      </c>
      <c r="N128" s="998" t="str">
        <f>IF(AND(Table2[[#This Row],[SIZE]]&lt;&gt;"", Table2[[#This Row],[SIZE]]=Data!$B$3),1,"")</f>
        <v/>
      </c>
      <c r="O128" s="998" t="str">
        <f>IF(AND(Table2[[#This Row],[TYPE]]&lt;&gt;"", Table2[[#This Row],[TYPE]]=Data!$B$4),1,"")</f>
        <v/>
      </c>
      <c r="P128" s="998" t="str">
        <f>IF(AND(Table2[[#This Row],[LV5 MAT NO.]]&lt;&gt;"", Table2[[#This Row],[LV5 MAT NO.]]=Data!$B$5),1,"")</f>
        <v/>
      </c>
      <c r="Q128" s="998" t="str">
        <f>IF(AND(Table2[[#This Row],[FROM]]&lt;&gt;"", Table2[[#This Row],[FROM]]=Data!$B$7),1,"")</f>
        <v/>
      </c>
      <c r="R128" s="998" t="str">
        <f>IF(AND(Table2[[#This Row],[LV3 or LV4 MAT NO.]]&lt;&gt;"", Table2[[#This Row],[LV3 or LV4 MAT NO.]]=Data!$B$8),1,"")</f>
        <v/>
      </c>
      <c r="S128" s="998"/>
      <c r="T128" s="998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35">
      <c r="I129" s="1000"/>
      <c r="L129" s="998" t="str">
        <f>IF(AND(Table2[[#This Row],[ORDER NO.]]&lt;&gt;"", Table2[[#This Row],[ORDER NO.]]=Data!$B$1),1,"")</f>
        <v/>
      </c>
      <c r="M129" s="998" t="str">
        <f>IFERROR(IF(AND(Table2[[#This Row],[SEREAL NO.]]&lt;&gt;"", Table2[[#This Row],[SEREAL NO.]]=Data!$A$103),1,""),"")</f>
        <v/>
      </c>
      <c r="N129" s="998" t="str">
        <f>IF(AND(Table2[[#This Row],[SIZE]]&lt;&gt;"", Table2[[#This Row],[SIZE]]=Data!$B$3),1,"")</f>
        <v/>
      </c>
      <c r="O129" s="998" t="str">
        <f>IF(AND(Table2[[#This Row],[TYPE]]&lt;&gt;"", Table2[[#This Row],[TYPE]]=Data!$B$4),1,"")</f>
        <v/>
      </c>
      <c r="P129" s="998" t="str">
        <f>IF(AND(Table2[[#This Row],[LV5 MAT NO.]]&lt;&gt;"", Table2[[#This Row],[LV5 MAT NO.]]=Data!$B$5),1,"")</f>
        <v/>
      </c>
      <c r="Q129" s="998" t="str">
        <f>IF(AND(Table2[[#This Row],[FROM]]&lt;&gt;"", Table2[[#This Row],[FROM]]=Data!$B$7),1,"")</f>
        <v/>
      </c>
      <c r="R129" s="998" t="str">
        <f>IF(AND(Table2[[#This Row],[LV3 or LV4 MAT NO.]]&lt;&gt;"", Table2[[#This Row],[LV3 or LV4 MAT NO.]]=Data!$B$8),1,"")</f>
        <v/>
      </c>
      <c r="S129" s="998"/>
      <c r="T129" s="998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35">
      <c r="I130" s="1000"/>
      <c r="L130" s="998" t="str">
        <f>IF(AND(Table2[[#This Row],[ORDER NO.]]&lt;&gt;"", Table2[[#This Row],[ORDER NO.]]=Data!$B$1),1,"")</f>
        <v/>
      </c>
      <c r="M130" s="998" t="str">
        <f>IFERROR(IF(AND(Table2[[#This Row],[SEREAL NO.]]&lt;&gt;"", Table2[[#This Row],[SEREAL NO.]]=Data!$A$103),1,""),"")</f>
        <v/>
      </c>
      <c r="N130" s="998" t="str">
        <f>IF(AND(Table2[[#This Row],[SIZE]]&lt;&gt;"", Table2[[#This Row],[SIZE]]=Data!$B$3),1,"")</f>
        <v/>
      </c>
      <c r="O130" s="998" t="str">
        <f>IF(AND(Table2[[#This Row],[TYPE]]&lt;&gt;"", Table2[[#This Row],[TYPE]]=Data!$B$4),1,"")</f>
        <v/>
      </c>
      <c r="P130" s="998" t="str">
        <f>IF(AND(Table2[[#This Row],[LV5 MAT NO.]]&lt;&gt;"", Table2[[#This Row],[LV5 MAT NO.]]=Data!$B$5),1,"")</f>
        <v/>
      </c>
      <c r="Q130" s="998" t="str">
        <f>IF(AND(Table2[[#This Row],[FROM]]&lt;&gt;"", Table2[[#This Row],[FROM]]=Data!$B$7),1,"")</f>
        <v/>
      </c>
      <c r="R130" s="998" t="str">
        <f>IF(AND(Table2[[#This Row],[LV3 or LV4 MAT NO.]]&lt;&gt;"", Table2[[#This Row],[LV3 or LV4 MAT NO.]]=Data!$B$8),1,"")</f>
        <v/>
      </c>
      <c r="S130" s="998"/>
      <c r="T130" s="998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35">
      <c r="I131" s="1000"/>
      <c r="L131" s="998" t="str">
        <f>IF(AND(Table2[[#This Row],[ORDER NO.]]&lt;&gt;"", Table2[[#This Row],[ORDER NO.]]=Data!$B$1),1,"")</f>
        <v/>
      </c>
      <c r="M131" s="998" t="str">
        <f>IFERROR(IF(AND(Table2[[#This Row],[SEREAL NO.]]&lt;&gt;"", Table2[[#This Row],[SEREAL NO.]]=Data!$A$103),1,""),"")</f>
        <v/>
      </c>
      <c r="N131" s="998" t="str">
        <f>IF(AND(Table2[[#This Row],[SIZE]]&lt;&gt;"", Table2[[#This Row],[SIZE]]=Data!$B$3),1,"")</f>
        <v/>
      </c>
      <c r="O131" s="998" t="str">
        <f>IF(AND(Table2[[#This Row],[TYPE]]&lt;&gt;"", Table2[[#This Row],[TYPE]]=Data!$B$4),1,"")</f>
        <v/>
      </c>
      <c r="P131" s="998" t="str">
        <f>IF(AND(Table2[[#This Row],[LV5 MAT NO.]]&lt;&gt;"", Table2[[#This Row],[LV5 MAT NO.]]=Data!$B$5),1,"")</f>
        <v/>
      </c>
      <c r="Q131" s="998" t="str">
        <f>IF(AND(Table2[[#This Row],[FROM]]&lt;&gt;"", Table2[[#This Row],[FROM]]=Data!$B$7),1,"")</f>
        <v/>
      </c>
      <c r="R131" s="998" t="str">
        <f>IF(AND(Table2[[#This Row],[LV3 or LV4 MAT NO.]]&lt;&gt;"", Table2[[#This Row],[LV3 or LV4 MAT NO.]]=Data!$B$8),1,"")</f>
        <v/>
      </c>
      <c r="S131" s="998"/>
      <c r="T131" s="998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35">
      <c r="I132" s="1000"/>
      <c r="L132" s="998" t="str">
        <f>IF(AND(Table2[[#This Row],[ORDER NO.]]&lt;&gt;"", Table2[[#This Row],[ORDER NO.]]=Data!$B$1),1,"")</f>
        <v/>
      </c>
      <c r="M132" s="998" t="str">
        <f>IFERROR(IF(AND(Table2[[#This Row],[SEREAL NO.]]&lt;&gt;"", Table2[[#This Row],[SEREAL NO.]]=Data!$A$103),1,""),"")</f>
        <v/>
      </c>
      <c r="N132" s="998" t="str">
        <f>IF(AND(Table2[[#This Row],[SIZE]]&lt;&gt;"", Table2[[#This Row],[SIZE]]=Data!$B$3),1,"")</f>
        <v/>
      </c>
      <c r="O132" s="998" t="str">
        <f>IF(AND(Table2[[#This Row],[TYPE]]&lt;&gt;"", Table2[[#This Row],[TYPE]]=Data!$B$4),1,"")</f>
        <v/>
      </c>
      <c r="P132" s="998" t="str">
        <f>IF(AND(Table2[[#This Row],[LV5 MAT NO.]]&lt;&gt;"", Table2[[#This Row],[LV5 MAT NO.]]=Data!$B$5),1,"")</f>
        <v/>
      </c>
      <c r="Q132" s="998" t="str">
        <f>IF(AND(Table2[[#This Row],[FROM]]&lt;&gt;"", Table2[[#This Row],[FROM]]=Data!$B$7),1,"")</f>
        <v/>
      </c>
      <c r="R132" s="998" t="str">
        <f>IF(AND(Table2[[#This Row],[LV3 or LV4 MAT NO.]]&lt;&gt;"", Table2[[#This Row],[LV3 or LV4 MAT NO.]]=Data!$B$8),1,"")</f>
        <v/>
      </c>
      <c r="S132" s="998"/>
      <c r="T132" s="998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35">
      <c r="I133" s="1000"/>
      <c r="L133" s="998" t="str">
        <f>IF(AND(Table2[[#This Row],[ORDER NO.]]&lt;&gt;"", Table2[[#This Row],[ORDER NO.]]=Data!$B$1),1,"")</f>
        <v/>
      </c>
      <c r="M133" s="998" t="str">
        <f>IFERROR(IF(AND(Table2[[#This Row],[SEREAL NO.]]&lt;&gt;"", Table2[[#This Row],[SEREAL NO.]]=Data!$A$103),1,""),"")</f>
        <v/>
      </c>
      <c r="N133" s="998" t="str">
        <f>IF(AND(Table2[[#This Row],[SIZE]]&lt;&gt;"", Table2[[#This Row],[SIZE]]=Data!$B$3),1,"")</f>
        <v/>
      </c>
      <c r="O133" s="998" t="str">
        <f>IF(AND(Table2[[#This Row],[TYPE]]&lt;&gt;"", Table2[[#This Row],[TYPE]]=Data!$B$4),1,"")</f>
        <v/>
      </c>
      <c r="P133" s="998" t="str">
        <f>IF(AND(Table2[[#This Row],[LV5 MAT NO.]]&lt;&gt;"", Table2[[#This Row],[LV5 MAT NO.]]=Data!$B$5),1,"")</f>
        <v/>
      </c>
      <c r="Q133" s="998" t="str">
        <f>IF(AND(Table2[[#This Row],[FROM]]&lt;&gt;"", Table2[[#This Row],[FROM]]=Data!$B$7),1,"")</f>
        <v/>
      </c>
      <c r="R133" s="998" t="str">
        <f>IF(AND(Table2[[#This Row],[LV3 or LV4 MAT NO.]]&lt;&gt;"", Table2[[#This Row],[LV3 or LV4 MAT NO.]]=Data!$B$8),1,"")</f>
        <v/>
      </c>
      <c r="S133" s="998"/>
      <c r="T133" s="998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35">
      <c r="I134" s="1000"/>
      <c r="L134" s="998" t="str">
        <f>IF(AND(Table2[[#This Row],[ORDER NO.]]&lt;&gt;"", Table2[[#This Row],[ORDER NO.]]=Data!$B$1),1,"")</f>
        <v/>
      </c>
      <c r="M134" s="998" t="str">
        <f>IFERROR(IF(AND(Table2[[#This Row],[SEREAL NO.]]&lt;&gt;"", Table2[[#This Row],[SEREAL NO.]]=Data!$A$103),1,""),"")</f>
        <v/>
      </c>
      <c r="N134" s="998" t="str">
        <f>IF(AND(Table2[[#This Row],[SIZE]]&lt;&gt;"", Table2[[#This Row],[SIZE]]=Data!$B$3),1,"")</f>
        <v/>
      </c>
      <c r="O134" s="998" t="str">
        <f>IF(AND(Table2[[#This Row],[TYPE]]&lt;&gt;"", Table2[[#This Row],[TYPE]]=Data!$B$4),1,"")</f>
        <v/>
      </c>
      <c r="P134" s="998" t="str">
        <f>IF(AND(Table2[[#This Row],[LV5 MAT NO.]]&lt;&gt;"", Table2[[#This Row],[LV5 MAT NO.]]=Data!$B$5),1,"")</f>
        <v/>
      </c>
      <c r="Q134" s="998" t="str">
        <f>IF(AND(Table2[[#This Row],[FROM]]&lt;&gt;"", Table2[[#This Row],[FROM]]=Data!$B$7),1,"")</f>
        <v/>
      </c>
      <c r="R134" s="998" t="str">
        <f>IF(AND(Table2[[#This Row],[LV3 or LV4 MAT NO.]]&lt;&gt;"", Table2[[#This Row],[LV3 or LV4 MAT NO.]]=Data!$B$8),1,"")</f>
        <v/>
      </c>
      <c r="S134" s="998"/>
      <c r="T134" s="998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35">
      <c r="I135" s="1000"/>
      <c r="L135" s="998" t="str">
        <f>IF(AND(Table2[[#This Row],[ORDER NO.]]&lt;&gt;"", Table2[[#This Row],[ORDER NO.]]=Data!$B$1),1,"")</f>
        <v/>
      </c>
      <c r="M135" s="998" t="str">
        <f>IFERROR(IF(AND(Table2[[#This Row],[SEREAL NO.]]&lt;&gt;"", Table2[[#This Row],[SEREAL NO.]]=Data!$A$103),1,""),"")</f>
        <v/>
      </c>
      <c r="N135" s="998" t="str">
        <f>IF(AND(Table2[[#This Row],[SIZE]]&lt;&gt;"", Table2[[#This Row],[SIZE]]=Data!$B$3),1,"")</f>
        <v/>
      </c>
      <c r="O135" s="998" t="str">
        <f>IF(AND(Table2[[#This Row],[TYPE]]&lt;&gt;"", Table2[[#This Row],[TYPE]]=Data!$B$4),1,"")</f>
        <v/>
      </c>
      <c r="P135" s="998" t="str">
        <f>IF(AND(Table2[[#This Row],[LV5 MAT NO.]]&lt;&gt;"", Table2[[#This Row],[LV5 MAT NO.]]=Data!$B$5),1,"")</f>
        <v/>
      </c>
      <c r="Q135" s="998" t="str">
        <f>IF(AND(Table2[[#This Row],[FROM]]&lt;&gt;"", Table2[[#This Row],[FROM]]=Data!$B$7),1,"")</f>
        <v/>
      </c>
      <c r="R135" s="998" t="str">
        <f>IF(AND(Table2[[#This Row],[LV3 or LV4 MAT NO.]]&lt;&gt;"", Table2[[#This Row],[LV3 or LV4 MAT NO.]]=Data!$B$8),1,"")</f>
        <v/>
      </c>
      <c r="S135" s="998"/>
      <c r="T135" s="998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35">
      <c r="I136" s="1000"/>
      <c r="L136" s="998" t="str">
        <f>IF(AND(Table2[[#This Row],[ORDER NO.]]&lt;&gt;"", Table2[[#This Row],[ORDER NO.]]=Data!$B$1),1,"")</f>
        <v/>
      </c>
      <c r="M136" s="998" t="str">
        <f>IFERROR(IF(AND(Table2[[#This Row],[SEREAL NO.]]&lt;&gt;"", Table2[[#This Row],[SEREAL NO.]]=Data!$A$103),1,""),"")</f>
        <v/>
      </c>
      <c r="N136" s="998" t="str">
        <f>IF(AND(Table2[[#This Row],[SIZE]]&lt;&gt;"", Table2[[#This Row],[SIZE]]=Data!$B$3),1,"")</f>
        <v/>
      </c>
      <c r="O136" s="998" t="str">
        <f>IF(AND(Table2[[#This Row],[TYPE]]&lt;&gt;"", Table2[[#This Row],[TYPE]]=Data!$B$4),1,"")</f>
        <v/>
      </c>
      <c r="P136" s="998" t="str">
        <f>IF(AND(Table2[[#This Row],[LV5 MAT NO.]]&lt;&gt;"", Table2[[#This Row],[LV5 MAT NO.]]=Data!$B$5),1,"")</f>
        <v/>
      </c>
      <c r="Q136" s="998" t="str">
        <f>IF(AND(Table2[[#This Row],[FROM]]&lt;&gt;"", Table2[[#This Row],[FROM]]=Data!$B$7),1,"")</f>
        <v/>
      </c>
      <c r="R136" s="998" t="str">
        <f>IF(AND(Table2[[#This Row],[LV3 or LV4 MAT NO.]]&lt;&gt;"", Table2[[#This Row],[LV3 or LV4 MAT NO.]]=Data!$B$8),1,"")</f>
        <v/>
      </c>
      <c r="S136" s="998"/>
      <c r="T136" s="998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35">
      <c r="I137" s="1000"/>
      <c r="L137" s="998" t="str">
        <f>IF(AND(Table2[[#This Row],[ORDER NO.]]&lt;&gt;"", Table2[[#This Row],[ORDER NO.]]=Data!$B$1),1,"")</f>
        <v/>
      </c>
      <c r="M137" s="998" t="str">
        <f>IFERROR(IF(AND(Table2[[#This Row],[SEREAL NO.]]&lt;&gt;"", Table2[[#This Row],[SEREAL NO.]]=Data!$A$103),1,""),"")</f>
        <v/>
      </c>
      <c r="N137" s="998" t="str">
        <f>IF(AND(Table2[[#This Row],[SIZE]]&lt;&gt;"", Table2[[#This Row],[SIZE]]=Data!$B$3),1,"")</f>
        <v/>
      </c>
      <c r="O137" s="998" t="str">
        <f>IF(AND(Table2[[#This Row],[TYPE]]&lt;&gt;"", Table2[[#This Row],[TYPE]]=Data!$B$4),1,"")</f>
        <v/>
      </c>
      <c r="P137" s="998" t="str">
        <f>IF(AND(Table2[[#This Row],[LV5 MAT NO.]]&lt;&gt;"", Table2[[#This Row],[LV5 MAT NO.]]=Data!$B$5),1,"")</f>
        <v/>
      </c>
      <c r="Q137" s="998" t="str">
        <f>IF(AND(Table2[[#This Row],[FROM]]&lt;&gt;"", Table2[[#This Row],[FROM]]=Data!$B$7),1,"")</f>
        <v/>
      </c>
      <c r="R137" s="998" t="str">
        <f>IF(AND(Table2[[#This Row],[LV3 or LV4 MAT NO.]]&lt;&gt;"", Table2[[#This Row],[LV3 or LV4 MAT NO.]]=Data!$B$8),1,"")</f>
        <v/>
      </c>
      <c r="S137" s="998"/>
      <c r="T137" s="998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35">
      <c r="I138" s="1000"/>
      <c r="L138" s="998" t="str">
        <f>IF(AND(Table2[[#This Row],[ORDER NO.]]&lt;&gt;"", Table2[[#This Row],[ORDER NO.]]=Data!$B$1),1,"")</f>
        <v/>
      </c>
      <c r="M138" s="998" t="str">
        <f>IFERROR(IF(AND(Table2[[#This Row],[SEREAL NO.]]&lt;&gt;"", Table2[[#This Row],[SEREAL NO.]]=Data!$A$103),1,""),"")</f>
        <v/>
      </c>
      <c r="N138" s="998" t="str">
        <f>IF(AND(Table2[[#This Row],[SIZE]]&lt;&gt;"", Table2[[#This Row],[SIZE]]=Data!$B$3),1,"")</f>
        <v/>
      </c>
      <c r="O138" s="998" t="str">
        <f>IF(AND(Table2[[#This Row],[TYPE]]&lt;&gt;"", Table2[[#This Row],[TYPE]]=Data!$B$4),1,"")</f>
        <v/>
      </c>
      <c r="P138" s="998" t="str">
        <f>IF(AND(Table2[[#This Row],[LV5 MAT NO.]]&lt;&gt;"", Table2[[#This Row],[LV5 MAT NO.]]=Data!$B$5),1,"")</f>
        <v/>
      </c>
      <c r="Q138" s="998" t="str">
        <f>IF(AND(Table2[[#This Row],[FROM]]&lt;&gt;"", Table2[[#This Row],[FROM]]=Data!$B$7),1,"")</f>
        <v/>
      </c>
      <c r="R138" s="998" t="str">
        <f>IF(AND(Table2[[#This Row],[LV3 or LV4 MAT NO.]]&lt;&gt;"", Table2[[#This Row],[LV3 or LV4 MAT NO.]]=Data!$B$8),1,"")</f>
        <v/>
      </c>
      <c r="S138" s="998"/>
      <c r="T138" s="998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35">
      <c r="I139" s="1000"/>
      <c r="L139" s="998" t="str">
        <f>IF(AND(Table2[[#This Row],[ORDER NO.]]&lt;&gt;"", Table2[[#This Row],[ORDER NO.]]=Data!$B$1),1,"")</f>
        <v/>
      </c>
      <c r="M139" s="998" t="str">
        <f>IFERROR(IF(AND(Table2[[#This Row],[SEREAL NO.]]&lt;&gt;"", Table2[[#This Row],[SEREAL NO.]]=Data!$A$103),1,""),"")</f>
        <v/>
      </c>
      <c r="N139" s="998" t="str">
        <f>IF(AND(Table2[[#This Row],[SIZE]]&lt;&gt;"", Table2[[#This Row],[SIZE]]=Data!$B$3),1,"")</f>
        <v/>
      </c>
      <c r="O139" s="998" t="str">
        <f>IF(AND(Table2[[#This Row],[TYPE]]&lt;&gt;"", Table2[[#This Row],[TYPE]]=Data!$B$4),1,"")</f>
        <v/>
      </c>
      <c r="P139" s="998" t="str">
        <f>IF(AND(Table2[[#This Row],[LV5 MAT NO.]]&lt;&gt;"", Table2[[#This Row],[LV5 MAT NO.]]=Data!$B$5),1,"")</f>
        <v/>
      </c>
      <c r="Q139" s="998" t="str">
        <f>IF(AND(Table2[[#This Row],[FROM]]&lt;&gt;"", Table2[[#This Row],[FROM]]=Data!$B$7),1,"")</f>
        <v/>
      </c>
      <c r="R139" s="998" t="str">
        <f>IF(AND(Table2[[#This Row],[LV3 or LV4 MAT NO.]]&lt;&gt;"", Table2[[#This Row],[LV3 or LV4 MAT NO.]]=Data!$B$8),1,"")</f>
        <v/>
      </c>
      <c r="S139" s="998"/>
      <c r="T139" s="998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35">
      <c r="I140" s="1000"/>
      <c r="L140" s="998" t="str">
        <f>IF(AND(Table2[[#This Row],[ORDER NO.]]&lt;&gt;"", Table2[[#This Row],[ORDER NO.]]=Data!$B$1),1,"")</f>
        <v/>
      </c>
      <c r="M140" s="998" t="str">
        <f>IFERROR(IF(AND(Table2[[#This Row],[SEREAL NO.]]&lt;&gt;"", Table2[[#This Row],[SEREAL NO.]]=Data!$A$103),1,""),"")</f>
        <v/>
      </c>
      <c r="N140" s="998" t="str">
        <f>IF(AND(Table2[[#This Row],[SIZE]]&lt;&gt;"", Table2[[#This Row],[SIZE]]=Data!$B$3),1,"")</f>
        <v/>
      </c>
      <c r="O140" s="998" t="str">
        <f>IF(AND(Table2[[#This Row],[TYPE]]&lt;&gt;"", Table2[[#This Row],[TYPE]]=Data!$B$4),1,"")</f>
        <v/>
      </c>
      <c r="P140" s="998" t="str">
        <f>IF(AND(Table2[[#This Row],[LV5 MAT NO.]]&lt;&gt;"", Table2[[#This Row],[LV5 MAT NO.]]=Data!$B$5),1,"")</f>
        <v/>
      </c>
      <c r="Q140" s="998" t="str">
        <f>IF(AND(Table2[[#This Row],[FROM]]&lt;&gt;"", Table2[[#This Row],[FROM]]=Data!$B$7),1,"")</f>
        <v/>
      </c>
      <c r="R140" s="998" t="str">
        <f>IF(AND(Table2[[#This Row],[LV3 or LV4 MAT NO.]]&lt;&gt;"", Table2[[#This Row],[LV3 or LV4 MAT NO.]]=Data!$B$8),1,"")</f>
        <v/>
      </c>
      <c r="S140" s="998"/>
      <c r="T140" s="998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35">
      <c r="I141" s="1000"/>
      <c r="L141" s="998" t="str">
        <f>IF(AND(Table2[[#This Row],[ORDER NO.]]&lt;&gt;"", Table2[[#This Row],[ORDER NO.]]=Data!$B$1),1,"")</f>
        <v/>
      </c>
      <c r="M141" s="998" t="str">
        <f>IFERROR(IF(AND(Table2[[#This Row],[SEREAL NO.]]&lt;&gt;"", Table2[[#This Row],[SEREAL NO.]]=Data!$A$103),1,""),"")</f>
        <v/>
      </c>
      <c r="N141" s="998" t="str">
        <f>IF(AND(Table2[[#This Row],[SIZE]]&lt;&gt;"", Table2[[#This Row],[SIZE]]=Data!$B$3),1,"")</f>
        <v/>
      </c>
      <c r="O141" s="998" t="str">
        <f>IF(AND(Table2[[#This Row],[TYPE]]&lt;&gt;"", Table2[[#This Row],[TYPE]]=Data!$B$4),1,"")</f>
        <v/>
      </c>
      <c r="P141" s="998" t="str">
        <f>IF(AND(Table2[[#This Row],[LV5 MAT NO.]]&lt;&gt;"", Table2[[#This Row],[LV5 MAT NO.]]=Data!$B$5),1,"")</f>
        <v/>
      </c>
      <c r="Q141" s="998" t="str">
        <f>IF(AND(Table2[[#This Row],[FROM]]&lt;&gt;"", Table2[[#This Row],[FROM]]=Data!$B$7),1,"")</f>
        <v/>
      </c>
      <c r="R141" s="998" t="str">
        <f>IF(AND(Table2[[#This Row],[LV3 or LV4 MAT NO.]]&lt;&gt;"", Table2[[#This Row],[LV3 or LV4 MAT NO.]]=Data!$B$8),1,"")</f>
        <v/>
      </c>
      <c r="S141" s="998"/>
      <c r="T141" s="998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35">
      <c r="I142" s="1000"/>
      <c r="L142" s="998" t="str">
        <f>IF(AND(Table2[[#This Row],[ORDER NO.]]&lt;&gt;"", Table2[[#This Row],[ORDER NO.]]=Data!$B$1),1,"")</f>
        <v/>
      </c>
      <c r="M142" s="998" t="str">
        <f>IFERROR(IF(AND(Table2[[#This Row],[SEREAL NO.]]&lt;&gt;"", Table2[[#This Row],[SEREAL NO.]]=Data!$A$103),1,""),"")</f>
        <v/>
      </c>
      <c r="N142" s="998" t="str">
        <f>IF(AND(Table2[[#This Row],[SIZE]]&lt;&gt;"", Table2[[#This Row],[SIZE]]=Data!$B$3),1,"")</f>
        <v/>
      </c>
      <c r="O142" s="998" t="str">
        <f>IF(AND(Table2[[#This Row],[TYPE]]&lt;&gt;"", Table2[[#This Row],[TYPE]]=Data!$B$4),1,"")</f>
        <v/>
      </c>
      <c r="P142" s="998" t="str">
        <f>IF(AND(Table2[[#This Row],[LV5 MAT NO.]]&lt;&gt;"", Table2[[#This Row],[LV5 MAT NO.]]=Data!$B$5),1,"")</f>
        <v/>
      </c>
      <c r="Q142" s="998" t="str">
        <f>IF(AND(Table2[[#This Row],[FROM]]&lt;&gt;"", Table2[[#This Row],[FROM]]=Data!$B$7),1,"")</f>
        <v/>
      </c>
      <c r="R142" s="998" t="str">
        <f>IF(AND(Table2[[#This Row],[LV3 or LV4 MAT NO.]]&lt;&gt;"", Table2[[#This Row],[LV3 or LV4 MAT NO.]]=Data!$B$8),1,"")</f>
        <v/>
      </c>
      <c r="S142" s="998"/>
      <c r="T142" s="998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35">
      <c r="I143" s="1000"/>
      <c r="L143" s="998" t="str">
        <f>IF(AND(Table2[[#This Row],[ORDER NO.]]&lt;&gt;"", Table2[[#This Row],[ORDER NO.]]=Data!$B$1),1,"")</f>
        <v/>
      </c>
      <c r="M143" s="998" t="str">
        <f>IFERROR(IF(AND(Table2[[#This Row],[SEREAL NO.]]&lt;&gt;"", Table2[[#This Row],[SEREAL NO.]]=Data!$A$103),1,""),"")</f>
        <v/>
      </c>
      <c r="N143" s="998" t="str">
        <f>IF(AND(Table2[[#This Row],[SIZE]]&lt;&gt;"", Table2[[#This Row],[SIZE]]=Data!$B$3),1,"")</f>
        <v/>
      </c>
      <c r="O143" s="998" t="str">
        <f>IF(AND(Table2[[#This Row],[TYPE]]&lt;&gt;"", Table2[[#This Row],[TYPE]]=Data!$B$4),1,"")</f>
        <v/>
      </c>
      <c r="P143" s="998" t="str">
        <f>IF(AND(Table2[[#This Row],[LV5 MAT NO.]]&lt;&gt;"", Table2[[#This Row],[LV5 MAT NO.]]=Data!$B$5),1,"")</f>
        <v/>
      </c>
      <c r="Q143" s="998" t="str">
        <f>IF(AND(Table2[[#This Row],[FROM]]&lt;&gt;"", Table2[[#This Row],[FROM]]=Data!$B$7),1,"")</f>
        <v/>
      </c>
      <c r="R143" s="998" t="str">
        <f>IF(AND(Table2[[#This Row],[LV3 or LV4 MAT NO.]]&lt;&gt;"", Table2[[#This Row],[LV3 or LV4 MAT NO.]]=Data!$B$8),1,"")</f>
        <v/>
      </c>
      <c r="S143" s="998"/>
      <c r="T143" s="998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35">
      <c r="I144" s="1000"/>
      <c r="L144" s="998" t="str">
        <f>IF(AND(Table2[[#This Row],[ORDER NO.]]&lt;&gt;"", Table2[[#This Row],[ORDER NO.]]=Data!$B$1),1,"")</f>
        <v/>
      </c>
      <c r="M144" s="998" t="str">
        <f>IFERROR(IF(AND(Table2[[#This Row],[SEREAL NO.]]&lt;&gt;"", Table2[[#This Row],[SEREAL NO.]]=Data!$A$103),1,""),"")</f>
        <v/>
      </c>
      <c r="N144" s="998" t="str">
        <f>IF(AND(Table2[[#This Row],[SIZE]]&lt;&gt;"", Table2[[#This Row],[SIZE]]=Data!$B$3),1,"")</f>
        <v/>
      </c>
      <c r="O144" s="998" t="str">
        <f>IF(AND(Table2[[#This Row],[TYPE]]&lt;&gt;"", Table2[[#This Row],[TYPE]]=Data!$B$4),1,"")</f>
        <v/>
      </c>
      <c r="P144" s="998" t="str">
        <f>IF(AND(Table2[[#This Row],[LV5 MAT NO.]]&lt;&gt;"", Table2[[#This Row],[LV5 MAT NO.]]=Data!$B$5),1,"")</f>
        <v/>
      </c>
      <c r="Q144" s="998" t="str">
        <f>IF(AND(Table2[[#This Row],[FROM]]&lt;&gt;"", Table2[[#This Row],[FROM]]=Data!$B$7),1,"")</f>
        <v/>
      </c>
      <c r="R144" s="998" t="str">
        <f>IF(AND(Table2[[#This Row],[LV3 or LV4 MAT NO.]]&lt;&gt;"", Table2[[#This Row],[LV3 or LV4 MAT NO.]]=Data!$B$8),1,"")</f>
        <v/>
      </c>
      <c r="S144" s="998"/>
      <c r="T144" s="998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35">
      <c r="I145" s="1000"/>
      <c r="L145" s="998" t="str">
        <f>IF(AND(Table2[[#This Row],[ORDER NO.]]&lt;&gt;"", Table2[[#This Row],[ORDER NO.]]=Data!$B$1),1,"")</f>
        <v/>
      </c>
      <c r="M145" s="998" t="str">
        <f>IFERROR(IF(AND(Table2[[#This Row],[SEREAL NO.]]&lt;&gt;"", Table2[[#This Row],[SEREAL NO.]]=Data!$A$103),1,""),"")</f>
        <v/>
      </c>
      <c r="N145" s="998" t="str">
        <f>IF(AND(Table2[[#This Row],[SIZE]]&lt;&gt;"", Table2[[#This Row],[SIZE]]=Data!$B$3),1,"")</f>
        <v/>
      </c>
      <c r="O145" s="998" t="str">
        <f>IF(AND(Table2[[#This Row],[TYPE]]&lt;&gt;"", Table2[[#This Row],[TYPE]]=Data!$B$4),1,"")</f>
        <v/>
      </c>
      <c r="P145" s="998" t="str">
        <f>IF(AND(Table2[[#This Row],[LV5 MAT NO.]]&lt;&gt;"", Table2[[#This Row],[LV5 MAT NO.]]=Data!$B$5),1,"")</f>
        <v/>
      </c>
      <c r="Q145" s="998" t="str">
        <f>IF(AND(Table2[[#This Row],[FROM]]&lt;&gt;"", Table2[[#This Row],[FROM]]=Data!$B$7),1,"")</f>
        <v/>
      </c>
      <c r="R145" s="998" t="str">
        <f>IF(AND(Table2[[#This Row],[LV3 or LV4 MAT NO.]]&lt;&gt;"", Table2[[#This Row],[LV3 or LV4 MAT NO.]]=Data!$B$8),1,"")</f>
        <v/>
      </c>
      <c r="S145" s="998"/>
      <c r="T145" s="998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35">
      <c r="I146" s="1000"/>
      <c r="L146" s="998" t="str">
        <f>IF(AND(Table2[[#This Row],[ORDER NO.]]&lt;&gt;"", Table2[[#This Row],[ORDER NO.]]=Data!$B$1),1,"")</f>
        <v/>
      </c>
      <c r="M146" s="998" t="str">
        <f>IFERROR(IF(AND(Table2[[#This Row],[SEREAL NO.]]&lt;&gt;"", Table2[[#This Row],[SEREAL NO.]]=Data!$A$103),1,""),"")</f>
        <v/>
      </c>
      <c r="N146" s="998" t="str">
        <f>IF(AND(Table2[[#This Row],[SIZE]]&lt;&gt;"", Table2[[#This Row],[SIZE]]=Data!$B$3),1,"")</f>
        <v/>
      </c>
      <c r="O146" s="998" t="str">
        <f>IF(AND(Table2[[#This Row],[TYPE]]&lt;&gt;"", Table2[[#This Row],[TYPE]]=Data!$B$4),1,"")</f>
        <v/>
      </c>
      <c r="P146" s="998" t="str">
        <f>IF(AND(Table2[[#This Row],[LV5 MAT NO.]]&lt;&gt;"", Table2[[#This Row],[LV5 MAT NO.]]=Data!$B$5),1,"")</f>
        <v/>
      </c>
      <c r="Q146" s="998" t="str">
        <f>IF(AND(Table2[[#This Row],[FROM]]&lt;&gt;"", Table2[[#This Row],[FROM]]=Data!$B$7),1,"")</f>
        <v/>
      </c>
      <c r="R146" s="998" t="str">
        <f>IF(AND(Table2[[#This Row],[LV3 or LV4 MAT NO.]]&lt;&gt;"", Table2[[#This Row],[LV3 or LV4 MAT NO.]]=Data!$B$8),1,"")</f>
        <v/>
      </c>
      <c r="S146" s="998"/>
      <c r="T146" s="998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35">
      <c r="I147" s="1000"/>
      <c r="L147" s="998" t="str">
        <f>IF(AND(Table2[[#This Row],[ORDER NO.]]&lt;&gt;"", Table2[[#This Row],[ORDER NO.]]=Data!$B$1),1,"")</f>
        <v/>
      </c>
      <c r="M147" s="998" t="str">
        <f>IFERROR(IF(AND(Table2[[#This Row],[SEREAL NO.]]&lt;&gt;"", Table2[[#This Row],[SEREAL NO.]]=Data!$A$103),1,""),"")</f>
        <v/>
      </c>
      <c r="N147" s="998" t="str">
        <f>IF(AND(Table2[[#This Row],[SIZE]]&lt;&gt;"", Table2[[#This Row],[SIZE]]=Data!$B$3),1,"")</f>
        <v/>
      </c>
      <c r="O147" s="998" t="str">
        <f>IF(AND(Table2[[#This Row],[TYPE]]&lt;&gt;"", Table2[[#This Row],[TYPE]]=Data!$B$4),1,"")</f>
        <v/>
      </c>
      <c r="P147" s="998" t="str">
        <f>IF(AND(Table2[[#This Row],[LV5 MAT NO.]]&lt;&gt;"", Table2[[#This Row],[LV5 MAT NO.]]=Data!$B$5),1,"")</f>
        <v/>
      </c>
      <c r="Q147" s="998" t="str">
        <f>IF(AND(Table2[[#This Row],[FROM]]&lt;&gt;"", Table2[[#This Row],[FROM]]=Data!$B$7),1,"")</f>
        <v/>
      </c>
      <c r="R147" s="998" t="str">
        <f>IF(AND(Table2[[#This Row],[LV3 or LV4 MAT NO.]]&lt;&gt;"", Table2[[#This Row],[LV3 or LV4 MAT NO.]]=Data!$B$8),1,"")</f>
        <v/>
      </c>
      <c r="S147" s="998"/>
      <c r="T147" s="998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35">
      <c r="I148" s="1000"/>
      <c r="L148" s="998" t="str">
        <f>IF(AND(Table2[[#This Row],[ORDER NO.]]&lt;&gt;"", Table2[[#This Row],[ORDER NO.]]=Data!$B$1),1,"")</f>
        <v/>
      </c>
      <c r="M148" s="998" t="str">
        <f>IFERROR(IF(AND(Table2[[#This Row],[SEREAL NO.]]&lt;&gt;"", Table2[[#This Row],[SEREAL NO.]]=Data!$A$103),1,""),"")</f>
        <v/>
      </c>
      <c r="N148" s="998" t="str">
        <f>IF(AND(Table2[[#This Row],[SIZE]]&lt;&gt;"", Table2[[#This Row],[SIZE]]=Data!$B$3),1,"")</f>
        <v/>
      </c>
      <c r="O148" s="998" t="str">
        <f>IF(AND(Table2[[#This Row],[TYPE]]&lt;&gt;"", Table2[[#This Row],[TYPE]]=Data!$B$4),1,"")</f>
        <v/>
      </c>
      <c r="P148" s="998" t="str">
        <f>IF(AND(Table2[[#This Row],[LV5 MAT NO.]]&lt;&gt;"", Table2[[#This Row],[LV5 MAT NO.]]=Data!$B$5),1,"")</f>
        <v/>
      </c>
      <c r="Q148" s="998" t="str">
        <f>IF(AND(Table2[[#This Row],[FROM]]&lt;&gt;"", Table2[[#This Row],[FROM]]=Data!$B$7),1,"")</f>
        <v/>
      </c>
      <c r="R148" s="998" t="str">
        <f>IF(AND(Table2[[#This Row],[LV3 or LV4 MAT NO.]]&lt;&gt;"", Table2[[#This Row],[LV3 or LV4 MAT NO.]]=Data!$B$8),1,"")</f>
        <v/>
      </c>
      <c r="S148" s="998"/>
      <c r="T148" s="998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35">
      <c r="I149" s="1000"/>
      <c r="L149" s="998" t="str">
        <f>IF(AND(Table2[[#This Row],[ORDER NO.]]&lt;&gt;"", Table2[[#This Row],[ORDER NO.]]=Data!$B$1),1,"")</f>
        <v/>
      </c>
      <c r="M149" s="998" t="str">
        <f>IFERROR(IF(AND(Table2[[#This Row],[SEREAL NO.]]&lt;&gt;"", Table2[[#This Row],[SEREAL NO.]]=Data!$A$103),1,""),"")</f>
        <v/>
      </c>
      <c r="N149" s="998" t="str">
        <f>IF(AND(Table2[[#This Row],[SIZE]]&lt;&gt;"", Table2[[#This Row],[SIZE]]=Data!$B$3),1,"")</f>
        <v/>
      </c>
      <c r="O149" s="998" t="str">
        <f>IF(AND(Table2[[#This Row],[TYPE]]&lt;&gt;"", Table2[[#This Row],[TYPE]]=Data!$B$4),1,"")</f>
        <v/>
      </c>
      <c r="P149" s="998" t="str">
        <f>IF(AND(Table2[[#This Row],[LV5 MAT NO.]]&lt;&gt;"", Table2[[#This Row],[LV5 MAT NO.]]=Data!$B$5),1,"")</f>
        <v/>
      </c>
      <c r="Q149" s="998" t="str">
        <f>IF(AND(Table2[[#This Row],[FROM]]&lt;&gt;"", Table2[[#This Row],[FROM]]=Data!$B$7),1,"")</f>
        <v/>
      </c>
      <c r="R149" s="998" t="str">
        <f>IF(AND(Table2[[#This Row],[LV3 or LV4 MAT NO.]]&lt;&gt;"", Table2[[#This Row],[LV3 or LV4 MAT NO.]]=Data!$B$8),1,"")</f>
        <v/>
      </c>
      <c r="S149" s="998"/>
      <c r="T149" s="998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35">
      <c r="I150" s="1000"/>
      <c r="L150" s="998" t="str">
        <f>IF(AND(Table2[[#This Row],[ORDER NO.]]&lt;&gt;"", Table2[[#This Row],[ORDER NO.]]=Data!$B$1),1,"")</f>
        <v/>
      </c>
      <c r="M150" s="998" t="str">
        <f>IFERROR(IF(AND(Table2[[#This Row],[SEREAL NO.]]&lt;&gt;"", Table2[[#This Row],[SEREAL NO.]]=Data!$A$103),1,""),"")</f>
        <v/>
      </c>
      <c r="N150" s="998" t="str">
        <f>IF(AND(Table2[[#This Row],[SIZE]]&lt;&gt;"", Table2[[#This Row],[SIZE]]=Data!$B$3),1,"")</f>
        <v/>
      </c>
      <c r="O150" s="998" t="str">
        <f>IF(AND(Table2[[#This Row],[TYPE]]&lt;&gt;"", Table2[[#This Row],[TYPE]]=Data!$B$4),1,"")</f>
        <v/>
      </c>
      <c r="P150" s="998" t="str">
        <f>IF(AND(Table2[[#This Row],[LV5 MAT NO.]]&lt;&gt;"", Table2[[#This Row],[LV5 MAT NO.]]=Data!$B$5),1,"")</f>
        <v/>
      </c>
      <c r="Q150" s="998" t="str">
        <f>IF(AND(Table2[[#This Row],[FROM]]&lt;&gt;"", Table2[[#This Row],[FROM]]=Data!$B$7),1,"")</f>
        <v/>
      </c>
      <c r="R150" s="998" t="str">
        <f>IF(AND(Table2[[#This Row],[LV3 or LV4 MAT NO.]]&lt;&gt;"", Table2[[#This Row],[LV3 or LV4 MAT NO.]]=Data!$B$8),1,"")</f>
        <v/>
      </c>
      <c r="S150" s="998"/>
      <c r="T150" s="998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35">
      <c r="I151" s="1000"/>
      <c r="L151" s="998" t="str">
        <f>IF(AND(Table2[[#This Row],[ORDER NO.]]&lt;&gt;"", Table2[[#This Row],[ORDER NO.]]=Data!$B$1),1,"")</f>
        <v/>
      </c>
      <c r="M151" s="998" t="str">
        <f>IFERROR(IF(AND(Table2[[#This Row],[SEREAL NO.]]&lt;&gt;"", Table2[[#This Row],[SEREAL NO.]]=Data!$A$103),1,""),"")</f>
        <v/>
      </c>
      <c r="N151" s="998" t="str">
        <f>IF(AND(Table2[[#This Row],[SIZE]]&lt;&gt;"", Table2[[#This Row],[SIZE]]=Data!$B$3),1,"")</f>
        <v/>
      </c>
      <c r="O151" s="998" t="str">
        <f>IF(AND(Table2[[#This Row],[TYPE]]&lt;&gt;"", Table2[[#This Row],[TYPE]]=Data!$B$4),1,"")</f>
        <v/>
      </c>
      <c r="P151" s="998" t="str">
        <f>IF(AND(Table2[[#This Row],[LV5 MAT NO.]]&lt;&gt;"", Table2[[#This Row],[LV5 MAT NO.]]=Data!$B$5),1,"")</f>
        <v/>
      </c>
      <c r="Q151" s="998" t="str">
        <f>IF(AND(Table2[[#This Row],[FROM]]&lt;&gt;"", Table2[[#This Row],[FROM]]=Data!$B$7),1,"")</f>
        <v/>
      </c>
      <c r="R151" s="998" t="str">
        <f>IF(AND(Table2[[#This Row],[LV3 or LV4 MAT NO.]]&lt;&gt;"", Table2[[#This Row],[LV3 or LV4 MAT NO.]]=Data!$B$8),1,"")</f>
        <v/>
      </c>
      <c r="S151" s="998"/>
      <c r="T151" s="998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35">
      <c r="I152" s="1000"/>
      <c r="L152" s="998" t="str">
        <f>IF(AND(Table2[[#This Row],[ORDER NO.]]&lt;&gt;"", Table2[[#This Row],[ORDER NO.]]=Data!$B$1),1,"")</f>
        <v/>
      </c>
      <c r="M152" s="998" t="str">
        <f>IFERROR(IF(AND(Table2[[#This Row],[SEREAL NO.]]&lt;&gt;"", Table2[[#This Row],[SEREAL NO.]]=Data!$A$103),1,""),"")</f>
        <v/>
      </c>
      <c r="N152" s="998" t="str">
        <f>IF(AND(Table2[[#This Row],[SIZE]]&lt;&gt;"", Table2[[#This Row],[SIZE]]=Data!$B$3),1,"")</f>
        <v/>
      </c>
      <c r="O152" s="998" t="str">
        <f>IF(AND(Table2[[#This Row],[TYPE]]&lt;&gt;"", Table2[[#This Row],[TYPE]]=Data!$B$4),1,"")</f>
        <v/>
      </c>
      <c r="P152" s="998" t="str">
        <f>IF(AND(Table2[[#This Row],[LV5 MAT NO.]]&lt;&gt;"", Table2[[#This Row],[LV5 MAT NO.]]=Data!$B$5),1,"")</f>
        <v/>
      </c>
      <c r="Q152" s="998" t="str">
        <f>IF(AND(Table2[[#This Row],[FROM]]&lt;&gt;"", Table2[[#This Row],[FROM]]=Data!$B$7),1,"")</f>
        <v/>
      </c>
      <c r="R152" s="998" t="str">
        <f>IF(AND(Table2[[#This Row],[LV3 or LV4 MAT NO.]]&lt;&gt;"", Table2[[#This Row],[LV3 or LV4 MAT NO.]]=Data!$B$8),1,"")</f>
        <v/>
      </c>
      <c r="S152" s="998"/>
      <c r="T152" s="998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35">
      <c r="I153" s="1000"/>
      <c r="L153" s="998" t="str">
        <f>IF(AND(Table2[[#This Row],[ORDER NO.]]&lt;&gt;"", Table2[[#This Row],[ORDER NO.]]=Data!$B$1),1,"")</f>
        <v/>
      </c>
      <c r="M153" s="998" t="str">
        <f>IFERROR(IF(AND(Table2[[#This Row],[SEREAL NO.]]&lt;&gt;"", Table2[[#This Row],[SEREAL NO.]]=Data!$A$103),1,""),"")</f>
        <v/>
      </c>
      <c r="N153" s="998" t="str">
        <f>IF(AND(Table2[[#This Row],[SIZE]]&lt;&gt;"", Table2[[#This Row],[SIZE]]=Data!$B$3),1,"")</f>
        <v/>
      </c>
      <c r="O153" s="998" t="str">
        <f>IF(AND(Table2[[#This Row],[TYPE]]&lt;&gt;"", Table2[[#This Row],[TYPE]]=Data!$B$4),1,"")</f>
        <v/>
      </c>
      <c r="P153" s="998" t="str">
        <f>IF(AND(Table2[[#This Row],[LV5 MAT NO.]]&lt;&gt;"", Table2[[#This Row],[LV5 MAT NO.]]=Data!$B$5),1,"")</f>
        <v/>
      </c>
      <c r="Q153" s="998" t="str">
        <f>IF(AND(Table2[[#This Row],[FROM]]&lt;&gt;"", Table2[[#This Row],[FROM]]=Data!$B$7),1,"")</f>
        <v/>
      </c>
      <c r="R153" s="998" t="str">
        <f>IF(AND(Table2[[#This Row],[LV3 or LV4 MAT NO.]]&lt;&gt;"", Table2[[#This Row],[LV3 or LV4 MAT NO.]]=Data!$B$8),1,"")</f>
        <v/>
      </c>
      <c r="S153" s="998"/>
      <c r="T153" s="998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35">
      <c r="I154" s="1000"/>
      <c r="L154" s="998" t="str">
        <f>IF(AND(Table2[[#This Row],[ORDER NO.]]&lt;&gt;"", Table2[[#This Row],[ORDER NO.]]=Data!$B$1),1,"")</f>
        <v/>
      </c>
      <c r="M154" s="998" t="str">
        <f>IFERROR(IF(AND(Table2[[#This Row],[SEREAL NO.]]&lt;&gt;"", Table2[[#This Row],[SEREAL NO.]]=Data!$A$103),1,""),"")</f>
        <v/>
      </c>
      <c r="N154" s="998" t="str">
        <f>IF(AND(Table2[[#This Row],[SIZE]]&lt;&gt;"", Table2[[#This Row],[SIZE]]=Data!$B$3),1,"")</f>
        <v/>
      </c>
      <c r="O154" s="998" t="str">
        <f>IF(AND(Table2[[#This Row],[TYPE]]&lt;&gt;"", Table2[[#This Row],[TYPE]]=Data!$B$4),1,"")</f>
        <v/>
      </c>
      <c r="P154" s="998" t="str">
        <f>IF(AND(Table2[[#This Row],[LV5 MAT NO.]]&lt;&gt;"", Table2[[#This Row],[LV5 MAT NO.]]=Data!$B$5),1,"")</f>
        <v/>
      </c>
      <c r="Q154" s="998" t="str">
        <f>IF(AND(Table2[[#This Row],[FROM]]&lt;&gt;"", Table2[[#This Row],[FROM]]=Data!$B$7),1,"")</f>
        <v/>
      </c>
      <c r="R154" s="998" t="str">
        <f>IF(AND(Table2[[#This Row],[LV3 or LV4 MAT NO.]]&lt;&gt;"", Table2[[#This Row],[LV3 or LV4 MAT NO.]]=Data!$B$8),1,"")</f>
        <v/>
      </c>
      <c r="S154" s="998"/>
      <c r="T154" s="998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35">
      <c r="I155" s="1000"/>
      <c r="L155" s="998" t="str">
        <f>IF(AND(Table2[[#This Row],[ORDER NO.]]&lt;&gt;"", Table2[[#This Row],[ORDER NO.]]=Data!$B$1),1,"")</f>
        <v/>
      </c>
      <c r="M155" s="998" t="str">
        <f>IFERROR(IF(AND(Table2[[#This Row],[SEREAL NO.]]&lt;&gt;"", Table2[[#This Row],[SEREAL NO.]]=Data!$A$103),1,""),"")</f>
        <v/>
      </c>
      <c r="N155" s="998" t="str">
        <f>IF(AND(Table2[[#This Row],[SIZE]]&lt;&gt;"", Table2[[#This Row],[SIZE]]=Data!$B$3),1,"")</f>
        <v/>
      </c>
      <c r="O155" s="998" t="str">
        <f>IF(AND(Table2[[#This Row],[TYPE]]&lt;&gt;"", Table2[[#This Row],[TYPE]]=Data!$B$4),1,"")</f>
        <v/>
      </c>
      <c r="P155" s="998" t="str">
        <f>IF(AND(Table2[[#This Row],[LV5 MAT NO.]]&lt;&gt;"", Table2[[#This Row],[LV5 MAT NO.]]=Data!$B$5),1,"")</f>
        <v/>
      </c>
      <c r="Q155" s="998" t="str">
        <f>IF(AND(Table2[[#This Row],[FROM]]&lt;&gt;"", Table2[[#This Row],[FROM]]=Data!$B$7),1,"")</f>
        <v/>
      </c>
      <c r="R155" s="998" t="str">
        <f>IF(AND(Table2[[#This Row],[LV3 or LV4 MAT NO.]]&lt;&gt;"", Table2[[#This Row],[LV3 or LV4 MAT NO.]]=Data!$B$8),1,"")</f>
        <v/>
      </c>
      <c r="S155" s="998"/>
      <c r="T155" s="998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35">
      <c r="I156" s="1000"/>
      <c r="L156" s="998" t="str">
        <f>IF(AND(Table2[[#This Row],[ORDER NO.]]&lt;&gt;"", Table2[[#This Row],[ORDER NO.]]=Data!$B$1),1,"")</f>
        <v/>
      </c>
      <c r="M156" s="998" t="str">
        <f>IFERROR(IF(AND(Table2[[#This Row],[SEREAL NO.]]&lt;&gt;"", Table2[[#This Row],[SEREAL NO.]]=Data!$A$103),1,""),"")</f>
        <v/>
      </c>
      <c r="N156" s="998" t="str">
        <f>IF(AND(Table2[[#This Row],[SIZE]]&lt;&gt;"", Table2[[#This Row],[SIZE]]=Data!$B$3),1,"")</f>
        <v/>
      </c>
      <c r="O156" s="998" t="str">
        <f>IF(AND(Table2[[#This Row],[TYPE]]&lt;&gt;"", Table2[[#This Row],[TYPE]]=Data!$B$4),1,"")</f>
        <v/>
      </c>
      <c r="P156" s="998" t="str">
        <f>IF(AND(Table2[[#This Row],[LV5 MAT NO.]]&lt;&gt;"", Table2[[#This Row],[LV5 MAT NO.]]=Data!$B$5),1,"")</f>
        <v/>
      </c>
      <c r="Q156" s="998" t="str">
        <f>IF(AND(Table2[[#This Row],[FROM]]&lt;&gt;"", Table2[[#This Row],[FROM]]=Data!$B$7),1,"")</f>
        <v/>
      </c>
      <c r="R156" s="998" t="str">
        <f>IF(AND(Table2[[#This Row],[LV3 or LV4 MAT NO.]]&lt;&gt;"", Table2[[#This Row],[LV3 or LV4 MAT NO.]]=Data!$B$8),1,"")</f>
        <v/>
      </c>
      <c r="S156" s="998"/>
      <c r="T156" s="998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35">
      <c r="I157" s="1000"/>
      <c r="L157" s="998" t="str">
        <f>IF(AND(Table2[[#This Row],[ORDER NO.]]&lt;&gt;"", Table2[[#This Row],[ORDER NO.]]=Data!$B$1),1,"")</f>
        <v/>
      </c>
      <c r="M157" s="998" t="str">
        <f>IFERROR(IF(AND(Table2[[#This Row],[SEREAL NO.]]&lt;&gt;"", Table2[[#This Row],[SEREAL NO.]]=Data!$A$103),1,""),"")</f>
        <v/>
      </c>
      <c r="N157" s="998" t="str">
        <f>IF(AND(Table2[[#This Row],[SIZE]]&lt;&gt;"", Table2[[#This Row],[SIZE]]=Data!$B$3),1,"")</f>
        <v/>
      </c>
      <c r="O157" s="998" t="str">
        <f>IF(AND(Table2[[#This Row],[TYPE]]&lt;&gt;"", Table2[[#This Row],[TYPE]]=Data!$B$4),1,"")</f>
        <v/>
      </c>
      <c r="P157" s="998" t="str">
        <f>IF(AND(Table2[[#This Row],[LV5 MAT NO.]]&lt;&gt;"", Table2[[#This Row],[LV5 MAT NO.]]=Data!$B$5),1,"")</f>
        <v/>
      </c>
      <c r="Q157" s="998" t="str">
        <f>IF(AND(Table2[[#This Row],[FROM]]&lt;&gt;"", Table2[[#This Row],[FROM]]=Data!$B$7),1,"")</f>
        <v/>
      </c>
      <c r="R157" s="998" t="str">
        <f>IF(AND(Table2[[#This Row],[LV3 or LV4 MAT NO.]]&lt;&gt;"", Table2[[#This Row],[LV3 or LV4 MAT NO.]]=Data!$B$8),1,"")</f>
        <v/>
      </c>
      <c r="S157" s="998"/>
      <c r="T157" s="998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35">
      <c r="I158" s="1000"/>
      <c r="L158" s="998" t="str">
        <f>IF(AND(Table2[[#This Row],[ORDER NO.]]&lt;&gt;"", Table2[[#This Row],[ORDER NO.]]=Data!$B$1),1,"")</f>
        <v/>
      </c>
      <c r="M158" s="998" t="str">
        <f>IFERROR(IF(AND(Table2[[#This Row],[SEREAL NO.]]&lt;&gt;"", Table2[[#This Row],[SEREAL NO.]]=Data!$A$103),1,""),"")</f>
        <v/>
      </c>
      <c r="N158" s="998" t="str">
        <f>IF(AND(Table2[[#This Row],[SIZE]]&lt;&gt;"", Table2[[#This Row],[SIZE]]=Data!$B$3),1,"")</f>
        <v/>
      </c>
      <c r="O158" s="998" t="str">
        <f>IF(AND(Table2[[#This Row],[TYPE]]&lt;&gt;"", Table2[[#This Row],[TYPE]]=Data!$B$4),1,"")</f>
        <v/>
      </c>
      <c r="P158" s="998" t="str">
        <f>IF(AND(Table2[[#This Row],[LV5 MAT NO.]]&lt;&gt;"", Table2[[#This Row],[LV5 MAT NO.]]=Data!$B$5),1,"")</f>
        <v/>
      </c>
      <c r="Q158" s="998" t="str">
        <f>IF(AND(Table2[[#This Row],[FROM]]&lt;&gt;"", Table2[[#This Row],[FROM]]=Data!$B$7),1,"")</f>
        <v/>
      </c>
      <c r="R158" s="998" t="str">
        <f>IF(AND(Table2[[#This Row],[LV3 or LV4 MAT NO.]]&lt;&gt;"", Table2[[#This Row],[LV3 or LV4 MAT NO.]]=Data!$B$8),1,"")</f>
        <v/>
      </c>
      <c r="S158" s="998"/>
      <c r="T158" s="998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35">
      <c r="I159" s="1000"/>
      <c r="L159" s="998" t="str">
        <f>IF(AND(Table2[[#This Row],[ORDER NO.]]&lt;&gt;"", Table2[[#This Row],[ORDER NO.]]=Data!$B$1),1,"")</f>
        <v/>
      </c>
      <c r="M159" s="998" t="str">
        <f>IFERROR(IF(AND(Table2[[#This Row],[SEREAL NO.]]&lt;&gt;"", Table2[[#This Row],[SEREAL NO.]]=Data!$A$103),1,""),"")</f>
        <v/>
      </c>
      <c r="N159" s="998" t="str">
        <f>IF(AND(Table2[[#This Row],[SIZE]]&lt;&gt;"", Table2[[#This Row],[SIZE]]=Data!$B$3),1,"")</f>
        <v/>
      </c>
      <c r="O159" s="998" t="str">
        <f>IF(AND(Table2[[#This Row],[TYPE]]&lt;&gt;"", Table2[[#This Row],[TYPE]]=Data!$B$4),1,"")</f>
        <v/>
      </c>
      <c r="P159" s="998" t="str">
        <f>IF(AND(Table2[[#This Row],[LV5 MAT NO.]]&lt;&gt;"", Table2[[#This Row],[LV5 MAT NO.]]=Data!$B$5),1,"")</f>
        <v/>
      </c>
      <c r="Q159" s="998" t="str">
        <f>IF(AND(Table2[[#This Row],[FROM]]&lt;&gt;"", Table2[[#This Row],[FROM]]=Data!$B$7),1,"")</f>
        <v/>
      </c>
      <c r="R159" s="998" t="str">
        <f>IF(AND(Table2[[#This Row],[LV3 or LV4 MAT NO.]]&lt;&gt;"", Table2[[#This Row],[LV3 or LV4 MAT NO.]]=Data!$B$8),1,"")</f>
        <v/>
      </c>
      <c r="S159" s="998"/>
      <c r="T159" s="998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35">
      <c r="I160" s="1000"/>
      <c r="L160" s="998" t="str">
        <f>IF(AND(Table2[[#This Row],[ORDER NO.]]&lt;&gt;"", Table2[[#This Row],[ORDER NO.]]=Data!$B$1),1,"")</f>
        <v/>
      </c>
      <c r="M160" s="998" t="str">
        <f>IFERROR(IF(AND(Table2[[#This Row],[SEREAL NO.]]&lt;&gt;"", Table2[[#This Row],[SEREAL NO.]]=Data!$A$103),1,""),"")</f>
        <v/>
      </c>
      <c r="N160" s="998" t="str">
        <f>IF(AND(Table2[[#This Row],[SIZE]]&lt;&gt;"", Table2[[#This Row],[SIZE]]=Data!$B$3),1,"")</f>
        <v/>
      </c>
      <c r="O160" s="998" t="str">
        <f>IF(AND(Table2[[#This Row],[TYPE]]&lt;&gt;"", Table2[[#This Row],[TYPE]]=Data!$B$4),1,"")</f>
        <v/>
      </c>
      <c r="P160" s="998" t="str">
        <f>IF(AND(Table2[[#This Row],[LV5 MAT NO.]]&lt;&gt;"", Table2[[#This Row],[LV5 MAT NO.]]=Data!$B$5),1,"")</f>
        <v/>
      </c>
      <c r="Q160" s="998" t="str">
        <f>IF(AND(Table2[[#This Row],[FROM]]&lt;&gt;"", Table2[[#This Row],[FROM]]=Data!$B$7),1,"")</f>
        <v/>
      </c>
      <c r="R160" s="998" t="str">
        <f>IF(AND(Table2[[#This Row],[LV3 or LV4 MAT NO.]]&lt;&gt;"", Table2[[#This Row],[LV3 or LV4 MAT NO.]]=Data!$B$8),1,"")</f>
        <v/>
      </c>
      <c r="S160" s="998"/>
      <c r="T160" s="998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35">
      <c r="I161" s="1000"/>
      <c r="L161" s="998" t="str">
        <f>IF(AND(Table2[[#This Row],[ORDER NO.]]&lt;&gt;"", Table2[[#This Row],[ORDER NO.]]=Data!$B$1),1,"")</f>
        <v/>
      </c>
      <c r="M161" s="998" t="str">
        <f>IFERROR(IF(AND(Table2[[#This Row],[SEREAL NO.]]&lt;&gt;"", Table2[[#This Row],[SEREAL NO.]]=Data!$A$103),1,""),"")</f>
        <v/>
      </c>
      <c r="N161" s="998" t="str">
        <f>IF(AND(Table2[[#This Row],[SIZE]]&lt;&gt;"", Table2[[#This Row],[SIZE]]=Data!$B$3),1,"")</f>
        <v/>
      </c>
      <c r="O161" s="998" t="str">
        <f>IF(AND(Table2[[#This Row],[TYPE]]&lt;&gt;"", Table2[[#This Row],[TYPE]]=Data!$B$4),1,"")</f>
        <v/>
      </c>
      <c r="P161" s="998" t="str">
        <f>IF(AND(Table2[[#This Row],[LV5 MAT NO.]]&lt;&gt;"", Table2[[#This Row],[LV5 MAT NO.]]=Data!$B$5),1,"")</f>
        <v/>
      </c>
      <c r="Q161" s="998" t="str">
        <f>IF(AND(Table2[[#This Row],[FROM]]&lt;&gt;"", Table2[[#This Row],[FROM]]=Data!$B$7),1,"")</f>
        <v/>
      </c>
      <c r="R161" s="998" t="str">
        <f>IF(AND(Table2[[#This Row],[LV3 or LV4 MAT NO.]]&lt;&gt;"", Table2[[#This Row],[LV3 or LV4 MAT NO.]]=Data!$B$8),1,"")</f>
        <v/>
      </c>
      <c r="S161" s="998"/>
      <c r="T161" s="998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35">
      <c r="I162" s="1000"/>
      <c r="L162" s="998" t="str">
        <f>IF(AND(Table2[[#This Row],[ORDER NO.]]&lt;&gt;"", Table2[[#This Row],[ORDER NO.]]=Data!$B$1),1,"")</f>
        <v/>
      </c>
      <c r="M162" s="998" t="str">
        <f>IFERROR(IF(AND(Table2[[#This Row],[SEREAL NO.]]&lt;&gt;"", Table2[[#This Row],[SEREAL NO.]]=Data!$A$103),1,""),"")</f>
        <v/>
      </c>
      <c r="N162" s="998" t="str">
        <f>IF(AND(Table2[[#This Row],[SIZE]]&lt;&gt;"", Table2[[#This Row],[SIZE]]=Data!$B$3),1,"")</f>
        <v/>
      </c>
      <c r="O162" s="998" t="str">
        <f>IF(AND(Table2[[#This Row],[TYPE]]&lt;&gt;"", Table2[[#This Row],[TYPE]]=Data!$B$4),1,"")</f>
        <v/>
      </c>
      <c r="P162" s="998" t="str">
        <f>IF(AND(Table2[[#This Row],[LV5 MAT NO.]]&lt;&gt;"", Table2[[#This Row],[LV5 MAT NO.]]=Data!$B$5),1,"")</f>
        <v/>
      </c>
      <c r="Q162" s="998" t="str">
        <f>IF(AND(Table2[[#This Row],[FROM]]&lt;&gt;"", Table2[[#This Row],[FROM]]=Data!$B$7),1,"")</f>
        <v/>
      </c>
      <c r="R162" s="998" t="str">
        <f>IF(AND(Table2[[#This Row],[LV3 or LV4 MAT NO.]]&lt;&gt;"", Table2[[#This Row],[LV3 or LV4 MAT NO.]]=Data!$B$8),1,"")</f>
        <v/>
      </c>
      <c r="S162" s="998"/>
      <c r="T162" s="998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35">
      <c r="I163" s="1000"/>
      <c r="L163" s="998" t="str">
        <f>IF(AND(Table2[[#This Row],[ORDER NO.]]&lt;&gt;"", Table2[[#This Row],[ORDER NO.]]=Data!$B$1),1,"")</f>
        <v/>
      </c>
      <c r="M163" s="998" t="str">
        <f>IFERROR(IF(AND(Table2[[#This Row],[SEREAL NO.]]&lt;&gt;"", Table2[[#This Row],[SEREAL NO.]]=Data!$A$103),1,""),"")</f>
        <v/>
      </c>
      <c r="N163" s="998" t="str">
        <f>IF(AND(Table2[[#This Row],[SIZE]]&lt;&gt;"", Table2[[#This Row],[SIZE]]=Data!$B$3),1,"")</f>
        <v/>
      </c>
      <c r="O163" s="998" t="str">
        <f>IF(AND(Table2[[#This Row],[TYPE]]&lt;&gt;"", Table2[[#This Row],[TYPE]]=Data!$B$4),1,"")</f>
        <v/>
      </c>
      <c r="P163" s="998" t="str">
        <f>IF(AND(Table2[[#This Row],[LV5 MAT NO.]]&lt;&gt;"", Table2[[#This Row],[LV5 MAT NO.]]=Data!$B$5),1,"")</f>
        <v/>
      </c>
      <c r="Q163" s="998" t="str">
        <f>IF(AND(Table2[[#This Row],[FROM]]&lt;&gt;"", Table2[[#This Row],[FROM]]=Data!$B$7),1,"")</f>
        <v/>
      </c>
      <c r="R163" s="998" t="str">
        <f>IF(AND(Table2[[#This Row],[LV3 or LV4 MAT NO.]]&lt;&gt;"", Table2[[#This Row],[LV3 or LV4 MAT NO.]]=Data!$B$8),1,"")</f>
        <v/>
      </c>
      <c r="S163" s="998"/>
      <c r="T163" s="998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35">
      <c r="I164" s="1000"/>
      <c r="L164" s="998" t="str">
        <f>IF(AND(Table2[[#This Row],[ORDER NO.]]&lt;&gt;"", Table2[[#This Row],[ORDER NO.]]=Data!$B$1),1,"")</f>
        <v/>
      </c>
      <c r="M164" s="998" t="str">
        <f>IFERROR(IF(AND(Table2[[#This Row],[SEREAL NO.]]&lt;&gt;"", Table2[[#This Row],[SEREAL NO.]]=Data!$A$103),1,""),"")</f>
        <v/>
      </c>
      <c r="N164" s="998" t="str">
        <f>IF(AND(Table2[[#This Row],[SIZE]]&lt;&gt;"", Table2[[#This Row],[SIZE]]=Data!$B$3),1,"")</f>
        <v/>
      </c>
      <c r="O164" s="998" t="str">
        <f>IF(AND(Table2[[#This Row],[TYPE]]&lt;&gt;"", Table2[[#This Row],[TYPE]]=Data!$B$4),1,"")</f>
        <v/>
      </c>
      <c r="P164" s="998" t="str">
        <f>IF(AND(Table2[[#This Row],[LV5 MAT NO.]]&lt;&gt;"", Table2[[#This Row],[LV5 MAT NO.]]=Data!$B$5),1,"")</f>
        <v/>
      </c>
      <c r="Q164" s="998" t="str">
        <f>IF(AND(Table2[[#This Row],[FROM]]&lt;&gt;"", Table2[[#This Row],[FROM]]=Data!$B$7),1,"")</f>
        <v/>
      </c>
      <c r="R164" s="998" t="str">
        <f>IF(AND(Table2[[#This Row],[LV3 or LV4 MAT NO.]]&lt;&gt;"", Table2[[#This Row],[LV3 or LV4 MAT NO.]]=Data!$B$8),1,"")</f>
        <v/>
      </c>
      <c r="S164" s="998"/>
      <c r="T164" s="998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35">
      <c r="I165" s="1000"/>
      <c r="L165" s="998" t="str">
        <f>IF(AND(Table2[[#This Row],[ORDER NO.]]&lt;&gt;"", Table2[[#This Row],[ORDER NO.]]=Data!$B$1),1,"")</f>
        <v/>
      </c>
      <c r="M165" s="998" t="str">
        <f>IFERROR(IF(AND(Table2[[#This Row],[SEREAL NO.]]&lt;&gt;"", Table2[[#This Row],[SEREAL NO.]]=Data!$A$103),1,""),"")</f>
        <v/>
      </c>
      <c r="N165" s="998" t="str">
        <f>IF(AND(Table2[[#This Row],[SIZE]]&lt;&gt;"", Table2[[#This Row],[SIZE]]=Data!$B$3),1,"")</f>
        <v/>
      </c>
      <c r="O165" s="998" t="str">
        <f>IF(AND(Table2[[#This Row],[TYPE]]&lt;&gt;"", Table2[[#This Row],[TYPE]]=Data!$B$4),1,"")</f>
        <v/>
      </c>
      <c r="P165" s="998" t="str">
        <f>IF(AND(Table2[[#This Row],[LV5 MAT NO.]]&lt;&gt;"", Table2[[#This Row],[LV5 MAT NO.]]=Data!$B$5),1,"")</f>
        <v/>
      </c>
      <c r="Q165" s="998" t="str">
        <f>IF(AND(Table2[[#This Row],[FROM]]&lt;&gt;"", Table2[[#This Row],[FROM]]=Data!$B$7),1,"")</f>
        <v/>
      </c>
      <c r="R165" s="998" t="str">
        <f>IF(AND(Table2[[#This Row],[LV3 or LV4 MAT NO.]]&lt;&gt;"", Table2[[#This Row],[LV3 or LV4 MAT NO.]]=Data!$B$8),1,"")</f>
        <v/>
      </c>
      <c r="S165" s="998"/>
      <c r="T165" s="998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35">
      <c r="I166" s="1000"/>
      <c r="L166" s="998" t="str">
        <f>IF(AND(Table2[[#This Row],[ORDER NO.]]&lt;&gt;"", Table2[[#This Row],[ORDER NO.]]=Data!$B$1),1,"")</f>
        <v/>
      </c>
      <c r="M166" s="998" t="str">
        <f>IFERROR(IF(AND(Table2[[#This Row],[SEREAL NO.]]&lt;&gt;"", Table2[[#This Row],[SEREAL NO.]]=Data!$A$103),1,""),"")</f>
        <v/>
      </c>
      <c r="N166" s="998" t="str">
        <f>IF(AND(Table2[[#This Row],[SIZE]]&lt;&gt;"", Table2[[#This Row],[SIZE]]=Data!$B$3),1,"")</f>
        <v/>
      </c>
      <c r="O166" s="998" t="str">
        <f>IF(AND(Table2[[#This Row],[TYPE]]&lt;&gt;"", Table2[[#This Row],[TYPE]]=Data!$B$4),1,"")</f>
        <v/>
      </c>
      <c r="P166" s="998" t="str">
        <f>IF(AND(Table2[[#This Row],[LV5 MAT NO.]]&lt;&gt;"", Table2[[#This Row],[LV5 MAT NO.]]=Data!$B$5),1,"")</f>
        <v/>
      </c>
      <c r="Q166" s="998" t="str">
        <f>IF(AND(Table2[[#This Row],[FROM]]&lt;&gt;"", Table2[[#This Row],[FROM]]=Data!$B$7),1,"")</f>
        <v/>
      </c>
      <c r="R166" s="998" t="str">
        <f>IF(AND(Table2[[#This Row],[LV3 or LV4 MAT NO.]]&lt;&gt;"", Table2[[#This Row],[LV3 or LV4 MAT NO.]]=Data!$B$8),1,"")</f>
        <v/>
      </c>
      <c r="S166" s="998"/>
      <c r="T166" s="998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35">
      <c r="I167" s="1000"/>
      <c r="L167" s="998" t="str">
        <f>IF(AND(Table2[[#This Row],[ORDER NO.]]&lt;&gt;"", Table2[[#This Row],[ORDER NO.]]=Data!$B$1),1,"")</f>
        <v/>
      </c>
      <c r="M167" s="998" t="str">
        <f>IFERROR(IF(AND(Table2[[#This Row],[SEREAL NO.]]&lt;&gt;"", Table2[[#This Row],[SEREAL NO.]]=Data!$A$103),1,""),"")</f>
        <v/>
      </c>
      <c r="N167" s="998" t="str">
        <f>IF(AND(Table2[[#This Row],[SIZE]]&lt;&gt;"", Table2[[#This Row],[SIZE]]=Data!$B$3),1,"")</f>
        <v/>
      </c>
      <c r="O167" s="998" t="str">
        <f>IF(AND(Table2[[#This Row],[TYPE]]&lt;&gt;"", Table2[[#This Row],[TYPE]]=Data!$B$4),1,"")</f>
        <v/>
      </c>
      <c r="P167" s="998" t="str">
        <f>IF(AND(Table2[[#This Row],[LV5 MAT NO.]]&lt;&gt;"", Table2[[#This Row],[LV5 MAT NO.]]=Data!$B$5),1,"")</f>
        <v/>
      </c>
      <c r="Q167" s="998" t="str">
        <f>IF(AND(Table2[[#This Row],[FROM]]&lt;&gt;"", Table2[[#This Row],[FROM]]=Data!$B$7),1,"")</f>
        <v/>
      </c>
      <c r="R167" s="998" t="str">
        <f>IF(AND(Table2[[#This Row],[LV3 or LV4 MAT NO.]]&lt;&gt;"", Table2[[#This Row],[LV3 or LV4 MAT NO.]]=Data!$B$8),1,"")</f>
        <v/>
      </c>
      <c r="S167" s="998"/>
      <c r="T167" s="998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35">
      <c r="I168" s="1000"/>
      <c r="L168" s="998" t="str">
        <f>IF(AND(Table2[[#This Row],[ORDER NO.]]&lt;&gt;"", Table2[[#This Row],[ORDER NO.]]=Data!$B$1),1,"")</f>
        <v/>
      </c>
      <c r="M168" s="998" t="str">
        <f>IFERROR(IF(AND(Table2[[#This Row],[SEREAL NO.]]&lt;&gt;"", Table2[[#This Row],[SEREAL NO.]]=Data!$A$103),1,""),"")</f>
        <v/>
      </c>
      <c r="N168" s="998" t="str">
        <f>IF(AND(Table2[[#This Row],[SIZE]]&lt;&gt;"", Table2[[#This Row],[SIZE]]=Data!$B$3),1,"")</f>
        <v/>
      </c>
      <c r="O168" s="998" t="str">
        <f>IF(AND(Table2[[#This Row],[TYPE]]&lt;&gt;"", Table2[[#This Row],[TYPE]]=Data!$B$4),1,"")</f>
        <v/>
      </c>
      <c r="P168" s="998" t="str">
        <f>IF(AND(Table2[[#This Row],[LV5 MAT NO.]]&lt;&gt;"", Table2[[#This Row],[LV5 MAT NO.]]=Data!$B$5),1,"")</f>
        <v/>
      </c>
      <c r="Q168" s="998" t="str">
        <f>IF(AND(Table2[[#This Row],[FROM]]&lt;&gt;"", Table2[[#This Row],[FROM]]=Data!$B$7),1,"")</f>
        <v/>
      </c>
      <c r="R168" s="998" t="str">
        <f>IF(AND(Table2[[#This Row],[LV3 or LV4 MAT NO.]]&lt;&gt;"", Table2[[#This Row],[LV3 or LV4 MAT NO.]]=Data!$B$8),1,"")</f>
        <v/>
      </c>
      <c r="S168" s="998"/>
      <c r="T168" s="998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35">
      <c r="I169" s="1000"/>
      <c r="L169" s="998" t="str">
        <f>IF(AND(Table2[[#This Row],[ORDER NO.]]&lt;&gt;"", Table2[[#This Row],[ORDER NO.]]=Data!$B$1),1,"")</f>
        <v/>
      </c>
      <c r="M169" s="998" t="str">
        <f>IFERROR(IF(AND(Table2[[#This Row],[SEREAL NO.]]&lt;&gt;"", Table2[[#This Row],[SEREAL NO.]]=Data!$A$103),1,""),"")</f>
        <v/>
      </c>
      <c r="N169" s="998" t="str">
        <f>IF(AND(Table2[[#This Row],[SIZE]]&lt;&gt;"", Table2[[#This Row],[SIZE]]=Data!$B$3),1,"")</f>
        <v/>
      </c>
      <c r="O169" s="998" t="str">
        <f>IF(AND(Table2[[#This Row],[TYPE]]&lt;&gt;"", Table2[[#This Row],[TYPE]]=Data!$B$4),1,"")</f>
        <v/>
      </c>
      <c r="P169" s="998" t="str">
        <f>IF(AND(Table2[[#This Row],[LV5 MAT NO.]]&lt;&gt;"", Table2[[#This Row],[LV5 MAT NO.]]=Data!$B$5),1,"")</f>
        <v/>
      </c>
      <c r="Q169" s="998" t="str">
        <f>IF(AND(Table2[[#This Row],[FROM]]&lt;&gt;"", Table2[[#This Row],[FROM]]=Data!$B$7),1,"")</f>
        <v/>
      </c>
      <c r="R169" s="998" t="str">
        <f>IF(AND(Table2[[#This Row],[LV3 or LV4 MAT NO.]]&lt;&gt;"", Table2[[#This Row],[LV3 or LV4 MAT NO.]]=Data!$B$8),1,"")</f>
        <v/>
      </c>
      <c r="S169" s="998"/>
      <c r="T169" s="998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35">
      <c r="I170" s="1000"/>
      <c r="L170" s="998" t="str">
        <f>IF(AND(Table2[[#This Row],[ORDER NO.]]&lt;&gt;"", Table2[[#This Row],[ORDER NO.]]=Data!$B$1),1,"")</f>
        <v/>
      </c>
      <c r="M170" s="998" t="str">
        <f>IFERROR(IF(AND(Table2[[#This Row],[SEREAL NO.]]&lt;&gt;"", Table2[[#This Row],[SEREAL NO.]]=Data!$A$103),1,""),"")</f>
        <v/>
      </c>
      <c r="N170" s="998" t="str">
        <f>IF(AND(Table2[[#This Row],[SIZE]]&lt;&gt;"", Table2[[#This Row],[SIZE]]=Data!$B$3),1,"")</f>
        <v/>
      </c>
      <c r="O170" s="998" t="str">
        <f>IF(AND(Table2[[#This Row],[TYPE]]&lt;&gt;"", Table2[[#This Row],[TYPE]]=Data!$B$4),1,"")</f>
        <v/>
      </c>
      <c r="P170" s="998" t="str">
        <f>IF(AND(Table2[[#This Row],[LV5 MAT NO.]]&lt;&gt;"", Table2[[#This Row],[LV5 MAT NO.]]=Data!$B$5),1,"")</f>
        <v/>
      </c>
      <c r="Q170" s="998" t="str">
        <f>IF(AND(Table2[[#This Row],[FROM]]&lt;&gt;"", Table2[[#This Row],[FROM]]=Data!$B$7),1,"")</f>
        <v/>
      </c>
      <c r="R170" s="998" t="str">
        <f>IF(AND(Table2[[#This Row],[LV3 or LV4 MAT NO.]]&lt;&gt;"", Table2[[#This Row],[LV3 or LV4 MAT NO.]]=Data!$B$8),1,"")</f>
        <v/>
      </c>
      <c r="S170" s="998"/>
      <c r="T170" s="998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35">
      <c r="I171" s="1000"/>
      <c r="L171" s="998" t="str">
        <f>IF(AND(Table2[[#This Row],[ORDER NO.]]&lt;&gt;"", Table2[[#This Row],[ORDER NO.]]=Data!$B$1),1,"")</f>
        <v/>
      </c>
      <c r="M171" s="998" t="str">
        <f>IFERROR(IF(AND(Table2[[#This Row],[SEREAL NO.]]&lt;&gt;"", Table2[[#This Row],[SEREAL NO.]]=Data!$A$103),1,""),"")</f>
        <v/>
      </c>
      <c r="N171" s="998" t="str">
        <f>IF(AND(Table2[[#This Row],[SIZE]]&lt;&gt;"", Table2[[#This Row],[SIZE]]=Data!$B$3),1,"")</f>
        <v/>
      </c>
      <c r="O171" s="998" t="str">
        <f>IF(AND(Table2[[#This Row],[TYPE]]&lt;&gt;"", Table2[[#This Row],[TYPE]]=Data!$B$4),1,"")</f>
        <v/>
      </c>
      <c r="P171" s="998" t="str">
        <f>IF(AND(Table2[[#This Row],[LV5 MAT NO.]]&lt;&gt;"", Table2[[#This Row],[LV5 MAT NO.]]=Data!$B$5),1,"")</f>
        <v/>
      </c>
      <c r="Q171" s="998" t="str">
        <f>IF(AND(Table2[[#This Row],[FROM]]&lt;&gt;"", Table2[[#This Row],[FROM]]=Data!$B$7),1,"")</f>
        <v/>
      </c>
      <c r="R171" s="998" t="str">
        <f>IF(AND(Table2[[#This Row],[LV3 or LV4 MAT NO.]]&lt;&gt;"", Table2[[#This Row],[LV3 or LV4 MAT NO.]]=Data!$B$8),1,"")</f>
        <v/>
      </c>
      <c r="S171" s="998"/>
      <c r="T171" s="998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35">
      <c r="I172" s="1000"/>
      <c r="L172" s="998" t="str">
        <f>IF(AND(Table2[[#This Row],[ORDER NO.]]&lt;&gt;"", Table2[[#This Row],[ORDER NO.]]=Data!$B$1),1,"")</f>
        <v/>
      </c>
      <c r="M172" s="998" t="str">
        <f>IFERROR(IF(AND(Table2[[#This Row],[SEREAL NO.]]&lt;&gt;"", Table2[[#This Row],[SEREAL NO.]]=Data!$A$103),1,""),"")</f>
        <v/>
      </c>
      <c r="N172" s="998" t="str">
        <f>IF(AND(Table2[[#This Row],[SIZE]]&lt;&gt;"", Table2[[#This Row],[SIZE]]=Data!$B$3),1,"")</f>
        <v/>
      </c>
      <c r="O172" s="998" t="str">
        <f>IF(AND(Table2[[#This Row],[TYPE]]&lt;&gt;"", Table2[[#This Row],[TYPE]]=Data!$B$4),1,"")</f>
        <v/>
      </c>
      <c r="P172" s="998" t="str">
        <f>IF(AND(Table2[[#This Row],[LV5 MAT NO.]]&lt;&gt;"", Table2[[#This Row],[LV5 MAT NO.]]=Data!$B$5),1,"")</f>
        <v/>
      </c>
      <c r="Q172" s="998" t="str">
        <f>IF(AND(Table2[[#This Row],[FROM]]&lt;&gt;"", Table2[[#This Row],[FROM]]=Data!$B$7),1,"")</f>
        <v/>
      </c>
      <c r="R172" s="998" t="str">
        <f>IF(AND(Table2[[#This Row],[LV3 or LV4 MAT NO.]]&lt;&gt;"", Table2[[#This Row],[LV3 or LV4 MAT NO.]]=Data!$B$8),1,"")</f>
        <v/>
      </c>
      <c r="S172" s="998"/>
      <c r="T172" s="998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35">
      <c r="I173" s="1000"/>
      <c r="L173" s="998" t="str">
        <f>IF(AND(Table2[[#This Row],[ORDER NO.]]&lt;&gt;"", Table2[[#This Row],[ORDER NO.]]=Data!$B$1),1,"")</f>
        <v/>
      </c>
      <c r="M173" s="998" t="str">
        <f>IFERROR(IF(AND(Table2[[#This Row],[SEREAL NO.]]&lt;&gt;"", Table2[[#This Row],[SEREAL NO.]]=Data!$A$103),1,""),"")</f>
        <v/>
      </c>
      <c r="N173" s="998" t="str">
        <f>IF(AND(Table2[[#This Row],[SIZE]]&lt;&gt;"", Table2[[#This Row],[SIZE]]=Data!$B$3),1,"")</f>
        <v/>
      </c>
      <c r="O173" s="998" t="str">
        <f>IF(AND(Table2[[#This Row],[TYPE]]&lt;&gt;"", Table2[[#This Row],[TYPE]]=Data!$B$4),1,"")</f>
        <v/>
      </c>
      <c r="P173" s="998" t="str">
        <f>IF(AND(Table2[[#This Row],[LV5 MAT NO.]]&lt;&gt;"", Table2[[#This Row],[LV5 MAT NO.]]=Data!$B$5),1,"")</f>
        <v/>
      </c>
      <c r="Q173" s="998" t="str">
        <f>IF(AND(Table2[[#This Row],[FROM]]&lt;&gt;"", Table2[[#This Row],[FROM]]=Data!$B$7),1,"")</f>
        <v/>
      </c>
      <c r="R173" s="998" t="str">
        <f>IF(AND(Table2[[#This Row],[LV3 or LV4 MAT NO.]]&lt;&gt;"", Table2[[#This Row],[LV3 or LV4 MAT NO.]]=Data!$B$8),1,"")</f>
        <v/>
      </c>
      <c r="S173" s="998"/>
      <c r="T173" s="998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35">
      <c r="I174" s="1000"/>
      <c r="L174" s="998" t="str">
        <f>IF(AND(Table2[[#This Row],[ORDER NO.]]&lt;&gt;"", Table2[[#This Row],[ORDER NO.]]=Data!$B$1),1,"")</f>
        <v/>
      </c>
      <c r="M174" s="998" t="str">
        <f>IFERROR(IF(AND(Table2[[#This Row],[SEREAL NO.]]&lt;&gt;"", Table2[[#This Row],[SEREAL NO.]]=Data!$A$103),1,""),"")</f>
        <v/>
      </c>
      <c r="N174" s="998" t="str">
        <f>IF(AND(Table2[[#This Row],[SIZE]]&lt;&gt;"", Table2[[#This Row],[SIZE]]=Data!$B$3),1,"")</f>
        <v/>
      </c>
      <c r="O174" s="998" t="str">
        <f>IF(AND(Table2[[#This Row],[TYPE]]&lt;&gt;"", Table2[[#This Row],[TYPE]]=Data!$B$4),1,"")</f>
        <v/>
      </c>
      <c r="P174" s="998" t="str">
        <f>IF(AND(Table2[[#This Row],[LV5 MAT NO.]]&lt;&gt;"", Table2[[#This Row],[LV5 MAT NO.]]=Data!$B$5),1,"")</f>
        <v/>
      </c>
      <c r="Q174" s="998" t="str">
        <f>IF(AND(Table2[[#This Row],[FROM]]&lt;&gt;"", Table2[[#This Row],[FROM]]=Data!$B$7),1,"")</f>
        <v/>
      </c>
      <c r="R174" s="998" t="str">
        <f>IF(AND(Table2[[#This Row],[LV3 or LV4 MAT NO.]]&lt;&gt;"", Table2[[#This Row],[LV3 or LV4 MAT NO.]]=Data!$B$8),1,"")</f>
        <v/>
      </c>
      <c r="S174" s="998"/>
      <c r="T174" s="998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35">
      <c r="I175" s="1000"/>
      <c r="L175" s="998" t="str">
        <f>IF(AND(Table2[[#This Row],[ORDER NO.]]&lt;&gt;"", Table2[[#This Row],[ORDER NO.]]=Data!$B$1),1,"")</f>
        <v/>
      </c>
      <c r="M175" s="998" t="str">
        <f>IFERROR(IF(AND(Table2[[#This Row],[SEREAL NO.]]&lt;&gt;"", Table2[[#This Row],[SEREAL NO.]]=Data!$A$103),1,""),"")</f>
        <v/>
      </c>
      <c r="N175" s="998" t="str">
        <f>IF(AND(Table2[[#This Row],[SIZE]]&lt;&gt;"", Table2[[#This Row],[SIZE]]=Data!$B$3),1,"")</f>
        <v/>
      </c>
      <c r="O175" s="998" t="str">
        <f>IF(AND(Table2[[#This Row],[TYPE]]&lt;&gt;"", Table2[[#This Row],[TYPE]]=Data!$B$4),1,"")</f>
        <v/>
      </c>
      <c r="P175" s="998" t="str">
        <f>IF(AND(Table2[[#This Row],[LV5 MAT NO.]]&lt;&gt;"", Table2[[#This Row],[LV5 MAT NO.]]=Data!$B$5),1,"")</f>
        <v/>
      </c>
      <c r="Q175" s="998" t="str">
        <f>IF(AND(Table2[[#This Row],[FROM]]&lt;&gt;"", Table2[[#This Row],[FROM]]=Data!$B$7),1,"")</f>
        <v/>
      </c>
      <c r="R175" s="998" t="str">
        <f>IF(AND(Table2[[#This Row],[LV3 or LV4 MAT NO.]]&lt;&gt;"", Table2[[#This Row],[LV3 or LV4 MAT NO.]]=Data!$B$8),1,"")</f>
        <v/>
      </c>
      <c r="S175" s="998"/>
      <c r="T175" s="998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35">
      <c r="I176" s="1000"/>
      <c r="L176" s="998" t="str">
        <f>IF(AND(Table2[[#This Row],[ORDER NO.]]&lt;&gt;"", Table2[[#This Row],[ORDER NO.]]=Data!$B$1),1,"")</f>
        <v/>
      </c>
      <c r="M176" s="998" t="str">
        <f>IFERROR(IF(AND(Table2[[#This Row],[SEREAL NO.]]&lt;&gt;"", Table2[[#This Row],[SEREAL NO.]]=Data!$A$103),1,""),"")</f>
        <v/>
      </c>
      <c r="N176" s="998" t="str">
        <f>IF(AND(Table2[[#This Row],[SIZE]]&lt;&gt;"", Table2[[#This Row],[SIZE]]=Data!$B$3),1,"")</f>
        <v/>
      </c>
      <c r="O176" s="998" t="str">
        <f>IF(AND(Table2[[#This Row],[TYPE]]&lt;&gt;"", Table2[[#This Row],[TYPE]]=Data!$B$4),1,"")</f>
        <v/>
      </c>
      <c r="P176" s="998" t="str">
        <f>IF(AND(Table2[[#This Row],[LV5 MAT NO.]]&lt;&gt;"", Table2[[#This Row],[LV5 MAT NO.]]=Data!$B$5),1,"")</f>
        <v/>
      </c>
      <c r="Q176" s="998" t="str">
        <f>IF(AND(Table2[[#This Row],[FROM]]&lt;&gt;"", Table2[[#This Row],[FROM]]=Data!$B$7),1,"")</f>
        <v/>
      </c>
      <c r="R176" s="998" t="str">
        <f>IF(AND(Table2[[#This Row],[LV3 or LV4 MAT NO.]]&lt;&gt;"", Table2[[#This Row],[LV3 or LV4 MAT NO.]]=Data!$B$8),1,"")</f>
        <v/>
      </c>
      <c r="S176" s="998"/>
      <c r="T176" s="998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35">
      <c r="I177" s="1000"/>
      <c r="L177" s="998" t="str">
        <f>IF(AND(Table2[[#This Row],[ORDER NO.]]&lt;&gt;"", Table2[[#This Row],[ORDER NO.]]=Data!$B$1),1,"")</f>
        <v/>
      </c>
      <c r="M177" s="998" t="str">
        <f>IFERROR(IF(AND(Table2[[#This Row],[SEREAL NO.]]&lt;&gt;"", Table2[[#This Row],[SEREAL NO.]]=Data!$A$103),1,""),"")</f>
        <v/>
      </c>
      <c r="N177" s="998" t="str">
        <f>IF(AND(Table2[[#This Row],[SIZE]]&lt;&gt;"", Table2[[#This Row],[SIZE]]=Data!$B$3),1,"")</f>
        <v/>
      </c>
      <c r="O177" s="998" t="str">
        <f>IF(AND(Table2[[#This Row],[TYPE]]&lt;&gt;"", Table2[[#This Row],[TYPE]]=Data!$B$4),1,"")</f>
        <v/>
      </c>
      <c r="P177" s="998" t="str">
        <f>IF(AND(Table2[[#This Row],[LV5 MAT NO.]]&lt;&gt;"", Table2[[#This Row],[LV5 MAT NO.]]=Data!$B$5),1,"")</f>
        <v/>
      </c>
      <c r="Q177" s="998" t="str">
        <f>IF(AND(Table2[[#This Row],[FROM]]&lt;&gt;"", Table2[[#This Row],[FROM]]=Data!$B$7),1,"")</f>
        <v/>
      </c>
      <c r="R177" s="998" t="str">
        <f>IF(AND(Table2[[#This Row],[LV3 or LV4 MAT NO.]]&lt;&gt;"", Table2[[#This Row],[LV3 or LV4 MAT NO.]]=Data!$B$8),1,"")</f>
        <v/>
      </c>
      <c r="S177" s="998"/>
      <c r="T177" s="998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35">
      <c r="I178" s="1000"/>
      <c r="L178" s="998" t="str">
        <f>IF(AND(Table2[[#This Row],[ORDER NO.]]&lt;&gt;"", Table2[[#This Row],[ORDER NO.]]=Data!$B$1),1,"")</f>
        <v/>
      </c>
      <c r="M178" s="998" t="str">
        <f>IFERROR(IF(AND(Table2[[#This Row],[SEREAL NO.]]&lt;&gt;"", Table2[[#This Row],[SEREAL NO.]]=Data!$A$103),1,""),"")</f>
        <v/>
      </c>
      <c r="N178" s="998" t="str">
        <f>IF(AND(Table2[[#This Row],[SIZE]]&lt;&gt;"", Table2[[#This Row],[SIZE]]=Data!$B$3),1,"")</f>
        <v/>
      </c>
      <c r="O178" s="998" t="str">
        <f>IF(AND(Table2[[#This Row],[TYPE]]&lt;&gt;"", Table2[[#This Row],[TYPE]]=Data!$B$4),1,"")</f>
        <v/>
      </c>
      <c r="P178" s="998" t="str">
        <f>IF(AND(Table2[[#This Row],[LV5 MAT NO.]]&lt;&gt;"", Table2[[#This Row],[LV5 MAT NO.]]=Data!$B$5),1,"")</f>
        <v/>
      </c>
      <c r="Q178" s="998" t="str">
        <f>IF(AND(Table2[[#This Row],[FROM]]&lt;&gt;"", Table2[[#This Row],[FROM]]=Data!$B$7),1,"")</f>
        <v/>
      </c>
      <c r="R178" s="998" t="str">
        <f>IF(AND(Table2[[#This Row],[LV3 or LV4 MAT NO.]]&lt;&gt;"", Table2[[#This Row],[LV3 or LV4 MAT NO.]]=Data!$B$8),1,"")</f>
        <v/>
      </c>
      <c r="S178" s="998"/>
      <c r="T178" s="998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35">
      <c r="I179" s="1000"/>
      <c r="L179" s="998" t="str">
        <f>IF(AND(Table2[[#This Row],[ORDER NO.]]&lt;&gt;"", Table2[[#This Row],[ORDER NO.]]=Data!$B$1),1,"")</f>
        <v/>
      </c>
      <c r="M179" s="998" t="str">
        <f>IFERROR(IF(AND(Table2[[#This Row],[SEREAL NO.]]&lt;&gt;"", Table2[[#This Row],[SEREAL NO.]]=Data!$A$103),1,""),"")</f>
        <v/>
      </c>
      <c r="N179" s="998" t="str">
        <f>IF(AND(Table2[[#This Row],[SIZE]]&lt;&gt;"", Table2[[#This Row],[SIZE]]=Data!$B$3),1,"")</f>
        <v/>
      </c>
      <c r="O179" s="998" t="str">
        <f>IF(AND(Table2[[#This Row],[TYPE]]&lt;&gt;"", Table2[[#This Row],[TYPE]]=Data!$B$4),1,"")</f>
        <v/>
      </c>
      <c r="P179" s="998" t="str">
        <f>IF(AND(Table2[[#This Row],[LV5 MAT NO.]]&lt;&gt;"", Table2[[#This Row],[LV5 MAT NO.]]=Data!$B$5),1,"")</f>
        <v/>
      </c>
      <c r="Q179" s="998" t="str">
        <f>IF(AND(Table2[[#This Row],[FROM]]&lt;&gt;"", Table2[[#This Row],[FROM]]=Data!$B$7),1,"")</f>
        <v/>
      </c>
      <c r="R179" s="998" t="str">
        <f>IF(AND(Table2[[#This Row],[LV3 or LV4 MAT NO.]]&lt;&gt;"", Table2[[#This Row],[LV3 or LV4 MAT NO.]]=Data!$B$8),1,"")</f>
        <v/>
      </c>
      <c r="S179" s="998"/>
      <c r="T179" s="998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35">
      <c r="I180" s="1000"/>
      <c r="L180" s="998" t="str">
        <f>IF(AND(Table2[[#This Row],[ORDER NO.]]&lt;&gt;"", Table2[[#This Row],[ORDER NO.]]=Data!$B$1),1,"")</f>
        <v/>
      </c>
      <c r="M180" s="998" t="str">
        <f>IFERROR(IF(AND(Table2[[#This Row],[SEREAL NO.]]&lt;&gt;"", Table2[[#This Row],[SEREAL NO.]]=Data!$A$103),1,""),"")</f>
        <v/>
      </c>
      <c r="N180" s="998" t="str">
        <f>IF(AND(Table2[[#This Row],[SIZE]]&lt;&gt;"", Table2[[#This Row],[SIZE]]=Data!$B$3),1,"")</f>
        <v/>
      </c>
      <c r="O180" s="998" t="str">
        <f>IF(AND(Table2[[#This Row],[TYPE]]&lt;&gt;"", Table2[[#This Row],[TYPE]]=Data!$B$4),1,"")</f>
        <v/>
      </c>
      <c r="P180" s="998" t="str">
        <f>IF(AND(Table2[[#This Row],[LV5 MAT NO.]]&lt;&gt;"", Table2[[#This Row],[LV5 MAT NO.]]=Data!$B$5),1,"")</f>
        <v/>
      </c>
      <c r="Q180" s="998" t="str">
        <f>IF(AND(Table2[[#This Row],[FROM]]&lt;&gt;"", Table2[[#This Row],[FROM]]=Data!$B$7),1,"")</f>
        <v/>
      </c>
      <c r="R180" s="998" t="str">
        <f>IF(AND(Table2[[#This Row],[LV3 or LV4 MAT NO.]]&lt;&gt;"", Table2[[#This Row],[LV3 or LV4 MAT NO.]]=Data!$B$8),1,"")</f>
        <v/>
      </c>
      <c r="S180" s="998"/>
      <c r="T180" s="998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35">
      <c r="I181" s="1000"/>
      <c r="L181" s="998" t="str">
        <f>IF(AND(Table2[[#This Row],[ORDER NO.]]&lt;&gt;"", Table2[[#This Row],[ORDER NO.]]=Data!$B$1),1,"")</f>
        <v/>
      </c>
      <c r="M181" s="998" t="str">
        <f>IFERROR(IF(AND(Table2[[#This Row],[SEREAL NO.]]&lt;&gt;"", Table2[[#This Row],[SEREAL NO.]]=Data!$A$103),1,""),"")</f>
        <v/>
      </c>
      <c r="N181" s="998" t="str">
        <f>IF(AND(Table2[[#This Row],[SIZE]]&lt;&gt;"", Table2[[#This Row],[SIZE]]=Data!$B$3),1,"")</f>
        <v/>
      </c>
      <c r="O181" s="998" t="str">
        <f>IF(AND(Table2[[#This Row],[TYPE]]&lt;&gt;"", Table2[[#This Row],[TYPE]]=Data!$B$4),1,"")</f>
        <v/>
      </c>
      <c r="P181" s="998" t="str">
        <f>IF(AND(Table2[[#This Row],[LV5 MAT NO.]]&lt;&gt;"", Table2[[#This Row],[LV5 MAT NO.]]=Data!$B$5),1,"")</f>
        <v/>
      </c>
      <c r="Q181" s="998" t="str">
        <f>IF(AND(Table2[[#This Row],[FROM]]&lt;&gt;"", Table2[[#This Row],[FROM]]=Data!$B$7),1,"")</f>
        <v/>
      </c>
      <c r="R181" s="998" t="str">
        <f>IF(AND(Table2[[#This Row],[LV3 or LV4 MAT NO.]]&lt;&gt;"", Table2[[#This Row],[LV3 or LV4 MAT NO.]]=Data!$B$8),1,"")</f>
        <v/>
      </c>
      <c r="S181" s="998"/>
      <c r="T181" s="998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35">
      <c r="I182" s="1000"/>
      <c r="L182" s="998" t="str">
        <f>IF(AND(Table2[[#This Row],[ORDER NO.]]&lt;&gt;"", Table2[[#This Row],[ORDER NO.]]=Data!$B$1),1,"")</f>
        <v/>
      </c>
      <c r="M182" s="998" t="str">
        <f>IFERROR(IF(AND(Table2[[#This Row],[SEREAL NO.]]&lt;&gt;"", Table2[[#This Row],[SEREAL NO.]]=Data!$A$103),1,""),"")</f>
        <v/>
      </c>
      <c r="N182" s="998" t="str">
        <f>IF(AND(Table2[[#This Row],[SIZE]]&lt;&gt;"", Table2[[#This Row],[SIZE]]=Data!$B$3),1,"")</f>
        <v/>
      </c>
      <c r="O182" s="998" t="str">
        <f>IF(AND(Table2[[#This Row],[TYPE]]&lt;&gt;"", Table2[[#This Row],[TYPE]]=Data!$B$4),1,"")</f>
        <v/>
      </c>
      <c r="P182" s="998" t="str">
        <f>IF(AND(Table2[[#This Row],[LV5 MAT NO.]]&lt;&gt;"", Table2[[#This Row],[LV5 MAT NO.]]=Data!$B$5),1,"")</f>
        <v/>
      </c>
      <c r="Q182" s="998" t="str">
        <f>IF(AND(Table2[[#This Row],[FROM]]&lt;&gt;"", Table2[[#This Row],[FROM]]=Data!$B$7),1,"")</f>
        <v/>
      </c>
      <c r="R182" s="998" t="str">
        <f>IF(AND(Table2[[#This Row],[LV3 or LV4 MAT NO.]]&lt;&gt;"", Table2[[#This Row],[LV3 or LV4 MAT NO.]]=Data!$B$8),1,"")</f>
        <v/>
      </c>
      <c r="S182" s="998"/>
      <c r="T182" s="998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35">
      <c r="I183" s="1000"/>
      <c r="L183" s="998" t="str">
        <f>IF(AND(Table2[[#This Row],[ORDER NO.]]&lt;&gt;"", Table2[[#This Row],[ORDER NO.]]=Data!$B$1),1,"")</f>
        <v/>
      </c>
      <c r="M183" s="998" t="str">
        <f>IFERROR(IF(AND(Table2[[#This Row],[SEREAL NO.]]&lt;&gt;"", Table2[[#This Row],[SEREAL NO.]]=Data!$A$103),1,""),"")</f>
        <v/>
      </c>
      <c r="N183" s="998" t="str">
        <f>IF(AND(Table2[[#This Row],[SIZE]]&lt;&gt;"", Table2[[#This Row],[SIZE]]=Data!$B$3),1,"")</f>
        <v/>
      </c>
      <c r="O183" s="998" t="str">
        <f>IF(AND(Table2[[#This Row],[TYPE]]&lt;&gt;"", Table2[[#This Row],[TYPE]]=Data!$B$4),1,"")</f>
        <v/>
      </c>
      <c r="P183" s="998" t="str">
        <f>IF(AND(Table2[[#This Row],[LV5 MAT NO.]]&lt;&gt;"", Table2[[#This Row],[LV5 MAT NO.]]=Data!$B$5),1,"")</f>
        <v/>
      </c>
      <c r="Q183" s="998" t="str">
        <f>IF(AND(Table2[[#This Row],[FROM]]&lt;&gt;"", Table2[[#This Row],[FROM]]=Data!$B$7),1,"")</f>
        <v/>
      </c>
      <c r="R183" s="998" t="str">
        <f>IF(AND(Table2[[#This Row],[LV3 or LV4 MAT NO.]]&lt;&gt;"", Table2[[#This Row],[LV3 or LV4 MAT NO.]]=Data!$B$8),1,"")</f>
        <v/>
      </c>
      <c r="S183" s="998"/>
      <c r="T183" s="998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35">
      <c r="I184" s="1000"/>
      <c r="L184" s="998" t="str">
        <f>IF(AND(Table2[[#This Row],[ORDER NO.]]&lt;&gt;"", Table2[[#This Row],[ORDER NO.]]=Data!$B$1),1,"")</f>
        <v/>
      </c>
      <c r="M184" s="998" t="str">
        <f>IFERROR(IF(AND(Table2[[#This Row],[SEREAL NO.]]&lt;&gt;"", Table2[[#This Row],[SEREAL NO.]]=Data!$A$103),1,""),"")</f>
        <v/>
      </c>
      <c r="N184" s="998" t="str">
        <f>IF(AND(Table2[[#This Row],[SIZE]]&lt;&gt;"", Table2[[#This Row],[SIZE]]=Data!$B$3),1,"")</f>
        <v/>
      </c>
      <c r="O184" s="998" t="str">
        <f>IF(AND(Table2[[#This Row],[TYPE]]&lt;&gt;"", Table2[[#This Row],[TYPE]]=Data!$B$4),1,"")</f>
        <v/>
      </c>
      <c r="P184" s="998" t="str">
        <f>IF(AND(Table2[[#This Row],[LV5 MAT NO.]]&lt;&gt;"", Table2[[#This Row],[LV5 MAT NO.]]=Data!$B$5),1,"")</f>
        <v/>
      </c>
      <c r="Q184" s="998" t="str">
        <f>IF(AND(Table2[[#This Row],[FROM]]&lt;&gt;"", Table2[[#This Row],[FROM]]=Data!$B$7),1,"")</f>
        <v/>
      </c>
      <c r="R184" s="998" t="str">
        <f>IF(AND(Table2[[#This Row],[LV3 or LV4 MAT NO.]]&lt;&gt;"", Table2[[#This Row],[LV3 or LV4 MAT NO.]]=Data!$B$8),1,"")</f>
        <v/>
      </c>
      <c r="S184" s="998"/>
      <c r="T184" s="998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35">
      <c r="I185" s="1000"/>
      <c r="L185" s="998" t="str">
        <f>IF(AND(Table2[[#This Row],[ORDER NO.]]&lt;&gt;"", Table2[[#This Row],[ORDER NO.]]=Data!$B$1),1,"")</f>
        <v/>
      </c>
      <c r="M185" s="998" t="str">
        <f>IFERROR(IF(AND(Table2[[#This Row],[SEREAL NO.]]&lt;&gt;"", Table2[[#This Row],[SEREAL NO.]]=Data!$A$103),1,""),"")</f>
        <v/>
      </c>
      <c r="N185" s="998" t="str">
        <f>IF(AND(Table2[[#This Row],[SIZE]]&lt;&gt;"", Table2[[#This Row],[SIZE]]=Data!$B$3),1,"")</f>
        <v/>
      </c>
      <c r="O185" s="998" t="str">
        <f>IF(AND(Table2[[#This Row],[TYPE]]&lt;&gt;"", Table2[[#This Row],[TYPE]]=Data!$B$4),1,"")</f>
        <v/>
      </c>
      <c r="P185" s="998" t="str">
        <f>IF(AND(Table2[[#This Row],[LV5 MAT NO.]]&lt;&gt;"", Table2[[#This Row],[LV5 MAT NO.]]=Data!$B$5),1,"")</f>
        <v/>
      </c>
      <c r="Q185" s="998" t="str">
        <f>IF(AND(Table2[[#This Row],[FROM]]&lt;&gt;"", Table2[[#This Row],[FROM]]=Data!$B$7),1,"")</f>
        <v/>
      </c>
      <c r="R185" s="998" t="str">
        <f>IF(AND(Table2[[#This Row],[LV3 or LV4 MAT NO.]]&lt;&gt;"", Table2[[#This Row],[LV3 or LV4 MAT NO.]]=Data!$B$8),1,"")</f>
        <v/>
      </c>
      <c r="S185" s="998"/>
      <c r="T185" s="998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35">
      <c r="I186" s="1000"/>
      <c r="L186" s="998" t="str">
        <f>IF(AND(Table2[[#This Row],[ORDER NO.]]&lt;&gt;"", Table2[[#This Row],[ORDER NO.]]=Data!$B$1),1,"")</f>
        <v/>
      </c>
      <c r="M186" s="998" t="str">
        <f>IFERROR(IF(AND(Table2[[#This Row],[SEREAL NO.]]&lt;&gt;"", Table2[[#This Row],[SEREAL NO.]]=Data!$A$103),1,""),"")</f>
        <v/>
      </c>
      <c r="N186" s="998" t="str">
        <f>IF(AND(Table2[[#This Row],[SIZE]]&lt;&gt;"", Table2[[#This Row],[SIZE]]=Data!$B$3),1,"")</f>
        <v/>
      </c>
      <c r="O186" s="998" t="str">
        <f>IF(AND(Table2[[#This Row],[TYPE]]&lt;&gt;"", Table2[[#This Row],[TYPE]]=Data!$B$4),1,"")</f>
        <v/>
      </c>
      <c r="P186" s="998" t="str">
        <f>IF(AND(Table2[[#This Row],[LV5 MAT NO.]]&lt;&gt;"", Table2[[#This Row],[LV5 MAT NO.]]=Data!$B$5),1,"")</f>
        <v/>
      </c>
      <c r="Q186" s="998" t="str">
        <f>IF(AND(Table2[[#This Row],[FROM]]&lt;&gt;"", Table2[[#This Row],[FROM]]=Data!$B$7),1,"")</f>
        <v/>
      </c>
      <c r="R186" s="998" t="str">
        <f>IF(AND(Table2[[#This Row],[LV3 or LV4 MAT NO.]]&lt;&gt;"", Table2[[#This Row],[LV3 or LV4 MAT NO.]]=Data!$B$8),1,"")</f>
        <v/>
      </c>
      <c r="S186" s="998"/>
      <c r="T186" s="998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35">
      <c r="I187" s="1000"/>
      <c r="L187" s="998" t="str">
        <f>IF(AND(Table2[[#This Row],[ORDER NO.]]&lt;&gt;"", Table2[[#This Row],[ORDER NO.]]=Data!$B$1),1,"")</f>
        <v/>
      </c>
      <c r="M187" s="998" t="str">
        <f>IFERROR(IF(AND(Table2[[#This Row],[SEREAL NO.]]&lt;&gt;"", Table2[[#This Row],[SEREAL NO.]]=Data!$A$103),1,""),"")</f>
        <v/>
      </c>
      <c r="N187" s="998" t="str">
        <f>IF(AND(Table2[[#This Row],[SIZE]]&lt;&gt;"", Table2[[#This Row],[SIZE]]=Data!$B$3),1,"")</f>
        <v/>
      </c>
      <c r="O187" s="998" t="str">
        <f>IF(AND(Table2[[#This Row],[TYPE]]&lt;&gt;"", Table2[[#This Row],[TYPE]]=Data!$B$4),1,"")</f>
        <v/>
      </c>
      <c r="P187" s="998" t="str">
        <f>IF(AND(Table2[[#This Row],[LV5 MAT NO.]]&lt;&gt;"", Table2[[#This Row],[LV5 MAT NO.]]=Data!$B$5),1,"")</f>
        <v/>
      </c>
      <c r="Q187" s="998" t="str">
        <f>IF(AND(Table2[[#This Row],[FROM]]&lt;&gt;"", Table2[[#This Row],[FROM]]=Data!$B$7),1,"")</f>
        <v/>
      </c>
      <c r="R187" s="998" t="str">
        <f>IF(AND(Table2[[#This Row],[LV3 or LV4 MAT NO.]]&lt;&gt;"", Table2[[#This Row],[LV3 or LV4 MAT NO.]]=Data!$B$8),1,"")</f>
        <v/>
      </c>
      <c r="S187" s="998"/>
      <c r="T187" s="998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35">
      <c r="I188" s="1000"/>
      <c r="L188" s="998" t="str">
        <f>IF(AND(Table2[[#This Row],[ORDER NO.]]&lt;&gt;"", Table2[[#This Row],[ORDER NO.]]=Data!$B$1),1,"")</f>
        <v/>
      </c>
      <c r="M188" s="998" t="str">
        <f>IFERROR(IF(AND(Table2[[#This Row],[SEREAL NO.]]&lt;&gt;"", Table2[[#This Row],[SEREAL NO.]]=Data!$A$103),1,""),"")</f>
        <v/>
      </c>
      <c r="N188" s="998" t="str">
        <f>IF(AND(Table2[[#This Row],[SIZE]]&lt;&gt;"", Table2[[#This Row],[SIZE]]=Data!$B$3),1,"")</f>
        <v/>
      </c>
      <c r="O188" s="998" t="str">
        <f>IF(AND(Table2[[#This Row],[TYPE]]&lt;&gt;"", Table2[[#This Row],[TYPE]]=Data!$B$4),1,"")</f>
        <v/>
      </c>
      <c r="P188" s="998" t="str">
        <f>IF(AND(Table2[[#This Row],[LV5 MAT NO.]]&lt;&gt;"", Table2[[#This Row],[LV5 MAT NO.]]=Data!$B$5),1,"")</f>
        <v/>
      </c>
      <c r="Q188" s="998" t="str">
        <f>IF(AND(Table2[[#This Row],[FROM]]&lt;&gt;"", Table2[[#This Row],[FROM]]=Data!$B$7),1,"")</f>
        <v/>
      </c>
      <c r="R188" s="998" t="str">
        <f>IF(AND(Table2[[#This Row],[LV3 or LV4 MAT NO.]]&lt;&gt;"", Table2[[#This Row],[LV3 or LV4 MAT NO.]]=Data!$B$8),1,"")</f>
        <v/>
      </c>
      <c r="S188" s="998"/>
      <c r="T188" s="998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35">
      <c r="I189" s="1000"/>
      <c r="L189" s="998" t="str">
        <f>IF(AND(Table2[[#This Row],[ORDER NO.]]&lt;&gt;"", Table2[[#This Row],[ORDER NO.]]=Data!$B$1),1,"")</f>
        <v/>
      </c>
      <c r="M189" s="998" t="str">
        <f>IFERROR(IF(AND(Table2[[#This Row],[SEREAL NO.]]&lt;&gt;"", Table2[[#This Row],[SEREAL NO.]]=Data!$A$103),1,""),"")</f>
        <v/>
      </c>
      <c r="N189" s="998" t="str">
        <f>IF(AND(Table2[[#This Row],[SIZE]]&lt;&gt;"", Table2[[#This Row],[SIZE]]=Data!$B$3),1,"")</f>
        <v/>
      </c>
      <c r="O189" s="998" t="str">
        <f>IF(AND(Table2[[#This Row],[TYPE]]&lt;&gt;"", Table2[[#This Row],[TYPE]]=Data!$B$4),1,"")</f>
        <v/>
      </c>
      <c r="P189" s="998" t="str">
        <f>IF(AND(Table2[[#This Row],[LV5 MAT NO.]]&lt;&gt;"", Table2[[#This Row],[LV5 MAT NO.]]=Data!$B$5),1,"")</f>
        <v/>
      </c>
      <c r="Q189" s="998" t="str">
        <f>IF(AND(Table2[[#This Row],[FROM]]&lt;&gt;"", Table2[[#This Row],[FROM]]=Data!$B$7),1,"")</f>
        <v/>
      </c>
      <c r="R189" s="998" t="str">
        <f>IF(AND(Table2[[#This Row],[LV3 or LV4 MAT NO.]]&lt;&gt;"", Table2[[#This Row],[LV3 or LV4 MAT NO.]]=Data!$B$8),1,"")</f>
        <v/>
      </c>
      <c r="S189" s="998"/>
      <c r="T189" s="998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35">
      <c r="I190" s="1000"/>
      <c r="L190" s="998" t="str">
        <f>IF(AND(Table2[[#This Row],[ORDER NO.]]&lt;&gt;"", Table2[[#This Row],[ORDER NO.]]=Data!$B$1),1,"")</f>
        <v/>
      </c>
      <c r="M190" s="998" t="str">
        <f>IFERROR(IF(AND(Table2[[#This Row],[SEREAL NO.]]&lt;&gt;"", Table2[[#This Row],[SEREAL NO.]]=Data!$A$103),1,""),"")</f>
        <v/>
      </c>
      <c r="N190" s="998" t="str">
        <f>IF(AND(Table2[[#This Row],[SIZE]]&lt;&gt;"", Table2[[#This Row],[SIZE]]=Data!$B$3),1,"")</f>
        <v/>
      </c>
      <c r="O190" s="998" t="str">
        <f>IF(AND(Table2[[#This Row],[TYPE]]&lt;&gt;"", Table2[[#This Row],[TYPE]]=Data!$B$4),1,"")</f>
        <v/>
      </c>
      <c r="P190" s="998" t="str">
        <f>IF(AND(Table2[[#This Row],[LV5 MAT NO.]]&lt;&gt;"", Table2[[#This Row],[LV5 MAT NO.]]=Data!$B$5),1,"")</f>
        <v/>
      </c>
      <c r="Q190" s="998" t="str">
        <f>IF(AND(Table2[[#This Row],[FROM]]&lt;&gt;"", Table2[[#This Row],[FROM]]=Data!$B$7),1,"")</f>
        <v/>
      </c>
      <c r="R190" s="998" t="str">
        <f>IF(AND(Table2[[#This Row],[LV3 or LV4 MAT NO.]]&lt;&gt;"", Table2[[#This Row],[LV3 or LV4 MAT NO.]]=Data!$B$8),1,"")</f>
        <v/>
      </c>
      <c r="S190" s="998"/>
      <c r="T190" s="998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35">
      <c r="I191" s="1000"/>
      <c r="L191" s="998" t="str">
        <f>IF(AND(Table2[[#This Row],[ORDER NO.]]&lt;&gt;"", Table2[[#This Row],[ORDER NO.]]=Data!$B$1),1,"")</f>
        <v/>
      </c>
      <c r="M191" s="998" t="str">
        <f>IFERROR(IF(AND(Table2[[#This Row],[SEREAL NO.]]&lt;&gt;"", Table2[[#This Row],[SEREAL NO.]]=Data!$A$103),1,""),"")</f>
        <v/>
      </c>
      <c r="N191" s="998" t="str">
        <f>IF(AND(Table2[[#This Row],[SIZE]]&lt;&gt;"", Table2[[#This Row],[SIZE]]=Data!$B$3),1,"")</f>
        <v/>
      </c>
      <c r="O191" s="998" t="str">
        <f>IF(AND(Table2[[#This Row],[TYPE]]&lt;&gt;"", Table2[[#This Row],[TYPE]]=Data!$B$4),1,"")</f>
        <v/>
      </c>
      <c r="P191" s="998" t="str">
        <f>IF(AND(Table2[[#This Row],[LV5 MAT NO.]]&lt;&gt;"", Table2[[#This Row],[LV5 MAT NO.]]=Data!$B$5),1,"")</f>
        <v/>
      </c>
      <c r="Q191" s="998" t="str">
        <f>IF(AND(Table2[[#This Row],[FROM]]&lt;&gt;"", Table2[[#This Row],[FROM]]=Data!$B$7),1,"")</f>
        <v/>
      </c>
      <c r="R191" s="998" t="str">
        <f>IF(AND(Table2[[#This Row],[LV3 or LV4 MAT NO.]]&lt;&gt;"", Table2[[#This Row],[LV3 or LV4 MAT NO.]]=Data!$B$8),1,"")</f>
        <v/>
      </c>
      <c r="S191" s="998"/>
      <c r="T191" s="998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35">
      <c r="I192" s="1000"/>
      <c r="L192" s="998" t="str">
        <f>IF(AND(Table2[[#This Row],[ORDER NO.]]&lt;&gt;"", Table2[[#This Row],[ORDER NO.]]=Data!$B$1),1,"")</f>
        <v/>
      </c>
      <c r="M192" s="998" t="str">
        <f>IFERROR(IF(AND(Table2[[#This Row],[SEREAL NO.]]&lt;&gt;"", Table2[[#This Row],[SEREAL NO.]]=Data!$A$103),1,""),"")</f>
        <v/>
      </c>
      <c r="N192" s="998" t="str">
        <f>IF(AND(Table2[[#This Row],[SIZE]]&lt;&gt;"", Table2[[#This Row],[SIZE]]=Data!$B$3),1,"")</f>
        <v/>
      </c>
      <c r="O192" s="998" t="str">
        <f>IF(AND(Table2[[#This Row],[TYPE]]&lt;&gt;"", Table2[[#This Row],[TYPE]]=Data!$B$4),1,"")</f>
        <v/>
      </c>
      <c r="P192" s="998" t="str">
        <f>IF(AND(Table2[[#This Row],[LV5 MAT NO.]]&lt;&gt;"", Table2[[#This Row],[LV5 MAT NO.]]=Data!$B$5),1,"")</f>
        <v/>
      </c>
      <c r="Q192" s="998" t="str">
        <f>IF(AND(Table2[[#This Row],[FROM]]&lt;&gt;"", Table2[[#This Row],[FROM]]=Data!$B$7),1,"")</f>
        <v/>
      </c>
      <c r="R192" s="998" t="str">
        <f>IF(AND(Table2[[#This Row],[LV3 or LV4 MAT NO.]]&lt;&gt;"", Table2[[#This Row],[LV3 or LV4 MAT NO.]]=Data!$B$8),1,"")</f>
        <v/>
      </c>
      <c r="S192" s="998"/>
      <c r="T192" s="998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35">
      <c r="I193" s="1000"/>
      <c r="L193" s="998" t="str">
        <f>IF(AND(Table2[[#This Row],[ORDER NO.]]&lt;&gt;"", Table2[[#This Row],[ORDER NO.]]=Data!$B$1),1,"")</f>
        <v/>
      </c>
      <c r="M193" s="998" t="str">
        <f>IFERROR(IF(AND(Table2[[#This Row],[SEREAL NO.]]&lt;&gt;"", Table2[[#This Row],[SEREAL NO.]]=Data!$A$103),1,""),"")</f>
        <v/>
      </c>
      <c r="N193" s="998" t="str">
        <f>IF(AND(Table2[[#This Row],[SIZE]]&lt;&gt;"", Table2[[#This Row],[SIZE]]=Data!$B$3),1,"")</f>
        <v/>
      </c>
      <c r="O193" s="998" t="str">
        <f>IF(AND(Table2[[#This Row],[TYPE]]&lt;&gt;"", Table2[[#This Row],[TYPE]]=Data!$B$4),1,"")</f>
        <v/>
      </c>
      <c r="P193" s="998" t="str">
        <f>IF(AND(Table2[[#This Row],[LV5 MAT NO.]]&lt;&gt;"", Table2[[#This Row],[LV5 MAT NO.]]=Data!$B$5),1,"")</f>
        <v/>
      </c>
      <c r="Q193" s="998" t="str">
        <f>IF(AND(Table2[[#This Row],[FROM]]&lt;&gt;"", Table2[[#This Row],[FROM]]=Data!$B$7),1,"")</f>
        <v/>
      </c>
      <c r="R193" s="998" t="str">
        <f>IF(AND(Table2[[#This Row],[LV3 or LV4 MAT NO.]]&lt;&gt;"", Table2[[#This Row],[LV3 or LV4 MAT NO.]]=Data!$B$8),1,"")</f>
        <v/>
      </c>
      <c r="S193" s="998"/>
      <c r="T193" s="998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35">
      <c r="I194" s="1000"/>
      <c r="L194" s="998" t="str">
        <f>IF(AND(Table2[[#This Row],[ORDER NO.]]&lt;&gt;"", Table2[[#This Row],[ORDER NO.]]=Data!$B$1),1,"")</f>
        <v/>
      </c>
      <c r="M194" s="998" t="str">
        <f>IFERROR(IF(AND(Table2[[#This Row],[SEREAL NO.]]&lt;&gt;"", Table2[[#This Row],[SEREAL NO.]]=Data!$A$103),1,""),"")</f>
        <v/>
      </c>
      <c r="N194" s="998" t="str">
        <f>IF(AND(Table2[[#This Row],[SIZE]]&lt;&gt;"", Table2[[#This Row],[SIZE]]=Data!$B$3),1,"")</f>
        <v/>
      </c>
      <c r="O194" s="998" t="str">
        <f>IF(AND(Table2[[#This Row],[TYPE]]&lt;&gt;"", Table2[[#This Row],[TYPE]]=Data!$B$4),1,"")</f>
        <v/>
      </c>
      <c r="P194" s="998" t="str">
        <f>IF(AND(Table2[[#This Row],[LV5 MAT NO.]]&lt;&gt;"", Table2[[#This Row],[LV5 MAT NO.]]=Data!$B$5),1,"")</f>
        <v/>
      </c>
      <c r="Q194" s="998" t="str">
        <f>IF(AND(Table2[[#This Row],[FROM]]&lt;&gt;"", Table2[[#This Row],[FROM]]=Data!$B$7),1,"")</f>
        <v/>
      </c>
      <c r="R194" s="998" t="str">
        <f>IF(AND(Table2[[#This Row],[LV3 or LV4 MAT NO.]]&lt;&gt;"", Table2[[#This Row],[LV3 or LV4 MAT NO.]]=Data!$B$8),1,"")</f>
        <v/>
      </c>
      <c r="S194" s="998"/>
      <c r="T194" s="998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35">
      <c r="I195" s="1000"/>
      <c r="L195" s="998" t="str">
        <f>IF(AND(Table2[[#This Row],[ORDER NO.]]&lt;&gt;"", Table2[[#This Row],[ORDER NO.]]=Data!$B$1),1,"")</f>
        <v/>
      </c>
      <c r="M195" s="998" t="str">
        <f>IFERROR(IF(AND(Table2[[#This Row],[SEREAL NO.]]&lt;&gt;"", Table2[[#This Row],[SEREAL NO.]]=Data!$A$103),1,""),"")</f>
        <v/>
      </c>
      <c r="N195" s="998" t="str">
        <f>IF(AND(Table2[[#This Row],[SIZE]]&lt;&gt;"", Table2[[#This Row],[SIZE]]=Data!$B$3),1,"")</f>
        <v/>
      </c>
      <c r="O195" s="998" t="str">
        <f>IF(AND(Table2[[#This Row],[TYPE]]&lt;&gt;"", Table2[[#This Row],[TYPE]]=Data!$B$4),1,"")</f>
        <v/>
      </c>
      <c r="P195" s="998" t="str">
        <f>IF(AND(Table2[[#This Row],[LV5 MAT NO.]]&lt;&gt;"", Table2[[#This Row],[LV5 MAT NO.]]=Data!$B$5),1,"")</f>
        <v/>
      </c>
      <c r="Q195" s="998" t="str">
        <f>IF(AND(Table2[[#This Row],[FROM]]&lt;&gt;"", Table2[[#This Row],[FROM]]=Data!$B$7),1,"")</f>
        <v/>
      </c>
      <c r="R195" s="998" t="str">
        <f>IF(AND(Table2[[#This Row],[LV3 or LV4 MAT NO.]]&lt;&gt;"", Table2[[#This Row],[LV3 or LV4 MAT NO.]]=Data!$B$8),1,"")</f>
        <v/>
      </c>
      <c r="S195" s="998"/>
      <c r="T195" s="998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35">
      <c r="I196" s="1000"/>
      <c r="L196" s="998" t="str">
        <f>IF(AND(Table2[[#This Row],[ORDER NO.]]&lt;&gt;"", Table2[[#This Row],[ORDER NO.]]=Data!$B$1),1,"")</f>
        <v/>
      </c>
      <c r="M196" s="998" t="str">
        <f>IFERROR(IF(AND(Table2[[#This Row],[SEREAL NO.]]&lt;&gt;"", Table2[[#This Row],[SEREAL NO.]]=Data!$A$103),1,""),"")</f>
        <v/>
      </c>
      <c r="N196" s="998" t="str">
        <f>IF(AND(Table2[[#This Row],[SIZE]]&lt;&gt;"", Table2[[#This Row],[SIZE]]=Data!$B$3),1,"")</f>
        <v/>
      </c>
      <c r="O196" s="998" t="str">
        <f>IF(AND(Table2[[#This Row],[TYPE]]&lt;&gt;"", Table2[[#This Row],[TYPE]]=Data!$B$4),1,"")</f>
        <v/>
      </c>
      <c r="P196" s="998" t="str">
        <f>IF(AND(Table2[[#This Row],[LV5 MAT NO.]]&lt;&gt;"", Table2[[#This Row],[LV5 MAT NO.]]=Data!$B$5),1,"")</f>
        <v/>
      </c>
      <c r="Q196" s="998" t="str">
        <f>IF(AND(Table2[[#This Row],[FROM]]&lt;&gt;"", Table2[[#This Row],[FROM]]=Data!$B$7),1,"")</f>
        <v/>
      </c>
      <c r="R196" s="998" t="str">
        <f>IF(AND(Table2[[#This Row],[LV3 or LV4 MAT NO.]]&lt;&gt;"", Table2[[#This Row],[LV3 or LV4 MAT NO.]]=Data!$B$8),1,"")</f>
        <v/>
      </c>
      <c r="S196" s="998"/>
      <c r="T196" s="998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35">
      <c r="I197" s="1000"/>
      <c r="L197" s="998" t="str">
        <f>IF(AND(Table2[[#This Row],[ORDER NO.]]&lt;&gt;"", Table2[[#This Row],[ORDER NO.]]=Data!$B$1),1,"")</f>
        <v/>
      </c>
      <c r="M197" s="998" t="str">
        <f>IFERROR(IF(AND(Table2[[#This Row],[SEREAL NO.]]&lt;&gt;"", Table2[[#This Row],[SEREAL NO.]]=Data!$A$103),1,""),"")</f>
        <v/>
      </c>
      <c r="N197" s="998" t="str">
        <f>IF(AND(Table2[[#This Row],[SIZE]]&lt;&gt;"", Table2[[#This Row],[SIZE]]=Data!$B$3),1,"")</f>
        <v/>
      </c>
      <c r="O197" s="998" t="str">
        <f>IF(AND(Table2[[#This Row],[TYPE]]&lt;&gt;"", Table2[[#This Row],[TYPE]]=Data!$B$4),1,"")</f>
        <v/>
      </c>
      <c r="P197" s="998" t="str">
        <f>IF(AND(Table2[[#This Row],[LV5 MAT NO.]]&lt;&gt;"", Table2[[#This Row],[LV5 MAT NO.]]=Data!$B$5),1,"")</f>
        <v/>
      </c>
      <c r="Q197" s="998" t="str">
        <f>IF(AND(Table2[[#This Row],[FROM]]&lt;&gt;"", Table2[[#This Row],[FROM]]=Data!$B$7),1,"")</f>
        <v/>
      </c>
      <c r="R197" s="998" t="str">
        <f>IF(AND(Table2[[#This Row],[LV3 or LV4 MAT NO.]]&lt;&gt;"", Table2[[#This Row],[LV3 or LV4 MAT NO.]]=Data!$B$8),1,"")</f>
        <v/>
      </c>
      <c r="S197" s="998"/>
      <c r="T197" s="998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35">
      <c r="I198" s="1000"/>
      <c r="L198" s="998" t="str">
        <f>IF(AND(Table2[[#This Row],[ORDER NO.]]&lt;&gt;"", Table2[[#This Row],[ORDER NO.]]=Data!$B$1),1,"")</f>
        <v/>
      </c>
      <c r="M198" s="998" t="str">
        <f>IFERROR(IF(AND(Table2[[#This Row],[SEREAL NO.]]&lt;&gt;"", Table2[[#This Row],[SEREAL NO.]]=Data!$A$103),1,""),"")</f>
        <v/>
      </c>
      <c r="N198" s="998" t="str">
        <f>IF(AND(Table2[[#This Row],[SIZE]]&lt;&gt;"", Table2[[#This Row],[SIZE]]=Data!$B$3),1,"")</f>
        <v/>
      </c>
      <c r="O198" s="998" t="str">
        <f>IF(AND(Table2[[#This Row],[TYPE]]&lt;&gt;"", Table2[[#This Row],[TYPE]]=Data!$B$4),1,"")</f>
        <v/>
      </c>
      <c r="P198" s="998" t="str">
        <f>IF(AND(Table2[[#This Row],[LV5 MAT NO.]]&lt;&gt;"", Table2[[#This Row],[LV5 MAT NO.]]=Data!$B$5),1,"")</f>
        <v/>
      </c>
      <c r="Q198" s="998" t="str">
        <f>IF(AND(Table2[[#This Row],[FROM]]&lt;&gt;"", Table2[[#This Row],[FROM]]=Data!$B$7),1,"")</f>
        <v/>
      </c>
      <c r="R198" s="998" t="str">
        <f>IF(AND(Table2[[#This Row],[LV3 or LV4 MAT NO.]]&lt;&gt;"", Table2[[#This Row],[LV3 or LV4 MAT NO.]]=Data!$B$8),1,"")</f>
        <v/>
      </c>
      <c r="S198" s="998"/>
      <c r="T198" s="998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35">
      <c r="I199" s="1000"/>
      <c r="L199" s="998" t="str">
        <f>IF(AND(Table2[[#This Row],[ORDER NO.]]&lt;&gt;"", Table2[[#This Row],[ORDER NO.]]=Data!$B$1),1,"")</f>
        <v/>
      </c>
      <c r="M199" s="998" t="str">
        <f>IFERROR(IF(AND(Table2[[#This Row],[SEREAL NO.]]&lt;&gt;"", Table2[[#This Row],[SEREAL NO.]]=Data!$A$103),1,""),"")</f>
        <v/>
      </c>
      <c r="N199" s="998" t="str">
        <f>IF(AND(Table2[[#This Row],[SIZE]]&lt;&gt;"", Table2[[#This Row],[SIZE]]=Data!$B$3),1,"")</f>
        <v/>
      </c>
      <c r="O199" s="998" t="str">
        <f>IF(AND(Table2[[#This Row],[TYPE]]&lt;&gt;"", Table2[[#This Row],[TYPE]]=Data!$B$4),1,"")</f>
        <v/>
      </c>
      <c r="P199" s="998" t="str">
        <f>IF(AND(Table2[[#This Row],[LV5 MAT NO.]]&lt;&gt;"", Table2[[#This Row],[LV5 MAT NO.]]=Data!$B$5),1,"")</f>
        <v/>
      </c>
      <c r="Q199" s="998" t="str">
        <f>IF(AND(Table2[[#This Row],[FROM]]&lt;&gt;"", Table2[[#This Row],[FROM]]=Data!$B$7),1,"")</f>
        <v/>
      </c>
      <c r="R199" s="998" t="str">
        <f>IF(AND(Table2[[#This Row],[LV3 or LV4 MAT NO.]]&lt;&gt;"", Table2[[#This Row],[LV3 or LV4 MAT NO.]]=Data!$B$8),1,"")</f>
        <v/>
      </c>
      <c r="S199" s="998"/>
      <c r="T199" s="998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35">
      <c r="I200" s="1000"/>
      <c r="L200" s="998" t="str">
        <f>IF(AND(Table2[[#This Row],[ORDER NO.]]&lt;&gt;"", Table2[[#This Row],[ORDER NO.]]=Data!$B$1),1,"")</f>
        <v/>
      </c>
      <c r="M200" s="998" t="str">
        <f>IFERROR(IF(AND(Table2[[#This Row],[SEREAL NO.]]&lt;&gt;"", Table2[[#This Row],[SEREAL NO.]]=Data!$A$103),1,""),"")</f>
        <v/>
      </c>
      <c r="N200" s="998" t="str">
        <f>IF(AND(Table2[[#This Row],[SIZE]]&lt;&gt;"", Table2[[#This Row],[SIZE]]=Data!$B$3),1,"")</f>
        <v/>
      </c>
      <c r="O200" s="998" t="str">
        <f>IF(AND(Table2[[#This Row],[TYPE]]&lt;&gt;"", Table2[[#This Row],[TYPE]]=Data!$B$4),1,"")</f>
        <v/>
      </c>
      <c r="P200" s="998" t="str">
        <f>IF(AND(Table2[[#This Row],[LV5 MAT NO.]]&lt;&gt;"", Table2[[#This Row],[LV5 MAT NO.]]=Data!$B$5),1,"")</f>
        <v/>
      </c>
      <c r="Q200" s="998" t="str">
        <f>IF(AND(Table2[[#This Row],[FROM]]&lt;&gt;"", Table2[[#This Row],[FROM]]=Data!$B$7),1,"")</f>
        <v/>
      </c>
      <c r="R200" s="998" t="str">
        <f>IF(AND(Table2[[#This Row],[LV3 or LV4 MAT NO.]]&lt;&gt;"", Table2[[#This Row],[LV3 or LV4 MAT NO.]]=Data!$B$8),1,"")</f>
        <v/>
      </c>
      <c r="S200" s="998"/>
      <c r="T200" s="998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35">
      <c r="I201" s="1000"/>
      <c r="L201" s="998" t="str">
        <f>IF(AND(Table2[[#This Row],[ORDER NO.]]&lt;&gt;"", Table2[[#This Row],[ORDER NO.]]=Data!$B$1),1,"")</f>
        <v/>
      </c>
      <c r="M201" s="998" t="str">
        <f>IFERROR(IF(AND(Table2[[#This Row],[SEREAL NO.]]&lt;&gt;"", Table2[[#This Row],[SEREAL NO.]]=Data!$A$103),1,""),"")</f>
        <v/>
      </c>
      <c r="N201" s="998" t="str">
        <f>IF(AND(Table2[[#This Row],[SIZE]]&lt;&gt;"", Table2[[#This Row],[SIZE]]=Data!$B$3),1,"")</f>
        <v/>
      </c>
      <c r="O201" s="998" t="str">
        <f>IF(AND(Table2[[#This Row],[TYPE]]&lt;&gt;"", Table2[[#This Row],[TYPE]]=Data!$B$4),1,"")</f>
        <v/>
      </c>
      <c r="P201" s="998" t="str">
        <f>IF(AND(Table2[[#This Row],[LV5 MAT NO.]]&lt;&gt;"", Table2[[#This Row],[LV5 MAT NO.]]=Data!$B$5),1,"")</f>
        <v/>
      </c>
      <c r="Q201" s="998" t="str">
        <f>IF(AND(Table2[[#This Row],[FROM]]&lt;&gt;"", Table2[[#This Row],[FROM]]=Data!$B$7),1,"")</f>
        <v/>
      </c>
      <c r="R201" s="998" t="str">
        <f>IF(AND(Table2[[#This Row],[LV3 or LV4 MAT NO.]]&lt;&gt;"", Table2[[#This Row],[LV3 or LV4 MAT NO.]]=Data!$B$8),1,"")</f>
        <v/>
      </c>
      <c r="S201" s="998"/>
      <c r="T201" s="998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35">
      <c r="I202" s="1000"/>
      <c r="L202" s="998" t="str">
        <f>IF(AND(Table2[[#This Row],[ORDER NO.]]&lt;&gt;"", Table2[[#This Row],[ORDER NO.]]=Data!$B$1),1,"")</f>
        <v/>
      </c>
      <c r="M202" s="998" t="str">
        <f>IFERROR(IF(AND(Table2[[#This Row],[SEREAL NO.]]&lt;&gt;"", Table2[[#This Row],[SEREAL NO.]]=Data!$A$103),1,""),"")</f>
        <v/>
      </c>
      <c r="N202" s="998" t="str">
        <f>IF(AND(Table2[[#This Row],[SIZE]]&lt;&gt;"", Table2[[#This Row],[SIZE]]=Data!$B$3),1,"")</f>
        <v/>
      </c>
      <c r="O202" s="998" t="str">
        <f>IF(AND(Table2[[#This Row],[TYPE]]&lt;&gt;"", Table2[[#This Row],[TYPE]]=Data!$B$4),1,"")</f>
        <v/>
      </c>
      <c r="P202" s="998" t="str">
        <f>IF(AND(Table2[[#This Row],[LV5 MAT NO.]]&lt;&gt;"", Table2[[#This Row],[LV5 MAT NO.]]=Data!$B$5),1,"")</f>
        <v/>
      </c>
      <c r="Q202" s="998" t="str">
        <f>IF(AND(Table2[[#This Row],[FROM]]&lt;&gt;"", Table2[[#This Row],[FROM]]=Data!$B$7),1,"")</f>
        <v/>
      </c>
      <c r="R202" s="998" t="str">
        <f>IF(AND(Table2[[#This Row],[LV3 or LV4 MAT NO.]]&lt;&gt;"", Table2[[#This Row],[LV3 or LV4 MAT NO.]]=Data!$B$8),1,"")</f>
        <v/>
      </c>
      <c r="S202" s="998"/>
      <c r="T202" s="998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35">
      <c r="I203" s="1000"/>
      <c r="L203" s="998" t="str">
        <f>IF(AND(Table2[[#This Row],[ORDER NO.]]&lt;&gt;"", Table2[[#This Row],[ORDER NO.]]=Data!$B$1),1,"")</f>
        <v/>
      </c>
      <c r="M203" s="998" t="str">
        <f>IFERROR(IF(AND(Table2[[#This Row],[SEREAL NO.]]&lt;&gt;"", Table2[[#This Row],[SEREAL NO.]]=Data!$A$103),1,""),"")</f>
        <v/>
      </c>
      <c r="N203" s="998" t="str">
        <f>IF(AND(Table2[[#This Row],[SIZE]]&lt;&gt;"", Table2[[#This Row],[SIZE]]=Data!$B$3),1,"")</f>
        <v/>
      </c>
      <c r="O203" s="998" t="str">
        <f>IF(AND(Table2[[#This Row],[TYPE]]&lt;&gt;"", Table2[[#This Row],[TYPE]]=Data!$B$4),1,"")</f>
        <v/>
      </c>
      <c r="P203" s="998" t="str">
        <f>IF(AND(Table2[[#This Row],[LV5 MAT NO.]]&lt;&gt;"", Table2[[#This Row],[LV5 MAT NO.]]=Data!$B$5),1,"")</f>
        <v/>
      </c>
      <c r="Q203" s="998" t="str">
        <f>IF(AND(Table2[[#This Row],[FROM]]&lt;&gt;"", Table2[[#This Row],[FROM]]=Data!$B$7),1,"")</f>
        <v/>
      </c>
      <c r="R203" s="998" t="str">
        <f>IF(AND(Table2[[#This Row],[LV3 or LV4 MAT NO.]]&lt;&gt;"", Table2[[#This Row],[LV3 or LV4 MAT NO.]]=Data!$B$8),1,"")</f>
        <v/>
      </c>
      <c r="S203" s="998"/>
      <c r="T203" s="998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35">
      <c r="I204" s="1000"/>
      <c r="L204" s="998" t="str">
        <f>IF(AND(Table2[[#This Row],[ORDER NO.]]&lt;&gt;"", Table2[[#This Row],[ORDER NO.]]=Data!$B$1),1,"")</f>
        <v/>
      </c>
      <c r="M204" s="998" t="str">
        <f>IFERROR(IF(AND(Table2[[#This Row],[SEREAL NO.]]&lt;&gt;"", Table2[[#This Row],[SEREAL NO.]]=Data!$A$103),1,""),"")</f>
        <v/>
      </c>
      <c r="N204" s="998" t="str">
        <f>IF(AND(Table2[[#This Row],[SIZE]]&lt;&gt;"", Table2[[#This Row],[SIZE]]=Data!$B$3),1,"")</f>
        <v/>
      </c>
      <c r="O204" s="998" t="str">
        <f>IF(AND(Table2[[#This Row],[TYPE]]&lt;&gt;"", Table2[[#This Row],[TYPE]]=Data!$B$4),1,"")</f>
        <v/>
      </c>
      <c r="P204" s="998" t="str">
        <f>IF(AND(Table2[[#This Row],[LV5 MAT NO.]]&lt;&gt;"", Table2[[#This Row],[LV5 MAT NO.]]=Data!$B$5),1,"")</f>
        <v/>
      </c>
      <c r="Q204" s="998" t="str">
        <f>IF(AND(Table2[[#This Row],[FROM]]&lt;&gt;"", Table2[[#This Row],[FROM]]=Data!$B$7),1,"")</f>
        <v/>
      </c>
      <c r="R204" s="998" t="str">
        <f>IF(AND(Table2[[#This Row],[LV3 or LV4 MAT NO.]]&lt;&gt;"", Table2[[#This Row],[LV3 or LV4 MAT NO.]]=Data!$B$8),1,"")</f>
        <v/>
      </c>
      <c r="S204" s="998"/>
      <c r="T204" s="998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35">
      <c r="I205" s="1000"/>
      <c r="L205" s="998" t="str">
        <f>IF(AND(Table2[[#This Row],[ORDER NO.]]&lt;&gt;"", Table2[[#This Row],[ORDER NO.]]=Data!$B$1),1,"")</f>
        <v/>
      </c>
      <c r="M205" s="998" t="str">
        <f>IFERROR(IF(AND(Table2[[#This Row],[SEREAL NO.]]&lt;&gt;"", Table2[[#This Row],[SEREAL NO.]]=Data!$A$103),1,""),"")</f>
        <v/>
      </c>
      <c r="N205" s="998" t="str">
        <f>IF(AND(Table2[[#This Row],[SIZE]]&lt;&gt;"", Table2[[#This Row],[SIZE]]=Data!$B$3),1,"")</f>
        <v/>
      </c>
      <c r="O205" s="998" t="str">
        <f>IF(AND(Table2[[#This Row],[TYPE]]&lt;&gt;"", Table2[[#This Row],[TYPE]]=Data!$B$4),1,"")</f>
        <v/>
      </c>
      <c r="P205" s="998" t="str">
        <f>IF(AND(Table2[[#This Row],[LV5 MAT NO.]]&lt;&gt;"", Table2[[#This Row],[LV5 MAT NO.]]=Data!$B$5),1,"")</f>
        <v/>
      </c>
      <c r="Q205" s="998" t="str">
        <f>IF(AND(Table2[[#This Row],[FROM]]&lt;&gt;"", Table2[[#This Row],[FROM]]=Data!$B$7),1,"")</f>
        <v/>
      </c>
      <c r="R205" s="998" t="str">
        <f>IF(AND(Table2[[#This Row],[LV3 or LV4 MAT NO.]]&lt;&gt;"", Table2[[#This Row],[LV3 or LV4 MAT NO.]]=Data!$B$8),1,"")</f>
        <v/>
      </c>
      <c r="S205" s="998"/>
      <c r="T205" s="998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35">
      <c r="I206" s="1000"/>
      <c r="L206" s="998" t="str">
        <f>IF(AND(Table2[[#This Row],[ORDER NO.]]&lt;&gt;"", Table2[[#This Row],[ORDER NO.]]=Data!$B$1),1,"")</f>
        <v/>
      </c>
      <c r="M206" s="998" t="str">
        <f>IFERROR(IF(AND(Table2[[#This Row],[SEREAL NO.]]&lt;&gt;"", Table2[[#This Row],[SEREAL NO.]]=Data!$A$103),1,""),"")</f>
        <v/>
      </c>
      <c r="N206" s="998" t="str">
        <f>IF(AND(Table2[[#This Row],[SIZE]]&lt;&gt;"", Table2[[#This Row],[SIZE]]=Data!$B$3),1,"")</f>
        <v/>
      </c>
      <c r="O206" s="998" t="str">
        <f>IF(AND(Table2[[#This Row],[TYPE]]&lt;&gt;"", Table2[[#This Row],[TYPE]]=Data!$B$4),1,"")</f>
        <v/>
      </c>
      <c r="P206" s="998" t="str">
        <f>IF(AND(Table2[[#This Row],[LV5 MAT NO.]]&lt;&gt;"", Table2[[#This Row],[LV5 MAT NO.]]=Data!$B$5),1,"")</f>
        <v/>
      </c>
      <c r="Q206" s="998" t="str">
        <f>IF(AND(Table2[[#This Row],[FROM]]&lt;&gt;"", Table2[[#This Row],[FROM]]=Data!$B$7),1,"")</f>
        <v/>
      </c>
      <c r="R206" s="998" t="str">
        <f>IF(AND(Table2[[#This Row],[LV3 or LV4 MAT NO.]]&lt;&gt;"", Table2[[#This Row],[LV3 or LV4 MAT NO.]]=Data!$B$8),1,"")</f>
        <v/>
      </c>
      <c r="S206" s="998"/>
      <c r="T206" s="998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35">
      <c r="I207" s="1000"/>
      <c r="L207" s="998" t="str">
        <f>IF(AND(Table2[[#This Row],[ORDER NO.]]&lt;&gt;"", Table2[[#This Row],[ORDER NO.]]=Data!$B$1),1,"")</f>
        <v/>
      </c>
      <c r="M207" s="998" t="str">
        <f>IFERROR(IF(AND(Table2[[#This Row],[SEREAL NO.]]&lt;&gt;"", Table2[[#This Row],[SEREAL NO.]]=Data!$A$103),1,""),"")</f>
        <v/>
      </c>
      <c r="N207" s="998" t="str">
        <f>IF(AND(Table2[[#This Row],[SIZE]]&lt;&gt;"", Table2[[#This Row],[SIZE]]=Data!$B$3),1,"")</f>
        <v/>
      </c>
      <c r="O207" s="998" t="str">
        <f>IF(AND(Table2[[#This Row],[TYPE]]&lt;&gt;"", Table2[[#This Row],[TYPE]]=Data!$B$4),1,"")</f>
        <v/>
      </c>
      <c r="P207" s="998" t="str">
        <f>IF(AND(Table2[[#This Row],[LV5 MAT NO.]]&lt;&gt;"", Table2[[#This Row],[LV5 MAT NO.]]=Data!$B$5),1,"")</f>
        <v/>
      </c>
      <c r="Q207" s="998" t="str">
        <f>IF(AND(Table2[[#This Row],[FROM]]&lt;&gt;"", Table2[[#This Row],[FROM]]=Data!$B$7),1,"")</f>
        <v/>
      </c>
      <c r="R207" s="998" t="str">
        <f>IF(AND(Table2[[#This Row],[LV3 or LV4 MAT NO.]]&lt;&gt;"", Table2[[#This Row],[LV3 or LV4 MAT NO.]]=Data!$B$8),1,"")</f>
        <v/>
      </c>
      <c r="S207" s="998"/>
      <c r="T207" s="998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35">
      <c r="I208" s="1000"/>
      <c r="L208" s="998" t="str">
        <f>IF(AND(Table2[[#This Row],[ORDER NO.]]&lt;&gt;"", Table2[[#This Row],[ORDER NO.]]=Data!$B$1),1,"")</f>
        <v/>
      </c>
      <c r="M208" s="998" t="str">
        <f>IFERROR(IF(AND(Table2[[#This Row],[SEREAL NO.]]&lt;&gt;"", Table2[[#This Row],[SEREAL NO.]]=Data!$A$103),1,""),"")</f>
        <v/>
      </c>
      <c r="N208" s="998" t="str">
        <f>IF(AND(Table2[[#This Row],[SIZE]]&lt;&gt;"", Table2[[#This Row],[SIZE]]=Data!$B$3),1,"")</f>
        <v/>
      </c>
      <c r="O208" s="998" t="str">
        <f>IF(AND(Table2[[#This Row],[TYPE]]&lt;&gt;"", Table2[[#This Row],[TYPE]]=Data!$B$4),1,"")</f>
        <v/>
      </c>
      <c r="P208" s="998" t="str">
        <f>IF(AND(Table2[[#This Row],[LV5 MAT NO.]]&lt;&gt;"", Table2[[#This Row],[LV5 MAT NO.]]=Data!$B$5),1,"")</f>
        <v/>
      </c>
      <c r="Q208" s="998" t="str">
        <f>IF(AND(Table2[[#This Row],[FROM]]&lt;&gt;"", Table2[[#This Row],[FROM]]=Data!$B$7),1,"")</f>
        <v/>
      </c>
      <c r="R208" s="998" t="str">
        <f>IF(AND(Table2[[#This Row],[LV3 or LV4 MAT NO.]]&lt;&gt;"", Table2[[#This Row],[LV3 or LV4 MAT NO.]]=Data!$B$8),1,"")</f>
        <v/>
      </c>
      <c r="S208" s="998"/>
      <c r="T208" s="998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35">
      <c r="I209" s="1000"/>
      <c r="L209" s="998" t="str">
        <f>IF(AND(Table2[[#This Row],[ORDER NO.]]&lt;&gt;"", Table2[[#This Row],[ORDER NO.]]=Data!$B$1),1,"")</f>
        <v/>
      </c>
      <c r="M209" s="998" t="str">
        <f>IFERROR(IF(AND(Table2[[#This Row],[SEREAL NO.]]&lt;&gt;"", Table2[[#This Row],[SEREAL NO.]]=Data!$A$103),1,""),"")</f>
        <v/>
      </c>
      <c r="N209" s="998" t="str">
        <f>IF(AND(Table2[[#This Row],[SIZE]]&lt;&gt;"", Table2[[#This Row],[SIZE]]=Data!$B$3),1,"")</f>
        <v/>
      </c>
      <c r="O209" s="998" t="str">
        <f>IF(AND(Table2[[#This Row],[TYPE]]&lt;&gt;"", Table2[[#This Row],[TYPE]]=Data!$B$4),1,"")</f>
        <v/>
      </c>
      <c r="P209" s="998" t="str">
        <f>IF(AND(Table2[[#This Row],[LV5 MAT NO.]]&lt;&gt;"", Table2[[#This Row],[LV5 MAT NO.]]=Data!$B$5),1,"")</f>
        <v/>
      </c>
      <c r="Q209" s="998" t="str">
        <f>IF(AND(Table2[[#This Row],[FROM]]&lt;&gt;"", Table2[[#This Row],[FROM]]=Data!$B$7),1,"")</f>
        <v/>
      </c>
      <c r="R209" s="998" t="str">
        <f>IF(AND(Table2[[#This Row],[LV3 or LV4 MAT NO.]]&lt;&gt;"", Table2[[#This Row],[LV3 or LV4 MAT NO.]]=Data!$B$8),1,"")</f>
        <v/>
      </c>
      <c r="S209" s="998"/>
      <c r="T209" s="998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35">
      <c r="I210" s="1000"/>
      <c r="L210" s="998" t="str">
        <f>IF(AND(Table2[[#This Row],[ORDER NO.]]&lt;&gt;"", Table2[[#This Row],[ORDER NO.]]=Data!$B$1),1,"")</f>
        <v/>
      </c>
      <c r="M210" s="998" t="str">
        <f>IFERROR(IF(AND(Table2[[#This Row],[SEREAL NO.]]&lt;&gt;"", Table2[[#This Row],[SEREAL NO.]]=Data!$A$103),1,""),"")</f>
        <v/>
      </c>
      <c r="N210" s="998" t="str">
        <f>IF(AND(Table2[[#This Row],[SIZE]]&lt;&gt;"", Table2[[#This Row],[SIZE]]=Data!$B$3),1,"")</f>
        <v/>
      </c>
      <c r="O210" s="998" t="str">
        <f>IF(AND(Table2[[#This Row],[TYPE]]&lt;&gt;"", Table2[[#This Row],[TYPE]]=Data!$B$4),1,"")</f>
        <v/>
      </c>
      <c r="P210" s="998" t="str">
        <f>IF(AND(Table2[[#This Row],[LV5 MAT NO.]]&lt;&gt;"", Table2[[#This Row],[LV5 MAT NO.]]=Data!$B$5),1,"")</f>
        <v/>
      </c>
      <c r="Q210" s="998" t="str">
        <f>IF(AND(Table2[[#This Row],[FROM]]&lt;&gt;"", Table2[[#This Row],[FROM]]=Data!$B$7),1,"")</f>
        <v/>
      </c>
      <c r="R210" s="998" t="str">
        <f>IF(AND(Table2[[#This Row],[LV3 or LV4 MAT NO.]]&lt;&gt;"", Table2[[#This Row],[LV3 or LV4 MAT NO.]]=Data!$B$8),1,"")</f>
        <v/>
      </c>
      <c r="S210" s="998"/>
      <c r="T210" s="998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35">
      <c r="I211" s="1000"/>
      <c r="L211" s="998" t="str">
        <f>IF(AND(Table2[[#This Row],[ORDER NO.]]&lt;&gt;"", Table2[[#This Row],[ORDER NO.]]=Data!$B$1),1,"")</f>
        <v/>
      </c>
      <c r="M211" s="998" t="str">
        <f>IFERROR(IF(AND(Table2[[#This Row],[SEREAL NO.]]&lt;&gt;"", Table2[[#This Row],[SEREAL NO.]]=Data!$A$103),1,""),"")</f>
        <v/>
      </c>
      <c r="N211" s="998" t="str">
        <f>IF(AND(Table2[[#This Row],[SIZE]]&lt;&gt;"", Table2[[#This Row],[SIZE]]=Data!$B$3),1,"")</f>
        <v/>
      </c>
      <c r="O211" s="998" t="str">
        <f>IF(AND(Table2[[#This Row],[TYPE]]&lt;&gt;"", Table2[[#This Row],[TYPE]]=Data!$B$4),1,"")</f>
        <v/>
      </c>
      <c r="P211" s="998" t="str">
        <f>IF(AND(Table2[[#This Row],[LV5 MAT NO.]]&lt;&gt;"", Table2[[#This Row],[LV5 MAT NO.]]=Data!$B$5),1,"")</f>
        <v/>
      </c>
      <c r="Q211" s="998" t="str">
        <f>IF(AND(Table2[[#This Row],[FROM]]&lt;&gt;"", Table2[[#This Row],[FROM]]=Data!$B$7),1,"")</f>
        <v/>
      </c>
      <c r="R211" s="998" t="str">
        <f>IF(AND(Table2[[#This Row],[LV3 or LV4 MAT NO.]]&lt;&gt;"", Table2[[#This Row],[LV3 or LV4 MAT NO.]]=Data!$B$8),1,"")</f>
        <v/>
      </c>
      <c r="S211" s="998"/>
      <c r="T211" s="998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35">
      <c r="I212" s="1000"/>
      <c r="L212" s="998" t="str">
        <f>IF(AND(Table2[[#This Row],[ORDER NO.]]&lt;&gt;"", Table2[[#This Row],[ORDER NO.]]=Data!$B$1),1,"")</f>
        <v/>
      </c>
      <c r="M212" s="998" t="str">
        <f>IFERROR(IF(AND(Table2[[#This Row],[SEREAL NO.]]&lt;&gt;"", Table2[[#This Row],[SEREAL NO.]]=Data!$A$103),1,""),"")</f>
        <v/>
      </c>
      <c r="N212" s="998" t="str">
        <f>IF(AND(Table2[[#This Row],[SIZE]]&lt;&gt;"", Table2[[#This Row],[SIZE]]=Data!$B$3),1,"")</f>
        <v/>
      </c>
      <c r="O212" s="998" t="str">
        <f>IF(AND(Table2[[#This Row],[TYPE]]&lt;&gt;"", Table2[[#This Row],[TYPE]]=Data!$B$4),1,"")</f>
        <v/>
      </c>
      <c r="P212" s="998" t="str">
        <f>IF(AND(Table2[[#This Row],[LV5 MAT NO.]]&lt;&gt;"", Table2[[#This Row],[LV5 MAT NO.]]=Data!$B$5),1,"")</f>
        <v/>
      </c>
      <c r="Q212" s="998" t="str">
        <f>IF(AND(Table2[[#This Row],[FROM]]&lt;&gt;"", Table2[[#This Row],[FROM]]=Data!$B$7),1,"")</f>
        <v/>
      </c>
      <c r="R212" s="998" t="str">
        <f>IF(AND(Table2[[#This Row],[LV3 or LV4 MAT NO.]]&lt;&gt;"", Table2[[#This Row],[LV3 or LV4 MAT NO.]]=Data!$B$8),1,"")</f>
        <v/>
      </c>
      <c r="S212" s="998"/>
      <c r="T212" s="998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35">
      <c r="I213" s="1000"/>
      <c r="L213" s="998" t="str">
        <f>IF(AND(Table2[[#This Row],[ORDER NO.]]&lt;&gt;"", Table2[[#This Row],[ORDER NO.]]=Data!$B$1),1,"")</f>
        <v/>
      </c>
      <c r="M213" s="998" t="str">
        <f>IFERROR(IF(AND(Table2[[#This Row],[SEREAL NO.]]&lt;&gt;"", Table2[[#This Row],[SEREAL NO.]]=Data!$A$103),1,""),"")</f>
        <v/>
      </c>
      <c r="N213" s="998" t="str">
        <f>IF(AND(Table2[[#This Row],[SIZE]]&lt;&gt;"", Table2[[#This Row],[SIZE]]=Data!$B$3),1,"")</f>
        <v/>
      </c>
      <c r="O213" s="998" t="str">
        <f>IF(AND(Table2[[#This Row],[TYPE]]&lt;&gt;"", Table2[[#This Row],[TYPE]]=Data!$B$4),1,"")</f>
        <v/>
      </c>
      <c r="P213" s="998" t="str">
        <f>IF(AND(Table2[[#This Row],[LV5 MAT NO.]]&lt;&gt;"", Table2[[#This Row],[LV5 MAT NO.]]=Data!$B$5),1,"")</f>
        <v/>
      </c>
      <c r="Q213" s="998" t="str">
        <f>IF(AND(Table2[[#This Row],[FROM]]&lt;&gt;"", Table2[[#This Row],[FROM]]=Data!$B$7),1,"")</f>
        <v/>
      </c>
      <c r="R213" s="998" t="str">
        <f>IF(AND(Table2[[#This Row],[LV3 or LV4 MAT NO.]]&lt;&gt;"", Table2[[#This Row],[LV3 or LV4 MAT NO.]]=Data!$B$8),1,"")</f>
        <v/>
      </c>
      <c r="S213" s="998"/>
      <c r="T213" s="998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35">
      <c r="I214" s="1000"/>
      <c r="L214" s="998" t="str">
        <f>IF(AND(Table2[[#This Row],[ORDER NO.]]&lt;&gt;"", Table2[[#This Row],[ORDER NO.]]=Data!$B$1),1,"")</f>
        <v/>
      </c>
      <c r="M214" s="998" t="str">
        <f>IFERROR(IF(AND(Table2[[#This Row],[SEREAL NO.]]&lt;&gt;"", Table2[[#This Row],[SEREAL NO.]]=Data!$A$103),1,""),"")</f>
        <v/>
      </c>
      <c r="N214" s="998" t="str">
        <f>IF(AND(Table2[[#This Row],[SIZE]]&lt;&gt;"", Table2[[#This Row],[SIZE]]=Data!$B$3),1,"")</f>
        <v/>
      </c>
      <c r="O214" s="998" t="str">
        <f>IF(AND(Table2[[#This Row],[TYPE]]&lt;&gt;"", Table2[[#This Row],[TYPE]]=Data!$B$4),1,"")</f>
        <v/>
      </c>
      <c r="P214" s="998" t="str">
        <f>IF(AND(Table2[[#This Row],[LV5 MAT NO.]]&lt;&gt;"", Table2[[#This Row],[LV5 MAT NO.]]=Data!$B$5),1,"")</f>
        <v/>
      </c>
      <c r="Q214" s="998" t="str">
        <f>IF(AND(Table2[[#This Row],[FROM]]&lt;&gt;"", Table2[[#This Row],[FROM]]=Data!$B$7),1,"")</f>
        <v/>
      </c>
      <c r="R214" s="998" t="str">
        <f>IF(AND(Table2[[#This Row],[LV3 or LV4 MAT NO.]]&lt;&gt;"", Table2[[#This Row],[LV3 or LV4 MAT NO.]]=Data!$B$8),1,"")</f>
        <v/>
      </c>
      <c r="S214" s="998"/>
      <c r="T214" s="998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35">
      <c r="I215" s="1000"/>
      <c r="L215" s="998" t="str">
        <f>IF(AND(Table2[[#This Row],[ORDER NO.]]&lt;&gt;"", Table2[[#This Row],[ORDER NO.]]=Data!$B$1),1,"")</f>
        <v/>
      </c>
      <c r="M215" s="998" t="str">
        <f>IFERROR(IF(AND(Table2[[#This Row],[SEREAL NO.]]&lt;&gt;"", Table2[[#This Row],[SEREAL NO.]]=Data!$A$103),1,""),"")</f>
        <v/>
      </c>
      <c r="N215" s="998" t="str">
        <f>IF(AND(Table2[[#This Row],[SIZE]]&lt;&gt;"", Table2[[#This Row],[SIZE]]=Data!$B$3),1,"")</f>
        <v/>
      </c>
      <c r="O215" s="998" t="str">
        <f>IF(AND(Table2[[#This Row],[TYPE]]&lt;&gt;"", Table2[[#This Row],[TYPE]]=Data!$B$4),1,"")</f>
        <v/>
      </c>
      <c r="P215" s="998" t="str">
        <f>IF(AND(Table2[[#This Row],[LV5 MAT NO.]]&lt;&gt;"", Table2[[#This Row],[LV5 MAT NO.]]=Data!$B$5),1,"")</f>
        <v/>
      </c>
      <c r="Q215" s="998" t="str">
        <f>IF(AND(Table2[[#This Row],[FROM]]&lt;&gt;"", Table2[[#This Row],[FROM]]=Data!$B$7),1,"")</f>
        <v/>
      </c>
      <c r="R215" s="998" t="str">
        <f>IF(AND(Table2[[#This Row],[LV3 or LV4 MAT NO.]]&lt;&gt;"", Table2[[#This Row],[LV3 or LV4 MAT NO.]]=Data!$B$8),1,"")</f>
        <v/>
      </c>
      <c r="S215" s="998"/>
      <c r="T215" s="998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35">
      <c r="I216" s="1000"/>
      <c r="L216" s="998" t="str">
        <f>IF(AND(Table2[[#This Row],[ORDER NO.]]&lt;&gt;"", Table2[[#This Row],[ORDER NO.]]=Data!$B$1),1,"")</f>
        <v/>
      </c>
      <c r="M216" s="998" t="str">
        <f>IFERROR(IF(AND(Table2[[#This Row],[SEREAL NO.]]&lt;&gt;"", Table2[[#This Row],[SEREAL NO.]]=Data!$A$103),1,""),"")</f>
        <v/>
      </c>
      <c r="N216" s="998" t="str">
        <f>IF(AND(Table2[[#This Row],[SIZE]]&lt;&gt;"", Table2[[#This Row],[SIZE]]=Data!$B$3),1,"")</f>
        <v/>
      </c>
      <c r="O216" s="998" t="str">
        <f>IF(AND(Table2[[#This Row],[TYPE]]&lt;&gt;"", Table2[[#This Row],[TYPE]]=Data!$B$4),1,"")</f>
        <v/>
      </c>
      <c r="P216" s="998" t="str">
        <f>IF(AND(Table2[[#This Row],[LV5 MAT NO.]]&lt;&gt;"", Table2[[#This Row],[LV5 MAT NO.]]=Data!$B$5),1,"")</f>
        <v/>
      </c>
      <c r="Q216" s="998" t="str">
        <f>IF(AND(Table2[[#This Row],[FROM]]&lt;&gt;"", Table2[[#This Row],[FROM]]=Data!$B$7),1,"")</f>
        <v/>
      </c>
      <c r="R216" s="998" t="str">
        <f>IF(AND(Table2[[#This Row],[LV3 or LV4 MAT NO.]]&lt;&gt;"", Table2[[#This Row],[LV3 or LV4 MAT NO.]]=Data!$B$8),1,"")</f>
        <v/>
      </c>
      <c r="S216" s="998"/>
      <c r="T216" s="998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35">
      <c r="I217" s="1000"/>
      <c r="L217" s="998" t="str">
        <f>IF(AND(Table2[[#This Row],[ORDER NO.]]&lt;&gt;"", Table2[[#This Row],[ORDER NO.]]=Data!$B$1),1,"")</f>
        <v/>
      </c>
      <c r="M217" s="998" t="str">
        <f>IFERROR(IF(AND(Table2[[#This Row],[SEREAL NO.]]&lt;&gt;"", Table2[[#This Row],[SEREAL NO.]]=Data!$A$103),1,""),"")</f>
        <v/>
      </c>
      <c r="N217" s="998" t="str">
        <f>IF(AND(Table2[[#This Row],[SIZE]]&lt;&gt;"", Table2[[#This Row],[SIZE]]=Data!$B$3),1,"")</f>
        <v/>
      </c>
      <c r="O217" s="998" t="str">
        <f>IF(AND(Table2[[#This Row],[TYPE]]&lt;&gt;"", Table2[[#This Row],[TYPE]]=Data!$B$4),1,"")</f>
        <v/>
      </c>
      <c r="P217" s="998" t="str">
        <f>IF(AND(Table2[[#This Row],[LV5 MAT NO.]]&lt;&gt;"", Table2[[#This Row],[LV5 MAT NO.]]=Data!$B$5),1,"")</f>
        <v/>
      </c>
      <c r="Q217" s="998" t="str">
        <f>IF(AND(Table2[[#This Row],[FROM]]&lt;&gt;"", Table2[[#This Row],[FROM]]=Data!$B$7),1,"")</f>
        <v/>
      </c>
      <c r="R217" s="998" t="str">
        <f>IF(AND(Table2[[#This Row],[LV3 or LV4 MAT NO.]]&lt;&gt;"", Table2[[#This Row],[LV3 or LV4 MAT NO.]]=Data!$B$8),1,"")</f>
        <v/>
      </c>
      <c r="S217" s="998"/>
      <c r="T217" s="998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35">
      <c r="I218" s="1000"/>
      <c r="L218" s="998" t="str">
        <f>IF(AND(Table2[[#This Row],[ORDER NO.]]&lt;&gt;"", Table2[[#This Row],[ORDER NO.]]=Data!$B$1),1,"")</f>
        <v/>
      </c>
      <c r="M218" s="998" t="str">
        <f>IFERROR(IF(AND(Table2[[#This Row],[SEREAL NO.]]&lt;&gt;"", Table2[[#This Row],[SEREAL NO.]]=Data!$A$103),1,""),"")</f>
        <v/>
      </c>
      <c r="N218" s="998" t="str">
        <f>IF(AND(Table2[[#This Row],[SIZE]]&lt;&gt;"", Table2[[#This Row],[SIZE]]=Data!$B$3),1,"")</f>
        <v/>
      </c>
      <c r="O218" s="998" t="str">
        <f>IF(AND(Table2[[#This Row],[TYPE]]&lt;&gt;"", Table2[[#This Row],[TYPE]]=Data!$B$4),1,"")</f>
        <v/>
      </c>
      <c r="P218" s="998" t="str">
        <f>IF(AND(Table2[[#This Row],[LV5 MAT NO.]]&lt;&gt;"", Table2[[#This Row],[LV5 MAT NO.]]=Data!$B$5),1,"")</f>
        <v/>
      </c>
      <c r="Q218" s="998" t="str">
        <f>IF(AND(Table2[[#This Row],[FROM]]&lt;&gt;"", Table2[[#This Row],[FROM]]=Data!$B$7),1,"")</f>
        <v/>
      </c>
      <c r="R218" s="998" t="str">
        <f>IF(AND(Table2[[#This Row],[LV3 or LV4 MAT NO.]]&lt;&gt;"", Table2[[#This Row],[LV3 or LV4 MAT NO.]]=Data!$B$8),1,"")</f>
        <v/>
      </c>
      <c r="S218" s="998"/>
      <c r="T218" s="998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35">
      <c r="I219" s="1000"/>
      <c r="L219" s="998" t="str">
        <f>IF(AND(Table2[[#This Row],[ORDER NO.]]&lt;&gt;"", Table2[[#This Row],[ORDER NO.]]=Data!$B$1),1,"")</f>
        <v/>
      </c>
      <c r="M219" s="998" t="str">
        <f>IFERROR(IF(AND(Table2[[#This Row],[SEREAL NO.]]&lt;&gt;"", Table2[[#This Row],[SEREAL NO.]]=Data!$A$103),1,""),"")</f>
        <v/>
      </c>
      <c r="N219" s="998" t="str">
        <f>IF(AND(Table2[[#This Row],[SIZE]]&lt;&gt;"", Table2[[#This Row],[SIZE]]=Data!$B$3),1,"")</f>
        <v/>
      </c>
      <c r="O219" s="998" t="str">
        <f>IF(AND(Table2[[#This Row],[TYPE]]&lt;&gt;"", Table2[[#This Row],[TYPE]]=Data!$B$4),1,"")</f>
        <v/>
      </c>
      <c r="P219" s="998" t="str">
        <f>IF(AND(Table2[[#This Row],[LV5 MAT NO.]]&lt;&gt;"", Table2[[#This Row],[LV5 MAT NO.]]=Data!$B$5),1,"")</f>
        <v/>
      </c>
      <c r="Q219" s="998" t="str">
        <f>IF(AND(Table2[[#This Row],[FROM]]&lt;&gt;"", Table2[[#This Row],[FROM]]=Data!$B$7),1,"")</f>
        <v/>
      </c>
      <c r="R219" s="998" t="str">
        <f>IF(AND(Table2[[#This Row],[LV3 or LV4 MAT NO.]]&lt;&gt;"", Table2[[#This Row],[LV3 or LV4 MAT NO.]]=Data!$B$8),1,"")</f>
        <v/>
      </c>
      <c r="S219" s="998"/>
      <c r="T219" s="998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35">
      <c r="I220" s="1000"/>
      <c r="L220" s="998" t="str">
        <f>IF(AND(Table2[[#This Row],[ORDER NO.]]&lt;&gt;"", Table2[[#This Row],[ORDER NO.]]=Data!$B$1),1,"")</f>
        <v/>
      </c>
      <c r="M220" s="998" t="str">
        <f>IFERROR(IF(AND(Table2[[#This Row],[SEREAL NO.]]&lt;&gt;"", Table2[[#This Row],[SEREAL NO.]]=Data!$A$103),1,""),"")</f>
        <v/>
      </c>
      <c r="N220" s="998" t="str">
        <f>IF(AND(Table2[[#This Row],[SIZE]]&lt;&gt;"", Table2[[#This Row],[SIZE]]=Data!$B$3),1,"")</f>
        <v/>
      </c>
      <c r="O220" s="998" t="str">
        <f>IF(AND(Table2[[#This Row],[TYPE]]&lt;&gt;"", Table2[[#This Row],[TYPE]]=Data!$B$4),1,"")</f>
        <v/>
      </c>
      <c r="P220" s="998" t="str">
        <f>IF(AND(Table2[[#This Row],[LV5 MAT NO.]]&lt;&gt;"", Table2[[#This Row],[LV5 MAT NO.]]=Data!$B$5),1,"")</f>
        <v/>
      </c>
      <c r="Q220" s="998" t="str">
        <f>IF(AND(Table2[[#This Row],[FROM]]&lt;&gt;"", Table2[[#This Row],[FROM]]=Data!$B$7),1,"")</f>
        <v/>
      </c>
      <c r="R220" s="998" t="str">
        <f>IF(AND(Table2[[#This Row],[LV3 or LV4 MAT NO.]]&lt;&gt;"", Table2[[#This Row],[LV3 or LV4 MAT NO.]]=Data!$B$8),1,"")</f>
        <v/>
      </c>
      <c r="S220" s="998"/>
      <c r="T220" s="998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35">
      <c r="I221" s="1000"/>
      <c r="L221" s="998" t="str">
        <f>IF(AND(Table2[[#This Row],[ORDER NO.]]&lt;&gt;"", Table2[[#This Row],[ORDER NO.]]=Data!$B$1),1,"")</f>
        <v/>
      </c>
      <c r="M221" s="998" t="str">
        <f>IFERROR(IF(AND(Table2[[#This Row],[SEREAL NO.]]&lt;&gt;"", Table2[[#This Row],[SEREAL NO.]]=Data!$A$103),1,""),"")</f>
        <v/>
      </c>
      <c r="N221" s="998" t="str">
        <f>IF(AND(Table2[[#This Row],[SIZE]]&lt;&gt;"", Table2[[#This Row],[SIZE]]=Data!$B$3),1,"")</f>
        <v/>
      </c>
      <c r="O221" s="998" t="str">
        <f>IF(AND(Table2[[#This Row],[TYPE]]&lt;&gt;"", Table2[[#This Row],[TYPE]]=Data!$B$4),1,"")</f>
        <v/>
      </c>
      <c r="P221" s="998" t="str">
        <f>IF(AND(Table2[[#This Row],[LV5 MAT NO.]]&lt;&gt;"", Table2[[#This Row],[LV5 MAT NO.]]=Data!$B$5),1,"")</f>
        <v/>
      </c>
      <c r="Q221" s="998" t="str">
        <f>IF(AND(Table2[[#This Row],[FROM]]&lt;&gt;"", Table2[[#This Row],[FROM]]=Data!$B$7),1,"")</f>
        <v/>
      </c>
      <c r="R221" s="998" t="str">
        <f>IF(AND(Table2[[#This Row],[LV3 or LV4 MAT NO.]]&lt;&gt;"", Table2[[#This Row],[LV3 or LV4 MAT NO.]]=Data!$B$8),1,"")</f>
        <v/>
      </c>
      <c r="S221" s="998"/>
      <c r="T221" s="998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35">
      <c r="I222" s="1000"/>
      <c r="L222" s="998" t="str">
        <f>IF(AND(Table2[[#This Row],[ORDER NO.]]&lt;&gt;"", Table2[[#This Row],[ORDER NO.]]=Data!$B$1),1,"")</f>
        <v/>
      </c>
      <c r="M222" s="998" t="str">
        <f>IFERROR(IF(AND(Table2[[#This Row],[SEREAL NO.]]&lt;&gt;"", Table2[[#This Row],[SEREAL NO.]]=Data!$A$103),1,""),"")</f>
        <v/>
      </c>
      <c r="N222" s="998" t="str">
        <f>IF(AND(Table2[[#This Row],[SIZE]]&lt;&gt;"", Table2[[#This Row],[SIZE]]=Data!$B$3),1,"")</f>
        <v/>
      </c>
      <c r="O222" s="998" t="str">
        <f>IF(AND(Table2[[#This Row],[TYPE]]&lt;&gt;"", Table2[[#This Row],[TYPE]]=Data!$B$4),1,"")</f>
        <v/>
      </c>
      <c r="P222" s="998" t="str">
        <f>IF(AND(Table2[[#This Row],[LV5 MAT NO.]]&lt;&gt;"", Table2[[#This Row],[LV5 MAT NO.]]=Data!$B$5),1,"")</f>
        <v/>
      </c>
      <c r="Q222" s="998" t="str">
        <f>IF(AND(Table2[[#This Row],[FROM]]&lt;&gt;"", Table2[[#This Row],[FROM]]=Data!$B$7),1,"")</f>
        <v/>
      </c>
      <c r="R222" s="998" t="str">
        <f>IF(AND(Table2[[#This Row],[LV3 or LV4 MAT NO.]]&lt;&gt;"", Table2[[#This Row],[LV3 or LV4 MAT NO.]]=Data!$B$8),1,"")</f>
        <v/>
      </c>
      <c r="S222" s="998"/>
      <c r="T222" s="998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35">
      <c r="I223" s="1000"/>
      <c r="L223" s="998" t="str">
        <f>IF(AND(Table2[[#This Row],[ORDER NO.]]&lt;&gt;"", Table2[[#This Row],[ORDER NO.]]=Data!$B$1),1,"")</f>
        <v/>
      </c>
      <c r="M223" s="998" t="str">
        <f>IFERROR(IF(AND(Table2[[#This Row],[SEREAL NO.]]&lt;&gt;"", Table2[[#This Row],[SEREAL NO.]]=Data!$A$103),1,""),"")</f>
        <v/>
      </c>
      <c r="N223" s="998" t="str">
        <f>IF(AND(Table2[[#This Row],[SIZE]]&lt;&gt;"", Table2[[#This Row],[SIZE]]=Data!$B$3),1,"")</f>
        <v/>
      </c>
      <c r="O223" s="998" t="str">
        <f>IF(AND(Table2[[#This Row],[TYPE]]&lt;&gt;"", Table2[[#This Row],[TYPE]]=Data!$B$4),1,"")</f>
        <v/>
      </c>
      <c r="P223" s="998" t="str">
        <f>IF(AND(Table2[[#This Row],[LV5 MAT NO.]]&lt;&gt;"", Table2[[#This Row],[LV5 MAT NO.]]=Data!$B$5),1,"")</f>
        <v/>
      </c>
      <c r="Q223" s="998" t="str">
        <f>IF(AND(Table2[[#This Row],[FROM]]&lt;&gt;"", Table2[[#This Row],[FROM]]=Data!$B$7),1,"")</f>
        <v/>
      </c>
      <c r="R223" s="998" t="str">
        <f>IF(AND(Table2[[#This Row],[LV3 or LV4 MAT NO.]]&lt;&gt;"", Table2[[#This Row],[LV3 or LV4 MAT NO.]]=Data!$B$8),1,"")</f>
        <v/>
      </c>
      <c r="S223" s="998"/>
      <c r="T223" s="998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35">
      <c r="I224" s="1000"/>
      <c r="L224" s="998" t="str">
        <f>IF(AND(Table2[[#This Row],[ORDER NO.]]&lt;&gt;"", Table2[[#This Row],[ORDER NO.]]=Data!$B$1),1,"")</f>
        <v/>
      </c>
      <c r="M224" s="998" t="str">
        <f>IFERROR(IF(AND(Table2[[#This Row],[SEREAL NO.]]&lt;&gt;"", Table2[[#This Row],[SEREAL NO.]]=Data!$A$103),1,""),"")</f>
        <v/>
      </c>
      <c r="N224" s="998" t="str">
        <f>IF(AND(Table2[[#This Row],[SIZE]]&lt;&gt;"", Table2[[#This Row],[SIZE]]=Data!$B$3),1,"")</f>
        <v/>
      </c>
      <c r="O224" s="998" t="str">
        <f>IF(AND(Table2[[#This Row],[TYPE]]&lt;&gt;"", Table2[[#This Row],[TYPE]]=Data!$B$4),1,"")</f>
        <v/>
      </c>
      <c r="P224" s="998" t="str">
        <f>IF(AND(Table2[[#This Row],[LV5 MAT NO.]]&lt;&gt;"", Table2[[#This Row],[LV5 MAT NO.]]=Data!$B$5),1,"")</f>
        <v/>
      </c>
      <c r="Q224" s="998" t="str">
        <f>IF(AND(Table2[[#This Row],[FROM]]&lt;&gt;"", Table2[[#This Row],[FROM]]=Data!$B$7),1,"")</f>
        <v/>
      </c>
      <c r="R224" s="998" t="str">
        <f>IF(AND(Table2[[#This Row],[LV3 or LV4 MAT NO.]]&lt;&gt;"", Table2[[#This Row],[LV3 or LV4 MAT NO.]]=Data!$B$8),1,"")</f>
        <v/>
      </c>
      <c r="S224" s="998"/>
      <c r="T224" s="998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35">
      <c r="I225" s="1000"/>
      <c r="L225" s="998" t="str">
        <f>IF(AND(Table2[[#This Row],[ORDER NO.]]&lt;&gt;"", Table2[[#This Row],[ORDER NO.]]=Data!$B$1),1,"")</f>
        <v/>
      </c>
      <c r="M225" s="998" t="str">
        <f>IFERROR(IF(AND(Table2[[#This Row],[SEREAL NO.]]&lt;&gt;"", Table2[[#This Row],[SEREAL NO.]]=Data!$A$103),1,""),"")</f>
        <v/>
      </c>
      <c r="N225" s="998" t="str">
        <f>IF(AND(Table2[[#This Row],[SIZE]]&lt;&gt;"", Table2[[#This Row],[SIZE]]=Data!$B$3),1,"")</f>
        <v/>
      </c>
      <c r="O225" s="998" t="str">
        <f>IF(AND(Table2[[#This Row],[TYPE]]&lt;&gt;"", Table2[[#This Row],[TYPE]]=Data!$B$4),1,"")</f>
        <v/>
      </c>
      <c r="P225" s="998" t="str">
        <f>IF(AND(Table2[[#This Row],[LV5 MAT NO.]]&lt;&gt;"", Table2[[#This Row],[LV5 MAT NO.]]=Data!$B$5),1,"")</f>
        <v/>
      </c>
      <c r="Q225" s="998" t="str">
        <f>IF(AND(Table2[[#This Row],[FROM]]&lt;&gt;"", Table2[[#This Row],[FROM]]=Data!$B$7),1,"")</f>
        <v/>
      </c>
      <c r="R225" s="998" t="str">
        <f>IF(AND(Table2[[#This Row],[LV3 or LV4 MAT NO.]]&lt;&gt;"", Table2[[#This Row],[LV3 or LV4 MAT NO.]]=Data!$B$8),1,"")</f>
        <v/>
      </c>
      <c r="S225" s="998"/>
      <c r="T225" s="998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35">
      <c r="I226" s="1000"/>
      <c r="L226" s="998" t="str">
        <f>IF(AND(Table2[[#This Row],[ORDER NO.]]&lt;&gt;"", Table2[[#This Row],[ORDER NO.]]=Data!$B$1),1,"")</f>
        <v/>
      </c>
      <c r="M226" s="998" t="str">
        <f>IFERROR(IF(AND(Table2[[#This Row],[SEREAL NO.]]&lt;&gt;"", Table2[[#This Row],[SEREAL NO.]]=Data!$A$103),1,""),"")</f>
        <v/>
      </c>
      <c r="N226" s="998" t="str">
        <f>IF(AND(Table2[[#This Row],[SIZE]]&lt;&gt;"", Table2[[#This Row],[SIZE]]=Data!$B$3),1,"")</f>
        <v/>
      </c>
      <c r="O226" s="998" t="str">
        <f>IF(AND(Table2[[#This Row],[TYPE]]&lt;&gt;"", Table2[[#This Row],[TYPE]]=Data!$B$4),1,"")</f>
        <v/>
      </c>
      <c r="P226" s="998" t="str">
        <f>IF(AND(Table2[[#This Row],[LV5 MAT NO.]]&lt;&gt;"", Table2[[#This Row],[LV5 MAT NO.]]=Data!$B$5),1,"")</f>
        <v/>
      </c>
      <c r="Q226" s="998" t="str">
        <f>IF(AND(Table2[[#This Row],[FROM]]&lt;&gt;"", Table2[[#This Row],[FROM]]=Data!$B$7),1,"")</f>
        <v/>
      </c>
      <c r="R226" s="998" t="str">
        <f>IF(AND(Table2[[#This Row],[LV3 or LV4 MAT NO.]]&lt;&gt;"", Table2[[#This Row],[LV3 or LV4 MAT NO.]]=Data!$B$8),1,"")</f>
        <v/>
      </c>
      <c r="S226" s="998"/>
      <c r="T226" s="998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35">
      <c r="I227" s="1000"/>
      <c r="L227" s="998" t="str">
        <f>IF(AND(Table2[[#This Row],[ORDER NO.]]&lt;&gt;"", Table2[[#This Row],[ORDER NO.]]=Data!$B$1),1,"")</f>
        <v/>
      </c>
      <c r="M227" s="998" t="str">
        <f>IFERROR(IF(AND(Table2[[#This Row],[SEREAL NO.]]&lt;&gt;"", Table2[[#This Row],[SEREAL NO.]]=Data!$A$103),1,""),"")</f>
        <v/>
      </c>
      <c r="N227" s="998" t="str">
        <f>IF(AND(Table2[[#This Row],[SIZE]]&lt;&gt;"", Table2[[#This Row],[SIZE]]=Data!$B$3),1,"")</f>
        <v/>
      </c>
      <c r="O227" s="998" t="str">
        <f>IF(AND(Table2[[#This Row],[TYPE]]&lt;&gt;"", Table2[[#This Row],[TYPE]]=Data!$B$4),1,"")</f>
        <v/>
      </c>
      <c r="P227" s="998" t="str">
        <f>IF(AND(Table2[[#This Row],[LV5 MAT NO.]]&lt;&gt;"", Table2[[#This Row],[LV5 MAT NO.]]=Data!$B$5),1,"")</f>
        <v/>
      </c>
      <c r="Q227" s="998" t="str">
        <f>IF(AND(Table2[[#This Row],[FROM]]&lt;&gt;"", Table2[[#This Row],[FROM]]=Data!$B$7),1,"")</f>
        <v/>
      </c>
      <c r="R227" s="998" t="str">
        <f>IF(AND(Table2[[#This Row],[LV3 or LV4 MAT NO.]]&lt;&gt;"", Table2[[#This Row],[LV3 or LV4 MAT NO.]]=Data!$B$8),1,"")</f>
        <v/>
      </c>
      <c r="S227" s="998"/>
      <c r="T227" s="998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35">
      <c r="I228" s="1000"/>
      <c r="L228" s="998" t="str">
        <f>IF(AND(Table2[[#This Row],[ORDER NO.]]&lt;&gt;"", Table2[[#This Row],[ORDER NO.]]=Data!$B$1),1,"")</f>
        <v/>
      </c>
      <c r="M228" s="998" t="str">
        <f>IFERROR(IF(AND(Table2[[#This Row],[SEREAL NO.]]&lt;&gt;"", Table2[[#This Row],[SEREAL NO.]]=Data!$A$103),1,""),"")</f>
        <v/>
      </c>
      <c r="N228" s="998" t="str">
        <f>IF(AND(Table2[[#This Row],[SIZE]]&lt;&gt;"", Table2[[#This Row],[SIZE]]=Data!$B$3),1,"")</f>
        <v/>
      </c>
      <c r="O228" s="998" t="str">
        <f>IF(AND(Table2[[#This Row],[TYPE]]&lt;&gt;"", Table2[[#This Row],[TYPE]]=Data!$B$4),1,"")</f>
        <v/>
      </c>
      <c r="P228" s="998" t="str">
        <f>IF(AND(Table2[[#This Row],[LV5 MAT NO.]]&lt;&gt;"", Table2[[#This Row],[LV5 MAT NO.]]=Data!$B$5),1,"")</f>
        <v/>
      </c>
      <c r="Q228" s="998" t="str">
        <f>IF(AND(Table2[[#This Row],[FROM]]&lt;&gt;"", Table2[[#This Row],[FROM]]=Data!$B$7),1,"")</f>
        <v/>
      </c>
      <c r="R228" s="998" t="str">
        <f>IF(AND(Table2[[#This Row],[LV3 or LV4 MAT NO.]]&lt;&gt;"", Table2[[#This Row],[LV3 or LV4 MAT NO.]]=Data!$B$8),1,"")</f>
        <v/>
      </c>
      <c r="S228" s="998"/>
      <c r="T228" s="998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35">
      <c r="I229" s="1000"/>
      <c r="L229" s="998" t="str">
        <f>IF(AND(Table2[[#This Row],[ORDER NO.]]&lt;&gt;"", Table2[[#This Row],[ORDER NO.]]=Data!$B$1),1,"")</f>
        <v/>
      </c>
      <c r="M229" s="998" t="str">
        <f>IFERROR(IF(AND(Table2[[#This Row],[SEREAL NO.]]&lt;&gt;"", Table2[[#This Row],[SEREAL NO.]]=Data!$A$103),1,""),"")</f>
        <v/>
      </c>
      <c r="N229" s="998" t="str">
        <f>IF(AND(Table2[[#This Row],[SIZE]]&lt;&gt;"", Table2[[#This Row],[SIZE]]=Data!$B$3),1,"")</f>
        <v/>
      </c>
      <c r="O229" s="998" t="str">
        <f>IF(AND(Table2[[#This Row],[TYPE]]&lt;&gt;"", Table2[[#This Row],[TYPE]]=Data!$B$4),1,"")</f>
        <v/>
      </c>
      <c r="P229" s="998" t="str">
        <f>IF(AND(Table2[[#This Row],[LV5 MAT NO.]]&lt;&gt;"", Table2[[#This Row],[LV5 MAT NO.]]=Data!$B$5),1,"")</f>
        <v/>
      </c>
      <c r="Q229" s="998" t="str">
        <f>IF(AND(Table2[[#This Row],[FROM]]&lt;&gt;"", Table2[[#This Row],[FROM]]=Data!$B$7),1,"")</f>
        <v/>
      </c>
      <c r="R229" s="998" t="str">
        <f>IF(AND(Table2[[#This Row],[LV3 or LV4 MAT NO.]]&lt;&gt;"", Table2[[#This Row],[LV3 or LV4 MAT NO.]]=Data!$B$8),1,"")</f>
        <v/>
      </c>
      <c r="S229" s="998"/>
      <c r="T229" s="998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35">
      <c r="I230" s="1000"/>
      <c r="L230" s="998" t="str">
        <f>IF(AND(Table2[[#This Row],[ORDER NO.]]&lt;&gt;"", Table2[[#This Row],[ORDER NO.]]=Data!$B$1),1,"")</f>
        <v/>
      </c>
      <c r="M230" s="998" t="str">
        <f>IFERROR(IF(AND(Table2[[#This Row],[SEREAL NO.]]&lt;&gt;"", Table2[[#This Row],[SEREAL NO.]]=Data!$A$103),1,""),"")</f>
        <v/>
      </c>
      <c r="N230" s="998" t="str">
        <f>IF(AND(Table2[[#This Row],[SIZE]]&lt;&gt;"", Table2[[#This Row],[SIZE]]=Data!$B$3),1,"")</f>
        <v/>
      </c>
      <c r="O230" s="998" t="str">
        <f>IF(AND(Table2[[#This Row],[TYPE]]&lt;&gt;"", Table2[[#This Row],[TYPE]]=Data!$B$4),1,"")</f>
        <v/>
      </c>
      <c r="P230" s="998" t="str">
        <f>IF(AND(Table2[[#This Row],[LV5 MAT NO.]]&lt;&gt;"", Table2[[#This Row],[LV5 MAT NO.]]=Data!$B$5),1,"")</f>
        <v/>
      </c>
      <c r="Q230" s="998" t="str">
        <f>IF(AND(Table2[[#This Row],[FROM]]&lt;&gt;"", Table2[[#This Row],[FROM]]=Data!$B$7),1,"")</f>
        <v/>
      </c>
      <c r="R230" s="998" t="str">
        <f>IF(AND(Table2[[#This Row],[LV3 or LV4 MAT NO.]]&lt;&gt;"", Table2[[#This Row],[LV3 or LV4 MAT NO.]]=Data!$B$8),1,"")</f>
        <v/>
      </c>
      <c r="S230" s="998"/>
      <c r="T230" s="998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35">
      <c r="I231" s="1000"/>
      <c r="L231" s="998" t="str">
        <f>IF(AND(Table2[[#This Row],[ORDER NO.]]&lt;&gt;"", Table2[[#This Row],[ORDER NO.]]=Data!$B$1),1,"")</f>
        <v/>
      </c>
      <c r="M231" s="998" t="str">
        <f>IFERROR(IF(AND(Table2[[#This Row],[SEREAL NO.]]&lt;&gt;"", Table2[[#This Row],[SEREAL NO.]]=Data!$A$103),1,""),"")</f>
        <v/>
      </c>
      <c r="N231" s="998" t="str">
        <f>IF(AND(Table2[[#This Row],[SIZE]]&lt;&gt;"", Table2[[#This Row],[SIZE]]=Data!$B$3),1,"")</f>
        <v/>
      </c>
      <c r="O231" s="998" t="str">
        <f>IF(AND(Table2[[#This Row],[TYPE]]&lt;&gt;"", Table2[[#This Row],[TYPE]]=Data!$B$4),1,"")</f>
        <v/>
      </c>
      <c r="P231" s="998" t="str">
        <f>IF(AND(Table2[[#This Row],[LV5 MAT NO.]]&lt;&gt;"", Table2[[#This Row],[LV5 MAT NO.]]=Data!$B$5),1,"")</f>
        <v/>
      </c>
      <c r="Q231" s="998" t="str">
        <f>IF(AND(Table2[[#This Row],[FROM]]&lt;&gt;"", Table2[[#This Row],[FROM]]=Data!$B$7),1,"")</f>
        <v/>
      </c>
      <c r="R231" s="998" t="str">
        <f>IF(AND(Table2[[#This Row],[LV3 or LV4 MAT NO.]]&lt;&gt;"", Table2[[#This Row],[LV3 or LV4 MAT NO.]]=Data!$B$8),1,"")</f>
        <v/>
      </c>
      <c r="S231" s="998"/>
      <c r="T231" s="998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35">
      <c r="I232" s="1000"/>
      <c r="L232" s="998" t="str">
        <f>IF(AND(Table2[[#This Row],[ORDER NO.]]&lt;&gt;"", Table2[[#This Row],[ORDER NO.]]=Data!$B$1),1,"")</f>
        <v/>
      </c>
      <c r="M232" s="998" t="str">
        <f>IFERROR(IF(AND(Table2[[#This Row],[SEREAL NO.]]&lt;&gt;"", Table2[[#This Row],[SEREAL NO.]]=Data!$A$103),1,""),"")</f>
        <v/>
      </c>
      <c r="N232" s="998" t="str">
        <f>IF(AND(Table2[[#This Row],[SIZE]]&lt;&gt;"", Table2[[#This Row],[SIZE]]=Data!$B$3),1,"")</f>
        <v/>
      </c>
      <c r="O232" s="998" t="str">
        <f>IF(AND(Table2[[#This Row],[TYPE]]&lt;&gt;"", Table2[[#This Row],[TYPE]]=Data!$B$4),1,"")</f>
        <v/>
      </c>
      <c r="P232" s="998" t="str">
        <f>IF(AND(Table2[[#This Row],[LV5 MAT NO.]]&lt;&gt;"", Table2[[#This Row],[LV5 MAT NO.]]=Data!$B$5),1,"")</f>
        <v/>
      </c>
      <c r="Q232" s="998" t="str">
        <f>IF(AND(Table2[[#This Row],[FROM]]&lt;&gt;"", Table2[[#This Row],[FROM]]=Data!$B$7),1,"")</f>
        <v/>
      </c>
      <c r="R232" s="998" t="str">
        <f>IF(AND(Table2[[#This Row],[LV3 or LV4 MAT NO.]]&lt;&gt;"", Table2[[#This Row],[LV3 or LV4 MAT NO.]]=Data!$B$8),1,"")</f>
        <v/>
      </c>
      <c r="S232" s="998"/>
      <c r="T232" s="998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35">
      <c r="I233" s="1000"/>
      <c r="L233" s="998" t="str">
        <f>IF(AND(Table2[[#This Row],[ORDER NO.]]&lt;&gt;"", Table2[[#This Row],[ORDER NO.]]=Data!$B$1),1,"")</f>
        <v/>
      </c>
      <c r="M233" s="998" t="str">
        <f>IFERROR(IF(AND(Table2[[#This Row],[SEREAL NO.]]&lt;&gt;"", Table2[[#This Row],[SEREAL NO.]]=Data!$A$103),1,""),"")</f>
        <v/>
      </c>
      <c r="N233" s="998" t="str">
        <f>IF(AND(Table2[[#This Row],[SIZE]]&lt;&gt;"", Table2[[#This Row],[SIZE]]=Data!$B$3),1,"")</f>
        <v/>
      </c>
      <c r="O233" s="998" t="str">
        <f>IF(AND(Table2[[#This Row],[TYPE]]&lt;&gt;"", Table2[[#This Row],[TYPE]]=Data!$B$4),1,"")</f>
        <v/>
      </c>
      <c r="P233" s="998" t="str">
        <f>IF(AND(Table2[[#This Row],[LV5 MAT NO.]]&lt;&gt;"", Table2[[#This Row],[LV5 MAT NO.]]=Data!$B$5),1,"")</f>
        <v/>
      </c>
      <c r="Q233" s="998" t="str">
        <f>IF(AND(Table2[[#This Row],[FROM]]&lt;&gt;"", Table2[[#This Row],[FROM]]=Data!$B$7),1,"")</f>
        <v/>
      </c>
      <c r="R233" s="998" t="str">
        <f>IF(AND(Table2[[#This Row],[LV3 or LV4 MAT NO.]]&lt;&gt;"", Table2[[#This Row],[LV3 or LV4 MAT NO.]]=Data!$B$8),1,"")</f>
        <v/>
      </c>
      <c r="S233" s="998"/>
      <c r="T233" s="998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35">
      <c r="I234" s="1000"/>
      <c r="L234" s="998" t="str">
        <f>IF(AND(Table2[[#This Row],[ORDER NO.]]&lt;&gt;"", Table2[[#This Row],[ORDER NO.]]=Data!$B$1),1,"")</f>
        <v/>
      </c>
      <c r="M234" s="998" t="str">
        <f>IFERROR(IF(AND(Table2[[#This Row],[SEREAL NO.]]&lt;&gt;"", Table2[[#This Row],[SEREAL NO.]]=Data!$A$103),1,""),"")</f>
        <v/>
      </c>
      <c r="N234" s="998" t="str">
        <f>IF(AND(Table2[[#This Row],[SIZE]]&lt;&gt;"", Table2[[#This Row],[SIZE]]=Data!$B$3),1,"")</f>
        <v/>
      </c>
      <c r="O234" s="998" t="str">
        <f>IF(AND(Table2[[#This Row],[TYPE]]&lt;&gt;"", Table2[[#This Row],[TYPE]]=Data!$B$4),1,"")</f>
        <v/>
      </c>
      <c r="P234" s="998" t="str">
        <f>IF(AND(Table2[[#This Row],[LV5 MAT NO.]]&lt;&gt;"", Table2[[#This Row],[LV5 MAT NO.]]=Data!$B$5),1,"")</f>
        <v/>
      </c>
      <c r="Q234" s="998" t="str">
        <f>IF(AND(Table2[[#This Row],[FROM]]&lt;&gt;"", Table2[[#This Row],[FROM]]=Data!$B$7),1,"")</f>
        <v/>
      </c>
      <c r="R234" s="998" t="str">
        <f>IF(AND(Table2[[#This Row],[LV3 or LV4 MAT NO.]]&lt;&gt;"", Table2[[#This Row],[LV3 or LV4 MAT NO.]]=Data!$B$8),1,"")</f>
        <v/>
      </c>
      <c r="S234" s="998"/>
      <c r="T234" s="998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35">
      <c r="I235" s="1000"/>
      <c r="L235" s="998" t="str">
        <f>IF(AND(Table2[[#This Row],[ORDER NO.]]&lt;&gt;"", Table2[[#This Row],[ORDER NO.]]=Data!$B$1),1,"")</f>
        <v/>
      </c>
      <c r="M235" s="998" t="str">
        <f>IFERROR(IF(AND(Table2[[#This Row],[SEREAL NO.]]&lt;&gt;"", Table2[[#This Row],[SEREAL NO.]]=Data!$A$103),1,""),"")</f>
        <v/>
      </c>
      <c r="N235" s="998" t="str">
        <f>IF(AND(Table2[[#This Row],[SIZE]]&lt;&gt;"", Table2[[#This Row],[SIZE]]=Data!$B$3),1,"")</f>
        <v/>
      </c>
      <c r="O235" s="998" t="str">
        <f>IF(AND(Table2[[#This Row],[TYPE]]&lt;&gt;"", Table2[[#This Row],[TYPE]]=Data!$B$4),1,"")</f>
        <v/>
      </c>
      <c r="P235" s="998" t="str">
        <f>IF(AND(Table2[[#This Row],[LV5 MAT NO.]]&lt;&gt;"", Table2[[#This Row],[LV5 MAT NO.]]=Data!$B$5),1,"")</f>
        <v/>
      </c>
      <c r="Q235" s="998" t="str">
        <f>IF(AND(Table2[[#This Row],[FROM]]&lt;&gt;"", Table2[[#This Row],[FROM]]=Data!$B$7),1,"")</f>
        <v/>
      </c>
      <c r="R235" s="998" t="str">
        <f>IF(AND(Table2[[#This Row],[LV3 or LV4 MAT NO.]]&lt;&gt;"", Table2[[#This Row],[LV3 or LV4 MAT NO.]]=Data!$B$8),1,"")</f>
        <v/>
      </c>
      <c r="S235" s="998"/>
      <c r="T235" s="998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35">
      <c r="I236" s="1000"/>
      <c r="L236" s="998" t="str">
        <f>IF(AND(Table2[[#This Row],[ORDER NO.]]&lt;&gt;"", Table2[[#This Row],[ORDER NO.]]=Data!$B$1),1,"")</f>
        <v/>
      </c>
      <c r="M236" s="998" t="str">
        <f>IFERROR(IF(AND(Table2[[#This Row],[SEREAL NO.]]&lt;&gt;"", Table2[[#This Row],[SEREAL NO.]]=Data!$A$103),1,""),"")</f>
        <v/>
      </c>
      <c r="N236" s="998" t="str">
        <f>IF(AND(Table2[[#This Row],[SIZE]]&lt;&gt;"", Table2[[#This Row],[SIZE]]=Data!$B$3),1,"")</f>
        <v/>
      </c>
      <c r="O236" s="998" t="str">
        <f>IF(AND(Table2[[#This Row],[TYPE]]&lt;&gt;"", Table2[[#This Row],[TYPE]]=Data!$B$4),1,"")</f>
        <v/>
      </c>
      <c r="P236" s="998" t="str">
        <f>IF(AND(Table2[[#This Row],[LV5 MAT NO.]]&lt;&gt;"", Table2[[#This Row],[LV5 MAT NO.]]=Data!$B$5),1,"")</f>
        <v/>
      </c>
      <c r="Q236" s="998" t="str">
        <f>IF(AND(Table2[[#This Row],[FROM]]&lt;&gt;"", Table2[[#This Row],[FROM]]=Data!$B$7),1,"")</f>
        <v/>
      </c>
      <c r="R236" s="998" t="str">
        <f>IF(AND(Table2[[#This Row],[LV3 or LV4 MAT NO.]]&lt;&gt;"", Table2[[#This Row],[LV3 or LV4 MAT NO.]]=Data!$B$8),1,"")</f>
        <v/>
      </c>
      <c r="S236" s="998"/>
      <c r="T236" s="998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35">
      <c r="I237" s="1000"/>
      <c r="L237" s="998" t="str">
        <f>IF(AND(Table2[[#This Row],[ORDER NO.]]&lt;&gt;"", Table2[[#This Row],[ORDER NO.]]=Data!$B$1),1,"")</f>
        <v/>
      </c>
      <c r="M237" s="998" t="str">
        <f>IFERROR(IF(AND(Table2[[#This Row],[SEREAL NO.]]&lt;&gt;"", Table2[[#This Row],[SEREAL NO.]]=Data!$A$103),1,""),"")</f>
        <v/>
      </c>
      <c r="N237" s="998" t="str">
        <f>IF(AND(Table2[[#This Row],[SIZE]]&lt;&gt;"", Table2[[#This Row],[SIZE]]=Data!$B$3),1,"")</f>
        <v/>
      </c>
      <c r="O237" s="998" t="str">
        <f>IF(AND(Table2[[#This Row],[TYPE]]&lt;&gt;"", Table2[[#This Row],[TYPE]]=Data!$B$4),1,"")</f>
        <v/>
      </c>
      <c r="P237" s="998" t="str">
        <f>IF(AND(Table2[[#This Row],[LV5 MAT NO.]]&lt;&gt;"", Table2[[#This Row],[LV5 MAT NO.]]=Data!$B$5),1,"")</f>
        <v/>
      </c>
      <c r="Q237" s="998" t="str">
        <f>IF(AND(Table2[[#This Row],[FROM]]&lt;&gt;"", Table2[[#This Row],[FROM]]=Data!$B$7),1,"")</f>
        <v/>
      </c>
      <c r="R237" s="998" t="str">
        <f>IF(AND(Table2[[#This Row],[LV3 or LV4 MAT NO.]]&lt;&gt;"", Table2[[#This Row],[LV3 or LV4 MAT NO.]]=Data!$B$8),1,"")</f>
        <v/>
      </c>
      <c r="S237" s="998"/>
      <c r="T237" s="998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35">
      <c r="I238" s="1000"/>
      <c r="L238" s="998" t="str">
        <f>IF(AND(Table2[[#This Row],[ORDER NO.]]&lt;&gt;"", Table2[[#This Row],[ORDER NO.]]=Data!$B$1),1,"")</f>
        <v/>
      </c>
      <c r="M238" s="998" t="str">
        <f>IFERROR(IF(AND(Table2[[#This Row],[SEREAL NO.]]&lt;&gt;"", Table2[[#This Row],[SEREAL NO.]]=Data!$A$103),1,""),"")</f>
        <v/>
      </c>
      <c r="N238" s="998" t="str">
        <f>IF(AND(Table2[[#This Row],[SIZE]]&lt;&gt;"", Table2[[#This Row],[SIZE]]=Data!$B$3),1,"")</f>
        <v/>
      </c>
      <c r="O238" s="998" t="str">
        <f>IF(AND(Table2[[#This Row],[TYPE]]&lt;&gt;"", Table2[[#This Row],[TYPE]]=Data!$B$4),1,"")</f>
        <v/>
      </c>
      <c r="P238" s="998" t="str">
        <f>IF(AND(Table2[[#This Row],[LV5 MAT NO.]]&lt;&gt;"", Table2[[#This Row],[LV5 MAT NO.]]=Data!$B$5),1,"")</f>
        <v/>
      </c>
      <c r="Q238" s="998" t="str">
        <f>IF(AND(Table2[[#This Row],[FROM]]&lt;&gt;"", Table2[[#This Row],[FROM]]=Data!$B$7),1,"")</f>
        <v/>
      </c>
      <c r="R238" s="998" t="str">
        <f>IF(AND(Table2[[#This Row],[LV3 or LV4 MAT NO.]]&lt;&gt;"", Table2[[#This Row],[LV3 or LV4 MAT NO.]]=Data!$B$8),1,"")</f>
        <v/>
      </c>
      <c r="S238" s="998"/>
      <c r="T238" s="998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35">
      <c r="I239" s="1000"/>
      <c r="L239" s="998" t="str">
        <f>IF(AND(Table2[[#This Row],[ORDER NO.]]&lt;&gt;"", Table2[[#This Row],[ORDER NO.]]=Data!$B$1),1,"")</f>
        <v/>
      </c>
      <c r="M239" s="998" t="str">
        <f>IFERROR(IF(AND(Table2[[#This Row],[SEREAL NO.]]&lt;&gt;"", Table2[[#This Row],[SEREAL NO.]]=Data!$A$103),1,""),"")</f>
        <v/>
      </c>
      <c r="N239" s="998" t="str">
        <f>IF(AND(Table2[[#This Row],[SIZE]]&lt;&gt;"", Table2[[#This Row],[SIZE]]=Data!$B$3),1,"")</f>
        <v/>
      </c>
      <c r="O239" s="998" t="str">
        <f>IF(AND(Table2[[#This Row],[TYPE]]&lt;&gt;"", Table2[[#This Row],[TYPE]]=Data!$B$4),1,"")</f>
        <v/>
      </c>
      <c r="P239" s="998" t="str">
        <f>IF(AND(Table2[[#This Row],[LV5 MAT NO.]]&lt;&gt;"", Table2[[#This Row],[LV5 MAT NO.]]=Data!$B$5),1,"")</f>
        <v/>
      </c>
      <c r="Q239" s="998" t="str">
        <f>IF(AND(Table2[[#This Row],[FROM]]&lt;&gt;"", Table2[[#This Row],[FROM]]=Data!$B$7),1,"")</f>
        <v/>
      </c>
      <c r="R239" s="998" t="str">
        <f>IF(AND(Table2[[#This Row],[LV3 or LV4 MAT NO.]]&lt;&gt;"", Table2[[#This Row],[LV3 or LV4 MAT NO.]]=Data!$B$8),1,"")</f>
        <v/>
      </c>
      <c r="S239" s="998"/>
      <c r="T239" s="998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35">
      <c r="I240" s="1000"/>
      <c r="L240" s="998" t="str">
        <f>IF(AND(Table2[[#This Row],[ORDER NO.]]&lt;&gt;"", Table2[[#This Row],[ORDER NO.]]=Data!$B$1),1,"")</f>
        <v/>
      </c>
      <c r="M240" s="998" t="str">
        <f>IFERROR(IF(AND(Table2[[#This Row],[SEREAL NO.]]&lt;&gt;"", Table2[[#This Row],[SEREAL NO.]]=Data!$A$103),1,""),"")</f>
        <v/>
      </c>
      <c r="N240" s="998" t="str">
        <f>IF(AND(Table2[[#This Row],[SIZE]]&lt;&gt;"", Table2[[#This Row],[SIZE]]=Data!$B$3),1,"")</f>
        <v/>
      </c>
      <c r="O240" s="998" t="str">
        <f>IF(AND(Table2[[#This Row],[TYPE]]&lt;&gt;"", Table2[[#This Row],[TYPE]]=Data!$B$4),1,"")</f>
        <v/>
      </c>
      <c r="P240" s="998" t="str">
        <f>IF(AND(Table2[[#This Row],[LV5 MAT NO.]]&lt;&gt;"", Table2[[#This Row],[LV5 MAT NO.]]=Data!$B$5),1,"")</f>
        <v/>
      </c>
      <c r="Q240" s="998" t="str">
        <f>IF(AND(Table2[[#This Row],[FROM]]&lt;&gt;"", Table2[[#This Row],[FROM]]=Data!$B$7),1,"")</f>
        <v/>
      </c>
      <c r="R240" s="998" t="str">
        <f>IF(AND(Table2[[#This Row],[LV3 or LV4 MAT NO.]]&lt;&gt;"", Table2[[#This Row],[LV3 or LV4 MAT NO.]]=Data!$B$8),1,"")</f>
        <v/>
      </c>
      <c r="S240" s="998"/>
      <c r="T240" s="998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35">
      <c r="I241" s="1000"/>
      <c r="L241" s="998" t="str">
        <f>IF(AND(Table2[[#This Row],[ORDER NO.]]&lt;&gt;"", Table2[[#This Row],[ORDER NO.]]=Data!$B$1),1,"")</f>
        <v/>
      </c>
      <c r="M241" s="998" t="str">
        <f>IFERROR(IF(AND(Table2[[#This Row],[SEREAL NO.]]&lt;&gt;"", Table2[[#This Row],[SEREAL NO.]]=Data!$A$103),1,""),"")</f>
        <v/>
      </c>
      <c r="N241" s="998" t="str">
        <f>IF(AND(Table2[[#This Row],[SIZE]]&lt;&gt;"", Table2[[#This Row],[SIZE]]=Data!$B$3),1,"")</f>
        <v/>
      </c>
      <c r="O241" s="998" t="str">
        <f>IF(AND(Table2[[#This Row],[TYPE]]&lt;&gt;"", Table2[[#This Row],[TYPE]]=Data!$B$4),1,"")</f>
        <v/>
      </c>
      <c r="P241" s="998" t="str">
        <f>IF(AND(Table2[[#This Row],[LV5 MAT NO.]]&lt;&gt;"", Table2[[#This Row],[LV5 MAT NO.]]=Data!$B$5),1,"")</f>
        <v/>
      </c>
      <c r="Q241" s="998" t="str">
        <f>IF(AND(Table2[[#This Row],[FROM]]&lt;&gt;"", Table2[[#This Row],[FROM]]=Data!$B$7),1,"")</f>
        <v/>
      </c>
      <c r="R241" s="998" t="str">
        <f>IF(AND(Table2[[#This Row],[LV3 or LV4 MAT NO.]]&lt;&gt;"", Table2[[#This Row],[LV3 or LV4 MAT NO.]]=Data!$B$8),1,"")</f>
        <v/>
      </c>
      <c r="S241" s="998"/>
      <c r="T241" s="998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35">
      <c r="I242" s="1000"/>
      <c r="L242" s="998" t="str">
        <f>IF(AND(Table2[[#This Row],[ORDER NO.]]&lt;&gt;"", Table2[[#This Row],[ORDER NO.]]=Data!$B$1),1,"")</f>
        <v/>
      </c>
      <c r="M242" s="998" t="str">
        <f>IFERROR(IF(AND(Table2[[#This Row],[SEREAL NO.]]&lt;&gt;"", Table2[[#This Row],[SEREAL NO.]]=Data!$A$103),1,""),"")</f>
        <v/>
      </c>
      <c r="N242" s="998" t="str">
        <f>IF(AND(Table2[[#This Row],[SIZE]]&lt;&gt;"", Table2[[#This Row],[SIZE]]=Data!$B$3),1,"")</f>
        <v/>
      </c>
      <c r="O242" s="998" t="str">
        <f>IF(AND(Table2[[#This Row],[TYPE]]&lt;&gt;"", Table2[[#This Row],[TYPE]]=Data!$B$4),1,"")</f>
        <v/>
      </c>
      <c r="P242" s="998" t="str">
        <f>IF(AND(Table2[[#This Row],[LV5 MAT NO.]]&lt;&gt;"", Table2[[#This Row],[LV5 MAT NO.]]=Data!$B$5),1,"")</f>
        <v/>
      </c>
      <c r="Q242" s="998" t="str">
        <f>IF(AND(Table2[[#This Row],[FROM]]&lt;&gt;"", Table2[[#This Row],[FROM]]=Data!$B$7),1,"")</f>
        <v/>
      </c>
      <c r="R242" s="998" t="str">
        <f>IF(AND(Table2[[#This Row],[LV3 or LV4 MAT NO.]]&lt;&gt;"", Table2[[#This Row],[LV3 or LV4 MAT NO.]]=Data!$B$8),1,"")</f>
        <v/>
      </c>
      <c r="S242" s="998"/>
      <c r="T242" s="998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35">
      <c r="I243" s="1000"/>
      <c r="L243" s="998" t="str">
        <f>IF(AND(Table2[[#This Row],[ORDER NO.]]&lt;&gt;"", Table2[[#This Row],[ORDER NO.]]=Data!$B$1),1,"")</f>
        <v/>
      </c>
      <c r="M243" s="998" t="str">
        <f>IFERROR(IF(AND(Table2[[#This Row],[SEREAL NO.]]&lt;&gt;"", Table2[[#This Row],[SEREAL NO.]]=Data!$A$103),1,""),"")</f>
        <v/>
      </c>
      <c r="N243" s="998" t="str">
        <f>IF(AND(Table2[[#This Row],[SIZE]]&lt;&gt;"", Table2[[#This Row],[SIZE]]=Data!$B$3),1,"")</f>
        <v/>
      </c>
      <c r="O243" s="998" t="str">
        <f>IF(AND(Table2[[#This Row],[TYPE]]&lt;&gt;"", Table2[[#This Row],[TYPE]]=Data!$B$4),1,"")</f>
        <v/>
      </c>
      <c r="P243" s="998" t="str">
        <f>IF(AND(Table2[[#This Row],[LV5 MAT NO.]]&lt;&gt;"", Table2[[#This Row],[LV5 MAT NO.]]=Data!$B$5),1,"")</f>
        <v/>
      </c>
      <c r="Q243" s="998" t="str">
        <f>IF(AND(Table2[[#This Row],[FROM]]&lt;&gt;"", Table2[[#This Row],[FROM]]=Data!$B$7),1,"")</f>
        <v/>
      </c>
      <c r="R243" s="998" t="str">
        <f>IF(AND(Table2[[#This Row],[LV3 or LV4 MAT NO.]]&lt;&gt;"", Table2[[#This Row],[LV3 or LV4 MAT NO.]]=Data!$B$8),1,"")</f>
        <v/>
      </c>
      <c r="S243" s="998"/>
      <c r="T243" s="998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35">
      <c r="I244" s="1000"/>
      <c r="L244" s="998" t="str">
        <f>IF(AND(Table2[[#This Row],[ORDER NO.]]&lt;&gt;"", Table2[[#This Row],[ORDER NO.]]=Data!$B$1),1,"")</f>
        <v/>
      </c>
      <c r="M244" s="998" t="str">
        <f>IFERROR(IF(AND(Table2[[#This Row],[SEREAL NO.]]&lt;&gt;"", Table2[[#This Row],[SEREAL NO.]]=Data!$A$103),1,""),"")</f>
        <v/>
      </c>
      <c r="N244" s="998" t="str">
        <f>IF(AND(Table2[[#This Row],[SIZE]]&lt;&gt;"", Table2[[#This Row],[SIZE]]=Data!$B$3),1,"")</f>
        <v/>
      </c>
      <c r="O244" s="998" t="str">
        <f>IF(AND(Table2[[#This Row],[TYPE]]&lt;&gt;"", Table2[[#This Row],[TYPE]]=Data!$B$4),1,"")</f>
        <v/>
      </c>
      <c r="P244" s="998" t="str">
        <f>IF(AND(Table2[[#This Row],[LV5 MAT NO.]]&lt;&gt;"", Table2[[#This Row],[LV5 MAT NO.]]=Data!$B$5),1,"")</f>
        <v/>
      </c>
      <c r="Q244" s="998" t="str">
        <f>IF(AND(Table2[[#This Row],[FROM]]&lt;&gt;"", Table2[[#This Row],[FROM]]=Data!$B$7),1,"")</f>
        <v/>
      </c>
      <c r="R244" s="998" t="str">
        <f>IF(AND(Table2[[#This Row],[LV3 or LV4 MAT NO.]]&lt;&gt;"", Table2[[#This Row],[LV3 or LV4 MAT NO.]]=Data!$B$8),1,"")</f>
        <v/>
      </c>
      <c r="S244" s="998"/>
      <c r="T244" s="998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35">
      <c r="I245" s="1000"/>
      <c r="L245" s="998" t="str">
        <f>IF(AND(Table2[[#This Row],[ORDER NO.]]&lt;&gt;"", Table2[[#This Row],[ORDER NO.]]=Data!$B$1),1,"")</f>
        <v/>
      </c>
      <c r="M245" s="998" t="str">
        <f>IFERROR(IF(AND(Table2[[#This Row],[SEREAL NO.]]&lt;&gt;"", Table2[[#This Row],[SEREAL NO.]]=Data!$A$103),1,""),"")</f>
        <v/>
      </c>
      <c r="N245" s="998" t="str">
        <f>IF(AND(Table2[[#This Row],[SIZE]]&lt;&gt;"", Table2[[#This Row],[SIZE]]=Data!$B$3),1,"")</f>
        <v/>
      </c>
      <c r="O245" s="998" t="str">
        <f>IF(AND(Table2[[#This Row],[TYPE]]&lt;&gt;"", Table2[[#This Row],[TYPE]]=Data!$B$4),1,"")</f>
        <v/>
      </c>
      <c r="P245" s="998" t="str">
        <f>IF(AND(Table2[[#This Row],[LV5 MAT NO.]]&lt;&gt;"", Table2[[#This Row],[LV5 MAT NO.]]=Data!$B$5),1,"")</f>
        <v/>
      </c>
      <c r="Q245" s="998" t="str">
        <f>IF(AND(Table2[[#This Row],[FROM]]&lt;&gt;"", Table2[[#This Row],[FROM]]=Data!$B$7),1,"")</f>
        <v/>
      </c>
      <c r="R245" s="998" t="str">
        <f>IF(AND(Table2[[#This Row],[LV3 or LV4 MAT NO.]]&lt;&gt;"", Table2[[#This Row],[LV3 or LV4 MAT NO.]]=Data!$B$8),1,"")</f>
        <v/>
      </c>
      <c r="S245" s="998"/>
      <c r="T245" s="998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35">
      <c r="I246" s="1000"/>
      <c r="L246" s="998" t="str">
        <f>IF(AND(Table2[[#This Row],[ORDER NO.]]&lt;&gt;"", Table2[[#This Row],[ORDER NO.]]=Data!$B$1),1,"")</f>
        <v/>
      </c>
      <c r="M246" s="998" t="str">
        <f>IFERROR(IF(AND(Table2[[#This Row],[SEREAL NO.]]&lt;&gt;"", Table2[[#This Row],[SEREAL NO.]]=Data!$A$103),1,""),"")</f>
        <v/>
      </c>
      <c r="N246" s="998" t="str">
        <f>IF(AND(Table2[[#This Row],[SIZE]]&lt;&gt;"", Table2[[#This Row],[SIZE]]=Data!$B$3),1,"")</f>
        <v/>
      </c>
      <c r="O246" s="998" t="str">
        <f>IF(AND(Table2[[#This Row],[TYPE]]&lt;&gt;"", Table2[[#This Row],[TYPE]]=Data!$B$4),1,"")</f>
        <v/>
      </c>
      <c r="P246" s="998" t="str">
        <f>IF(AND(Table2[[#This Row],[LV5 MAT NO.]]&lt;&gt;"", Table2[[#This Row],[LV5 MAT NO.]]=Data!$B$5),1,"")</f>
        <v/>
      </c>
      <c r="Q246" s="998" t="str">
        <f>IF(AND(Table2[[#This Row],[FROM]]&lt;&gt;"", Table2[[#This Row],[FROM]]=Data!$B$7),1,"")</f>
        <v/>
      </c>
      <c r="R246" s="998" t="str">
        <f>IF(AND(Table2[[#This Row],[LV3 or LV4 MAT NO.]]&lt;&gt;"", Table2[[#This Row],[LV3 or LV4 MAT NO.]]=Data!$B$8),1,"")</f>
        <v/>
      </c>
      <c r="S246" s="998"/>
      <c r="T246" s="998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35">
      <c r="I247" s="1000"/>
      <c r="L247" s="998" t="str">
        <f>IF(AND(Table2[[#This Row],[ORDER NO.]]&lt;&gt;"", Table2[[#This Row],[ORDER NO.]]=Data!$B$1),1,"")</f>
        <v/>
      </c>
      <c r="M247" s="998" t="str">
        <f>IFERROR(IF(AND(Table2[[#This Row],[SEREAL NO.]]&lt;&gt;"", Table2[[#This Row],[SEREAL NO.]]=Data!$A$103),1,""),"")</f>
        <v/>
      </c>
      <c r="N247" s="998" t="str">
        <f>IF(AND(Table2[[#This Row],[SIZE]]&lt;&gt;"", Table2[[#This Row],[SIZE]]=Data!$B$3),1,"")</f>
        <v/>
      </c>
      <c r="O247" s="998" t="str">
        <f>IF(AND(Table2[[#This Row],[TYPE]]&lt;&gt;"", Table2[[#This Row],[TYPE]]=Data!$B$4),1,"")</f>
        <v/>
      </c>
      <c r="P247" s="998" t="str">
        <f>IF(AND(Table2[[#This Row],[LV5 MAT NO.]]&lt;&gt;"", Table2[[#This Row],[LV5 MAT NO.]]=Data!$B$5),1,"")</f>
        <v/>
      </c>
      <c r="Q247" s="998" t="str">
        <f>IF(AND(Table2[[#This Row],[FROM]]&lt;&gt;"", Table2[[#This Row],[FROM]]=Data!$B$7),1,"")</f>
        <v/>
      </c>
      <c r="R247" s="998" t="str">
        <f>IF(AND(Table2[[#This Row],[LV3 or LV4 MAT NO.]]&lt;&gt;"", Table2[[#This Row],[LV3 or LV4 MAT NO.]]=Data!$B$8),1,"")</f>
        <v/>
      </c>
      <c r="S247" s="998"/>
      <c r="T247" s="998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35">
      <c r="I248" s="1000"/>
      <c r="L248" s="998" t="str">
        <f>IF(AND(Table2[[#This Row],[ORDER NO.]]&lt;&gt;"", Table2[[#This Row],[ORDER NO.]]=Data!$B$1),1,"")</f>
        <v/>
      </c>
      <c r="M248" s="998" t="str">
        <f>IFERROR(IF(AND(Table2[[#This Row],[SEREAL NO.]]&lt;&gt;"", Table2[[#This Row],[SEREAL NO.]]=Data!$A$103),1,""),"")</f>
        <v/>
      </c>
      <c r="N248" s="998" t="str">
        <f>IF(AND(Table2[[#This Row],[SIZE]]&lt;&gt;"", Table2[[#This Row],[SIZE]]=Data!$B$3),1,"")</f>
        <v/>
      </c>
      <c r="O248" s="998" t="str">
        <f>IF(AND(Table2[[#This Row],[TYPE]]&lt;&gt;"", Table2[[#This Row],[TYPE]]=Data!$B$4),1,"")</f>
        <v/>
      </c>
      <c r="P248" s="998" t="str">
        <f>IF(AND(Table2[[#This Row],[LV5 MAT NO.]]&lt;&gt;"", Table2[[#This Row],[LV5 MAT NO.]]=Data!$B$5),1,"")</f>
        <v/>
      </c>
      <c r="Q248" s="998" t="str">
        <f>IF(AND(Table2[[#This Row],[FROM]]&lt;&gt;"", Table2[[#This Row],[FROM]]=Data!$B$7),1,"")</f>
        <v/>
      </c>
      <c r="R248" s="998" t="str">
        <f>IF(AND(Table2[[#This Row],[LV3 or LV4 MAT NO.]]&lt;&gt;"", Table2[[#This Row],[LV3 or LV4 MAT NO.]]=Data!$B$8),1,"")</f>
        <v/>
      </c>
      <c r="S248" s="998"/>
      <c r="T248" s="998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35">
      <c r="I249" s="1000"/>
      <c r="L249" s="998" t="str">
        <f>IF(AND(Table2[[#This Row],[ORDER NO.]]&lt;&gt;"", Table2[[#This Row],[ORDER NO.]]=Data!$B$1),1,"")</f>
        <v/>
      </c>
      <c r="M249" s="998" t="str">
        <f>IFERROR(IF(AND(Table2[[#This Row],[SEREAL NO.]]&lt;&gt;"", Table2[[#This Row],[SEREAL NO.]]=Data!$A$103),1,""),"")</f>
        <v/>
      </c>
      <c r="N249" s="998" t="str">
        <f>IF(AND(Table2[[#This Row],[SIZE]]&lt;&gt;"", Table2[[#This Row],[SIZE]]=Data!$B$3),1,"")</f>
        <v/>
      </c>
      <c r="O249" s="998" t="str">
        <f>IF(AND(Table2[[#This Row],[TYPE]]&lt;&gt;"", Table2[[#This Row],[TYPE]]=Data!$B$4),1,"")</f>
        <v/>
      </c>
      <c r="P249" s="998" t="str">
        <f>IF(AND(Table2[[#This Row],[LV5 MAT NO.]]&lt;&gt;"", Table2[[#This Row],[LV5 MAT NO.]]=Data!$B$5),1,"")</f>
        <v/>
      </c>
      <c r="Q249" s="998" t="str">
        <f>IF(AND(Table2[[#This Row],[FROM]]&lt;&gt;"", Table2[[#This Row],[FROM]]=Data!$B$7),1,"")</f>
        <v/>
      </c>
      <c r="R249" s="998" t="str">
        <f>IF(AND(Table2[[#This Row],[LV3 or LV4 MAT NO.]]&lt;&gt;"", Table2[[#This Row],[LV3 or LV4 MAT NO.]]=Data!$B$8),1,"")</f>
        <v/>
      </c>
      <c r="S249" s="998"/>
      <c r="T249" s="998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35">
      <c r="I250" s="1000"/>
      <c r="L250" s="998" t="str">
        <f>IF(AND(Table2[[#This Row],[ORDER NO.]]&lt;&gt;"", Table2[[#This Row],[ORDER NO.]]=Data!$B$1),1,"")</f>
        <v/>
      </c>
      <c r="M250" s="998" t="str">
        <f>IFERROR(IF(AND(Table2[[#This Row],[SEREAL NO.]]&lt;&gt;"", Table2[[#This Row],[SEREAL NO.]]=Data!$A$103),1,""),"")</f>
        <v/>
      </c>
      <c r="N250" s="998" t="str">
        <f>IF(AND(Table2[[#This Row],[SIZE]]&lt;&gt;"", Table2[[#This Row],[SIZE]]=Data!$B$3),1,"")</f>
        <v/>
      </c>
      <c r="O250" s="998" t="str">
        <f>IF(AND(Table2[[#This Row],[TYPE]]&lt;&gt;"", Table2[[#This Row],[TYPE]]=Data!$B$4),1,"")</f>
        <v/>
      </c>
      <c r="P250" s="998" t="str">
        <f>IF(AND(Table2[[#This Row],[LV5 MAT NO.]]&lt;&gt;"", Table2[[#This Row],[LV5 MAT NO.]]=Data!$B$5),1,"")</f>
        <v/>
      </c>
      <c r="Q250" s="998" t="str">
        <f>IF(AND(Table2[[#This Row],[FROM]]&lt;&gt;"", Table2[[#This Row],[FROM]]=Data!$B$7),1,"")</f>
        <v/>
      </c>
      <c r="R250" s="998" t="str">
        <f>IF(AND(Table2[[#This Row],[LV3 or LV4 MAT NO.]]&lt;&gt;"", Table2[[#This Row],[LV3 or LV4 MAT NO.]]=Data!$B$8),1,"")</f>
        <v/>
      </c>
      <c r="S250" s="998"/>
      <c r="T250" s="998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35">
      <c r="I251" s="1000"/>
      <c r="L251" s="998" t="str">
        <f>IF(AND(Table2[[#This Row],[ORDER NO.]]&lt;&gt;"", Table2[[#This Row],[ORDER NO.]]=Data!$B$1),1,"")</f>
        <v/>
      </c>
      <c r="M251" s="998" t="str">
        <f>IFERROR(IF(AND(Table2[[#This Row],[SEREAL NO.]]&lt;&gt;"", Table2[[#This Row],[SEREAL NO.]]=Data!$A$103),1,""),"")</f>
        <v/>
      </c>
      <c r="N251" s="998" t="str">
        <f>IF(AND(Table2[[#This Row],[SIZE]]&lt;&gt;"", Table2[[#This Row],[SIZE]]=Data!$B$3),1,"")</f>
        <v/>
      </c>
      <c r="O251" s="998" t="str">
        <f>IF(AND(Table2[[#This Row],[TYPE]]&lt;&gt;"", Table2[[#This Row],[TYPE]]=Data!$B$4),1,"")</f>
        <v/>
      </c>
      <c r="P251" s="998" t="str">
        <f>IF(AND(Table2[[#This Row],[LV5 MAT NO.]]&lt;&gt;"", Table2[[#This Row],[LV5 MAT NO.]]=Data!$B$5),1,"")</f>
        <v/>
      </c>
      <c r="Q251" s="998" t="str">
        <f>IF(AND(Table2[[#This Row],[FROM]]&lt;&gt;"", Table2[[#This Row],[FROM]]=Data!$B$7),1,"")</f>
        <v/>
      </c>
      <c r="R251" s="998" t="str">
        <f>IF(AND(Table2[[#This Row],[LV3 or LV4 MAT NO.]]&lt;&gt;"", Table2[[#This Row],[LV3 or LV4 MAT NO.]]=Data!$B$8),1,"")</f>
        <v/>
      </c>
      <c r="S251" s="998"/>
      <c r="T251" s="998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35">
      <c r="I252" s="1000"/>
      <c r="L252" s="998" t="str">
        <f>IF(AND(Table2[[#This Row],[ORDER NO.]]&lt;&gt;"", Table2[[#This Row],[ORDER NO.]]=Data!$B$1),1,"")</f>
        <v/>
      </c>
      <c r="M252" s="998" t="str">
        <f>IFERROR(IF(AND(Table2[[#This Row],[SEREAL NO.]]&lt;&gt;"", Table2[[#This Row],[SEREAL NO.]]=Data!$A$103),1,""),"")</f>
        <v/>
      </c>
      <c r="N252" s="998" t="str">
        <f>IF(AND(Table2[[#This Row],[SIZE]]&lt;&gt;"", Table2[[#This Row],[SIZE]]=Data!$B$3),1,"")</f>
        <v/>
      </c>
      <c r="O252" s="998" t="str">
        <f>IF(AND(Table2[[#This Row],[TYPE]]&lt;&gt;"", Table2[[#This Row],[TYPE]]=Data!$B$4),1,"")</f>
        <v/>
      </c>
      <c r="P252" s="998" t="str">
        <f>IF(AND(Table2[[#This Row],[LV5 MAT NO.]]&lt;&gt;"", Table2[[#This Row],[LV5 MAT NO.]]=Data!$B$5),1,"")</f>
        <v/>
      </c>
      <c r="Q252" s="998" t="str">
        <f>IF(AND(Table2[[#This Row],[FROM]]&lt;&gt;"", Table2[[#This Row],[FROM]]=Data!$B$7),1,"")</f>
        <v/>
      </c>
      <c r="R252" s="998" t="str">
        <f>IF(AND(Table2[[#This Row],[LV3 or LV4 MAT NO.]]&lt;&gt;"", Table2[[#This Row],[LV3 or LV4 MAT NO.]]=Data!$B$8),1,"")</f>
        <v/>
      </c>
      <c r="S252" s="998"/>
      <c r="T252" s="998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35">
      <c r="I253" s="1000"/>
      <c r="L253" s="998" t="str">
        <f>IF(AND(Table2[[#This Row],[ORDER NO.]]&lt;&gt;"", Table2[[#This Row],[ORDER NO.]]=Data!$B$1),1,"")</f>
        <v/>
      </c>
      <c r="M253" s="998" t="str">
        <f>IFERROR(IF(AND(Table2[[#This Row],[SEREAL NO.]]&lt;&gt;"", Table2[[#This Row],[SEREAL NO.]]=Data!$A$103),1,""),"")</f>
        <v/>
      </c>
      <c r="N253" s="998" t="str">
        <f>IF(AND(Table2[[#This Row],[SIZE]]&lt;&gt;"", Table2[[#This Row],[SIZE]]=Data!$B$3),1,"")</f>
        <v/>
      </c>
      <c r="O253" s="998" t="str">
        <f>IF(AND(Table2[[#This Row],[TYPE]]&lt;&gt;"", Table2[[#This Row],[TYPE]]=Data!$B$4),1,"")</f>
        <v/>
      </c>
      <c r="P253" s="998" t="str">
        <f>IF(AND(Table2[[#This Row],[LV5 MAT NO.]]&lt;&gt;"", Table2[[#This Row],[LV5 MAT NO.]]=Data!$B$5),1,"")</f>
        <v/>
      </c>
      <c r="Q253" s="998" t="str">
        <f>IF(AND(Table2[[#This Row],[FROM]]&lt;&gt;"", Table2[[#This Row],[FROM]]=Data!$B$7),1,"")</f>
        <v/>
      </c>
      <c r="R253" s="998" t="str">
        <f>IF(AND(Table2[[#This Row],[LV3 or LV4 MAT NO.]]&lt;&gt;"", Table2[[#This Row],[LV3 or LV4 MAT NO.]]=Data!$B$8),1,"")</f>
        <v/>
      </c>
      <c r="S253" s="998"/>
      <c r="T253" s="998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35">
      <c r="I254" s="1000"/>
      <c r="L254" s="998" t="str">
        <f>IF(AND(Table2[[#This Row],[ORDER NO.]]&lt;&gt;"", Table2[[#This Row],[ORDER NO.]]=Data!$B$1),1,"")</f>
        <v/>
      </c>
      <c r="M254" s="998" t="str">
        <f>IFERROR(IF(AND(Table2[[#This Row],[SEREAL NO.]]&lt;&gt;"", Table2[[#This Row],[SEREAL NO.]]=Data!$A$103),1,""),"")</f>
        <v/>
      </c>
      <c r="N254" s="998" t="str">
        <f>IF(AND(Table2[[#This Row],[SIZE]]&lt;&gt;"", Table2[[#This Row],[SIZE]]=Data!$B$3),1,"")</f>
        <v/>
      </c>
      <c r="O254" s="998" t="str">
        <f>IF(AND(Table2[[#This Row],[TYPE]]&lt;&gt;"", Table2[[#This Row],[TYPE]]=Data!$B$4),1,"")</f>
        <v/>
      </c>
      <c r="P254" s="998" t="str">
        <f>IF(AND(Table2[[#This Row],[LV5 MAT NO.]]&lt;&gt;"", Table2[[#This Row],[LV5 MAT NO.]]=Data!$B$5),1,"")</f>
        <v/>
      </c>
      <c r="Q254" s="998" t="str">
        <f>IF(AND(Table2[[#This Row],[FROM]]&lt;&gt;"", Table2[[#This Row],[FROM]]=Data!$B$7),1,"")</f>
        <v/>
      </c>
      <c r="R254" s="998" t="str">
        <f>IF(AND(Table2[[#This Row],[LV3 or LV4 MAT NO.]]&lt;&gt;"", Table2[[#This Row],[LV3 or LV4 MAT NO.]]=Data!$B$8),1,"")</f>
        <v/>
      </c>
      <c r="S254" s="998"/>
      <c r="T254" s="998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35">
      <c r="I255" s="1000"/>
      <c r="L255" s="998" t="str">
        <f>IF(AND(Table2[[#This Row],[ORDER NO.]]&lt;&gt;"", Table2[[#This Row],[ORDER NO.]]=Data!$B$1),1,"")</f>
        <v/>
      </c>
      <c r="M255" s="998" t="str">
        <f>IFERROR(IF(AND(Table2[[#This Row],[SEREAL NO.]]&lt;&gt;"", Table2[[#This Row],[SEREAL NO.]]=Data!$A$103),1,""),"")</f>
        <v/>
      </c>
      <c r="N255" s="998" t="str">
        <f>IF(AND(Table2[[#This Row],[SIZE]]&lt;&gt;"", Table2[[#This Row],[SIZE]]=Data!$B$3),1,"")</f>
        <v/>
      </c>
      <c r="O255" s="998" t="str">
        <f>IF(AND(Table2[[#This Row],[TYPE]]&lt;&gt;"", Table2[[#This Row],[TYPE]]=Data!$B$4),1,"")</f>
        <v/>
      </c>
      <c r="P255" s="998" t="str">
        <f>IF(AND(Table2[[#This Row],[LV5 MAT NO.]]&lt;&gt;"", Table2[[#This Row],[LV5 MAT NO.]]=Data!$B$5),1,"")</f>
        <v/>
      </c>
      <c r="Q255" s="998" t="str">
        <f>IF(AND(Table2[[#This Row],[FROM]]&lt;&gt;"", Table2[[#This Row],[FROM]]=Data!$B$7),1,"")</f>
        <v/>
      </c>
      <c r="R255" s="998" t="str">
        <f>IF(AND(Table2[[#This Row],[LV3 or LV4 MAT NO.]]&lt;&gt;"", Table2[[#This Row],[LV3 or LV4 MAT NO.]]=Data!$B$8),1,"")</f>
        <v/>
      </c>
      <c r="S255" s="998"/>
      <c r="T255" s="998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35">
      <c r="I256" s="1000"/>
      <c r="L256" s="998" t="str">
        <f>IF(AND(Table2[[#This Row],[ORDER NO.]]&lt;&gt;"", Table2[[#This Row],[ORDER NO.]]=Data!$B$1),1,"")</f>
        <v/>
      </c>
      <c r="M256" s="998" t="str">
        <f>IFERROR(IF(AND(Table2[[#This Row],[SEREAL NO.]]&lt;&gt;"", Table2[[#This Row],[SEREAL NO.]]=Data!$A$103),1,""),"")</f>
        <v/>
      </c>
      <c r="N256" s="998" t="str">
        <f>IF(AND(Table2[[#This Row],[SIZE]]&lt;&gt;"", Table2[[#This Row],[SIZE]]=Data!$B$3),1,"")</f>
        <v/>
      </c>
      <c r="O256" s="998" t="str">
        <f>IF(AND(Table2[[#This Row],[TYPE]]&lt;&gt;"", Table2[[#This Row],[TYPE]]=Data!$B$4),1,"")</f>
        <v/>
      </c>
      <c r="P256" s="998" t="str">
        <f>IF(AND(Table2[[#This Row],[LV5 MAT NO.]]&lt;&gt;"", Table2[[#This Row],[LV5 MAT NO.]]=Data!$B$5),1,"")</f>
        <v/>
      </c>
      <c r="Q256" s="998" t="str">
        <f>IF(AND(Table2[[#This Row],[FROM]]&lt;&gt;"", Table2[[#This Row],[FROM]]=Data!$B$7),1,"")</f>
        <v/>
      </c>
      <c r="R256" s="998" t="str">
        <f>IF(AND(Table2[[#This Row],[LV3 or LV4 MAT NO.]]&lt;&gt;"", Table2[[#This Row],[LV3 or LV4 MAT NO.]]=Data!$B$8),1,"")</f>
        <v/>
      </c>
      <c r="S256" s="998"/>
      <c r="T256" s="998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35">
      <c r="I257" s="1000"/>
      <c r="L257" s="998" t="str">
        <f>IF(AND(Table2[[#This Row],[ORDER NO.]]&lt;&gt;"", Table2[[#This Row],[ORDER NO.]]=Data!$B$1),1,"")</f>
        <v/>
      </c>
      <c r="M257" s="998" t="str">
        <f>IFERROR(IF(AND(Table2[[#This Row],[SEREAL NO.]]&lt;&gt;"", Table2[[#This Row],[SEREAL NO.]]=Data!$A$103),1,""),"")</f>
        <v/>
      </c>
      <c r="N257" s="998" t="str">
        <f>IF(AND(Table2[[#This Row],[SIZE]]&lt;&gt;"", Table2[[#This Row],[SIZE]]=Data!$B$3),1,"")</f>
        <v/>
      </c>
      <c r="O257" s="998" t="str">
        <f>IF(AND(Table2[[#This Row],[TYPE]]&lt;&gt;"", Table2[[#This Row],[TYPE]]=Data!$B$4),1,"")</f>
        <v/>
      </c>
      <c r="P257" s="998" t="str">
        <f>IF(AND(Table2[[#This Row],[LV5 MAT NO.]]&lt;&gt;"", Table2[[#This Row],[LV5 MAT NO.]]=Data!$B$5),1,"")</f>
        <v/>
      </c>
      <c r="Q257" s="998" t="str">
        <f>IF(AND(Table2[[#This Row],[FROM]]&lt;&gt;"", Table2[[#This Row],[FROM]]=Data!$B$7),1,"")</f>
        <v/>
      </c>
      <c r="R257" s="998" t="str">
        <f>IF(AND(Table2[[#This Row],[LV3 or LV4 MAT NO.]]&lt;&gt;"", Table2[[#This Row],[LV3 or LV4 MAT NO.]]=Data!$B$8),1,"")</f>
        <v/>
      </c>
      <c r="S257" s="998"/>
      <c r="T257" s="998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35">
      <c r="I258" s="1000"/>
      <c r="L258" s="998" t="str">
        <f>IF(AND(Table2[[#This Row],[ORDER NO.]]&lt;&gt;"", Table2[[#This Row],[ORDER NO.]]=Data!$B$1),1,"")</f>
        <v/>
      </c>
      <c r="M258" s="998" t="str">
        <f>IFERROR(IF(AND(Table2[[#This Row],[SEREAL NO.]]&lt;&gt;"", Table2[[#This Row],[SEREAL NO.]]=Data!$A$103),1,""),"")</f>
        <v/>
      </c>
      <c r="N258" s="998" t="str">
        <f>IF(AND(Table2[[#This Row],[SIZE]]&lt;&gt;"", Table2[[#This Row],[SIZE]]=Data!$B$3),1,"")</f>
        <v/>
      </c>
      <c r="O258" s="998" t="str">
        <f>IF(AND(Table2[[#This Row],[TYPE]]&lt;&gt;"", Table2[[#This Row],[TYPE]]=Data!$B$4),1,"")</f>
        <v/>
      </c>
      <c r="P258" s="998" t="str">
        <f>IF(AND(Table2[[#This Row],[LV5 MAT NO.]]&lt;&gt;"", Table2[[#This Row],[LV5 MAT NO.]]=Data!$B$5),1,"")</f>
        <v/>
      </c>
      <c r="Q258" s="998" t="str">
        <f>IF(AND(Table2[[#This Row],[FROM]]&lt;&gt;"", Table2[[#This Row],[FROM]]=Data!$B$7),1,"")</f>
        <v/>
      </c>
      <c r="R258" s="998" t="str">
        <f>IF(AND(Table2[[#This Row],[LV3 or LV4 MAT NO.]]&lt;&gt;"", Table2[[#This Row],[LV3 or LV4 MAT NO.]]=Data!$B$8),1,"")</f>
        <v/>
      </c>
      <c r="S258" s="998"/>
      <c r="T258" s="998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35">
      <c r="I259" s="1000"/>
      <c r="L259" s="998" t="str">
        <f>IF(AND(Table2[[#This Row],[ORDER NO.]]&lt;&gt;"", Table2[[#This Row],[ORDER NO.]]=Data!$B$1),1,"")</f>
        <v/>
      </c>
      <c r="M259" s="998" t="str">
        <f>IFERROR(IF(AND(Table2[[#This Row],[SEREAL NO.]]&lt;&gt;"", Table2[[#This Row],[SEREAL NO.]]=Data!$A$103),1,""),"")</f>
        <v/>
      </c>
      <c r="N259" s="998" t="str">
        <f>IF(AND(Table2[[#This Row],[SIZE]]&lt;&gt;"", Table2[[#This Row],[SIZE]]=Data!$B$3),1,"")</f>
        <v/>
      </c>
      <c r="O259" s="998" t="str">
        <f>IF(AND(Table2[[#This Row],[TYPE]]&lt;&gt;"", Table2[[#This Row],[TYPE]]=Data!$B$4),1,"")</f>
        <v/>
      </c>
      <c r="P259" s="998" t="str">
        <f>IF(AND(Table2[[#This Row],[LV5 MAT NO.]]&lt;&gt;"", Table2[[#This Row],[LV5 MAT NO.]]=Data!$B$5),1,"")</f>
        <v/>
      </c>
      <c r="Q259" s="998" t="str">
        <f>IF(AND(Table2[[#This Row],[FROM]]&lt;&gt;"", Table2[[#This Row],[FROM]]=Data!$B$7),1,"")</f>
        <v/>
      </c>
      <c r="R259" s="998" t="str">
        <f>IF(AND(Table2[[#This Row],[LV3 or LV4 MAT NO.]]&lt;&gt;"", Table2[[#This Row],[LV3 or LV4 MAT NO.]]=Data!$B$8),1,"")</f>
        <v/>
      </c>
      <c r="S259" s="998"/>
      <c r="T259" s="998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35">
      <c r="I260" s="1000"/>
      <c r="L260" s="998" t="str">
        <f>IF(AND(Table2[[#This Row],[ORDER NO.]]&lt;&gt;"", Table2[[#This Row],[ORDER NO.]]=Data!$B$1),1,"")</f>
        <v/>
      </c>
      <c r="M260" s="998" t="str">
        <f>IFERROR(IF(AND(Table2[[#This Row],[SEREAL NO.]]&lt;&gt;"", Table2[[#This Row],[SEREAL NO.]]=Data!$A$103),1,""),"")</f>
        <v/>
      </c>
      <c r="N260" s="998" t="str">
        <f>IF(AND(Table2[[#This Row],[SIZE]]&lt;&gt;"", Table2[[#This Row],[SIZE]]=Data!$B$3),1,"")</f>
        <v/>
      </c>
      <c r="O260" s="998" t="str">
        <f>IF(AND(Table2[[#This Row],[TYPE]]&lt;&gt;"", Table2[[#This Row],[TYPE]]=Data!$B$4),1,"")</f>
        <v/>
      </c>
      <c r="P260" s="998" t="str">
        <f>IF(AND(Table2[[#This Row],[LV5 MAT NO.]]&lt;&gt;"", Table2[[#This Row],[LV5 MAT NO.]]=Data!$B$5),1,"")</f>
        <v/>
      </c>
      <c r="Q260" s="998" t="str">
        <f>IF(AND(Table2[[#This Row],[FROM]]&lt;&gt;"", Table2[[#This Row],[FROM]]=Data!$B$7),1,"")</f>
        <v/>
      </c>
      <c r="R260" s="998" t="str">
        <f>IF(AND(Table2[[#This Row],[LV3 or LV4 MAT NO.]]&lt;&gt;"", Table2[[#This Row],[LV3 or LV4 MAT NO.]]=Data!$B$8),1,"")</f>
        <v/>
      </c>
      <c r="S260" s="998"/>
      <c r="T260" s="998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35">
      <c r="I261" s="1000"/>
      <c r="L261" s="998" t="str">
        <f>IF(AND(Table2[[#This Row],[ORDER NO.]]&lt;&gt;"", Table2[[#This Row],[ORDER NO.]]=Data!$B$1),1,"")</f>
        <v/>
      </c>
      <c r="M261" s="998" t="str">
        <f>IFERROR(IF(AND(Table2[[#This Row],[SEREAL NO.]]&lt;&gt;"", Table2[[#This Row],[SEREAL NO.]]=Data!$A$103),1,""),"")</f>
        <v/>
      </c>
      <c r="N261" s="998" t="str">
        <f>IF(AND(Table2[[#This Row],[SIZE]]&lt;&gt;"", Table2[[#This Row],[SIZE]]=Data!$B$3),1,"")</f>
        <v/>
      </c>
      <c r="O261" s="998" t="str">
        <f>IF(AND(Table2[[#This Row],[TYPE]]&lt;&gt;"", Table2[[#This Row],[TYPE]]=Data!$B$4),1,"")</f>
        <v/>
      </c>
      <c r="P261" s="998" t="str">
        <f>IF(AND(Table2[[#This Row],[LV5 MAT NO.]]&lt;&gt;"", Table2[[#This Row],[LV5 MAT NO.]]=Data!$B$5),1,"")</f>
        <v/>
      </c>
      <c r="Q261" s="998" t="str">
        <f>IF(AND(Table2[[#This Row],[FROM]]&lt;&gt;"", Table2[[#This Row],[FROM]]=Data!$B$7),1,"")</f>
        <v/>
      </c>
      <c r="R261" s="998" t="str">
        <f>IF(AND(Table2[[#This Row],[LV3 or LV4 MAT NO.]]&lt;&gt;"", Table2[[#This Row],[LV3 or LV4 MAT NO.]]=Data!$B$8),1,"")</f>
        <v/>
      </c>
      <c r="S261" s="998"/>
      <c r="T261" s="998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35">
      <c r="I262" s="1000"/>
      <c r="L262" s="998" t="str">
        <f>IF(AND(Table2[[#This Row],[ORDER NO.]]&lt;&gt;"", Table2[[#This Row],[ORDER NO.]]=Data!$B$1),1,"")</f>
        <v/>
      </c>
      <c r="M262" s="998" t="str">
        <f>IFERROR(IF(AND(Table2[[#This Row],[SEREAL NO.]]&lt;&gt;"", Table2[[#This Row],[SEREAL NO.]]=Data!$A$103),1,""),"")</f>
        <v/>
      </c>
      <c r="N262" s="998" t="str">
        <f>IF(AND(Table2[[#This Row],[SIZE]]&lt;&gt;"", Table2[[#This Row],[SIZE]]=Data!$B$3),1,"")</f>
        <v/>
      </c>
      <c r="O262" s="998" t="str">
        <f>IF(AND(Table2[[#This Row],[TYPE]]&lt;&gt;"", Table2[[#This Row],[TYPE]]=Data!$B$4),1,"")</f>
        <v/>
      </c>
      <c r="P262" s="998" t="str">
        <f>IF(AND(Table2[[#This Row],[LV5 MAT NO.]]&lt;&gt;"", Table2[[#This Row],[LV5 MAT NO.]]=Data!$B$5),1,"")</f>
        <v/>
      </c>
      <c r="Q262" s="998" t="str">
        <f>IF(AND(Table2[[#This Row],[FROM]]&lt;&gt;"", Table2[[#This Row],[FROM]]=Data!$B$7),1,"")</f>
        <v/>
      </c>
      <c r="R262" s="998" t="str">
        <f>IF(AND(Table2[[#This Row],[LV3 or LV4 MAT NO.]]&lt;&gt;"", Table2[[#This Row],[LV3 or LV4 MAT NO.]]=Data!$B$8),1,"")</f>
        <v/>
      </c>
      <c r="S262" s="998"/>
      <c r="T262" s="998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35">
      <c r="I263" s="1000"/>
      <c r="L263" s="998" t="str">
        <f>IF(AND(Table2[[#This Row],[ORDER NO.]]&lt;&gt;"", Table2[[#This Row],[ORDER NO.]]=Data!$B$1),1,"")</f>
        <v/>
      </c>
      <c r="M263" s="998" t="str">
        <f>IFERROR(IF(AND(Table2[[#This Row],[SEREAL NO.]]&lt;&gt;"", Table2[[#This Row],[SEREAL NO.]]=Data!$A$103),1,""),"")</f>
        <v/>
      </c>
      <c r="N263" s="998" t="str">
        <f>IF(AND(Table2[[#This Row],[SIZE]]&lt;&gt;"", Table2[[#This Row],[SIZE]]=Data!$B$3),1,"")</f>
        <v/>
      </c>
      <c r="O263" s="998" t="str">
        <f>IF(AND(Table2[[#This Row],[TYPE]]&lt;&gt;"", Table2[[#This Row],[TYPE]]=Data!$B$4),1,"")</f>
        <v/>
      </c>
      <c r="P263" s="998" t="str">
        <f>IF(AND(Table2[[#This Row],[LV5 MAT NO.]]&lt;&gt;"", Table2[[#This Row],[LV5 MAT NO.]]=Data!$B$5),1,"")</f>
        <v/>
      </c>
      <c r="Q263" s="998" t="str">
        <f>IF(AND(Table2[[#This Row],[FROM]]&lt;&gt;"", Table2[[#This Row],[FROM]]=Data!$B$7),1,"")</f>
        <v/>
      </c>
      <c r="R263" s="998" t="str">
        <f>IF(AND(Table2[[#This Row],[LV3 or LV4 MAT NO.]]&lt;&gt;"", Table2[[#This Row],[LV3 or LV4 MAT NO.]]=Data!$B$8),1,"")</f>
        <v/>
      </c>
      <c r="S263" s="998"/>
      <c r="T263" s="998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35">
      <c r="I264" s="1000"/>
      <c r="L264" s="998" t="str">
        <f>IF(AND(Table2[[#This Row],[ORDER NO.]]&lt;&gt;"", Table2[[#This Row],[ORDER NO.]]=Data!$B$1),1,"")</f>
        <v/>
      </c>
      <c r="M264" s="998" t="str">
        <f>IFERROR(IF(AND(Table2[[#This Row],[SEREAL NO.]]&lt;&gt;"", Table2[[#This Row],[SEREAL NO.]]=Data!$A$103),1,""),"")</f>
        <v/>
      </c>
      <c r="N264" s="998" t="str">
        <f>IF(AND(Table2[[#This Row],[SIZE]]&lt;&gt;"", Table2[[#This Row],[SIZE]]=Data!$B$3),1,"")</f>
        <v/>
      </c>
      <c r="O264" s="998" t="str">
        <f>IF(AND(Table2[[#This Row],[TYPE]]&lt;&gt;"", Table2[[#This Row],[TYPE]]=Data!$B$4),1,"")</f>
        <v/>
      </c>
      <c r="P264" s="998" t="str">
        <f>IF(AND(Table2[[#This Row],[LV5 MAT NO.]]&lt;&gt;"", Table2[[#This Row],[LV5 MAT NO.]]=Data!$B$5),1,"")</f>
        <v/>
      </c>
      <c r="Q264" s="998" t="str">
        <f>IF(AND(Table2[[#This Row],[FROM]]&lt;&gt;"", Table2[[#This Row],[FROM]]=Data!$B$7),1,"")</f>
        <v/>
      </c>
      <c r="R264" s="998" t="str">
        <f>IF(AND(Table2[[#This Row],[LV3 or LV4 MAT NO.]]&lt;&gt;"", Table2[[#This Row],[LV3 or LV4 MAT NO.]]=Data!$B$8),1,"")</f>
        <v/>
      </c>
      <c r="S264" s="998"/>
      <c r="T264" s="998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35">
      <c r="I265" s="1000"/>
      <c r="L265" s="998" t="str">
        <f>IF(AND(Table2[[#This Row],[ORDER NO.]]&lt;&gt;"", Table2[[#This Row],[ORDER NO.]]=Data!$B$1),1,"")</f>
        <v/>
      </c>
      <c r="M265" s="998" t="str">
        <f>IFERROR(IF(AND(Table2[[#This Row],[SEREAL NO.]]&lt;&gt;"", Table2[[#This Row],[SEREAL NO.]]=Data!$A$103),1,""),"")</f>
        <v/>
      </c>
      <c r="N265" s="998" t="str">
        <f>IF(AND(Table2[[#This Row],[SIZE]]&lt;&gt;"", Table2[[#This Row],[SIZE]]=Data!$B$3),1,"")</f>
        <v/>
      </c>
      <c r="O265" s="998" t="str">
        <f>IF(AND(Table2[[#This Row],[TYPE]]&lt;&gt;"", Table2[[#This Row],[TYPE]]=Data!$B$4),1,"")</f>
        <v/>
      </c>
      <c r="P265" s="998" t="str">
        <f>IF(AND(Table2[[#This Row],[LV5 MAT NO.]]&lt;&gt;"", Table2[[#This Row],[LV5 MAT NO.]]=Data!$B$5),1,"")</f>
        <v/>
      </c>
      <c r="Q265" s="998" t="str">
        <f>IF(AND(Table2[[#This Row],[FROM]]&lt;&gt;"", Table2[[#This Row],[FROM]]=Data!$B$7),1,"")</f>
        <v/>
      </c>
      <c r="R265" s="998" t="str">
        <f>IF(AND(Table2[[#This Row],[LV3 or LV4 MAT NO.]]&lt;&gt;"", Table2[[#This Row],[LV3 or LV4 MAT NO.]]=Data!$B$8),1,"")</f>
        <v/>
      </c>
      <c r="S265" s="998"/>
      <c r="T265" s="998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35">
      <c r="I266" s="1000"/>
      <c r="L266" s="998" t="str">
        <f>IF(AND(Table2[[#This Row],[ORDER NO.]]&lt;&gt;"", Table2[[#This Row],[ORDER NO.]]=Data!$B$1),1,"")</f>
        <v/>
      </c>
      <c r="M266" s="998" t="str">
        <f>IFERROR(IF(AND(Table2[[#This Row],[SEREAL NO.]]&lt;&gt;"", Table2[[#This Row],[SEREAL NO.]]=Data!$A$103),1,""),"")</f>
        <v/>
      </c>
      <c r="N266" s="998" t="str">
        <f>IF(AND(Table2[[#This Row],[SIZE]]&lt;&gt;"", Table2[[#This Row],[SIZE]]=Data!$B$3),1,"")</f>
        <v/>
      </c>
      <c r="O266" s="998" t="str">
        <f>IF(AND(Table2[[#This Row],[TYPE]]&lt;&gt;"", Table2[[#This Row],[TYPE]]=Data!$B$4),1,"")</f>
        <v/>
      </c>
      <c r="P266" s="998" t="str">
        <f>IF(AND(Table2[[#This Row],[LV5 MAT NO.]]&lt;&gt;"", Table2[[#This Row],[LV5 MAT NO.]]=Data!$B$5),1,"")</f>
        <v/>
      </c>
      <c r="Q266" s="998" t="str">
        <f>IF(AND(Table2[[#This Row],[FROM]]&lt;&gt;"", Table2[[#This Row],[FROM]]=Data!$B$7),1,"")</f>
        <v/>
      </c>
      <c r="R266" s="998" t="str">
        <f>IF(AND(Table2[[#This Row],[LV3 or LV4 MAT NO.]]&lt;&gt;"", Table2[[#This Row],[LV3 or LV4 MAT NO.]]=Data!$B$8),1,"")</f>
        <v/>
      </c>
      <c r="S266" s="998"/>
      <c r="T266" s="998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35">
      <c r="I267" s="1000"/>
      <c r="L267" s="998" t="str">
        <f>IF(AND(Table2[[#This Row],[ORDER NO.]]&lt;&gt;"", Table2[[#This Row],[ORDER NO.]]=Data!$B$1),1,"")</f>
        <v/>
      </c>
      <c r="M267" s="998" t="str">
        <f>IFERROR(IF(AND(Table2[[#This Row],[SEREAL NO.]]&lt;&gt;"", Table2[[#This Row],[SEREAL NO.]]=Data!$A$103),1,""),"")</f>
        <v/>
      </c>
      <c r="N267" s="998" t="str">
        <f>IF(AND(Table2[[#This Row],[SIZE]]&lt;&gt;"", Table2[[#This Row],[SIZE]]=Data!$B$3),1,"")</f>
        <v/>
      </c>
      <c r="O267" s="998" t="str">
        <f>IF(AND(Table2[[#This Row],[TYPE]]&lt;&gt;"", Table2[[#This Row],[TYPE]]=Data!$B$4),1,"")</f>
        <v/>
      </c>
      <c r="P267" s="998" t="str">
        <f>IF(AND(Table2[[#This Row],[LV5 MAT NO.]]&lt;&gt;"", Table2[[#This Row],[LV5 MAT NO.]]=Data!$B$5),1,"")</f>
        <v/>
      </c>
      <c r="Q267" s="998" t="str">
        <f>IF(AND(Table2[[#This Row],[FROM]]&lt;&gt;"", Table2[[#This Row],[FROM]]=Data!$B$7),1,"")</f>
        <v/>
      </c>
      <c r="R267" s="998" t="str">
        <f>IF(AND(Table2[[#This Row],[LV3 or LV4 MAT NO.]]&lt;&gt;"", Table2[[#This Row],[LV3 or LV4 MAT NO.]]=Data!$B$8),1,"")</f>
        <v/>
      </c>
      <c r="S267" s="998"/>
      <c r="T267" s="998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35">
      <c r="I268" s="1000"/>
      <c r="L268" s="998" t="str">
        <f>IF(AND(Table2[[#This Row],[ORDER NO.]]&lt;&gt;"", Table2[[#This Row],[ORDER NO.]]=Data!$B$1),1,"")</f>
        <v/>
      </c>
      <c r="M268" s="998" t="str">
        <f>IFERROR(IF(AND(Table2[[#This Row],[SEREAL NO.]]&lt;&gt;"", Table2[[#This Row],[SEREAL NO.]]=Data!$A$103),1,""),"")</f>
        <v/>
      </c>
      <c r="N268" s="998" t="str">
        <f>IF(AND(Table2[[#This Row],[SIZE]]&lt;&gt;"", Table2[[#This Row],[SIZE]]=Data!$B$3),1,"")</f>
        <v/>
      </c>
      <c r="O268" s="998" t="str">
        <f>IF(AND(Table2[[#This Row],[TYPE]]&lt;&gt;"", Table2[[#This Row],[TYPE]]=Data!$B$4),1,"")</f>
        <v/>
      </c>
      <c r="P268" s="998" t="str">
        <f>IF(AND(Table2[[#This Row],[LV5 MAT NO.]]&lt;&gt;"", Table2[[#This Row],[LV5 MAT NO.]]=Data!$B$5),1,"")</f>
        <v/>
      </c>
      <c r="Q268" s="998" t="str">
        <f>IF(AND(Table2[[#This Row],[FROM]]&lt;&gt;"", Table2[[#This Row],[FROM]]=Data!$B$7),1,"")</f>
        <v/>
      </c>
      <c r="R268" s="998" t="str">
        <f>IF(AND(Table2[[#This Row],[LV3 or LV4 MAT NO.]]&lt;&gt;"", Table2[[#This Row],[LV3 or LV4 MAT NO.]]=Data!$B$8),1,"")</f>
        <v/>
      </c>
      <c r="S268" s="998"/>
      <c r="T268" s="998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35">
      <c r="I269" s="1000"/>
      <c r="L269" s="998" t="str">
        <f>IF(AND(Table2[[#This Row],[ORDER NO.]]&lt;&gt;"", Table2[[#This Row],[ORDER NO.]]=Data!$B$1),1,"")</f>
        <v/>
      </c>
      <c r="M269" s="998" t="str">
        <f>IFERROR(IF(AND(Table2[[#This Row],[SEREAL NO.]]&lt;&gt;"", Table2[[#This Row],[SEREAL NO.]]=Data!$A$103),1,""),"")</f>
        <v/>
      </c>
      <c r="N269" s="998" t="str">
        <f>IF(AND(Table2[[#This Row],[SIZE]]&lt;&gt;"", Table2[[#This Row],[SIZE]]=Data!$B$3),1,"")</f>
        <v/>
      </c>
      <c r="O269" s="998" t="str">
        <f>IF(AND(Table2[[#This Row],[TYPE]]&lt;&gt;"", Table2[[#This Row],[TYPE]]=Data!$B$4),1,"")</f>
        <v/>
      </c>
      <c r="P269" s="998" t="str">
        <f>IF(AND(Table2[[#This Row],[LV5 MAT NO.]]&lt;&gt;"", Table2[[#This Row],[LV5 MAT NO.]]=Data!$B$5),1,"")</f>
        <v/>
      </c>
      <c r="Q269" s="998" t="str">
        <f>IF(AND(Table2[[#This Row],[FROM]]&lt;&gt;"", Table2[[#This Row],[FROM]]=Data!$B$7),1,"")</f>
        <v/>
      </c>
      <c r="R269" s="998" t="str">
        <f>IF(AND(Table2[[#This Row],[LV3 or LV4 MAT NO.]]&lt;&gt;"", Table2[[#This Row],[LV3 or LV4 MAT NO.]]=Data!$B$8),1,"")</f>
        <v/>
      </c>
      <c r="S269" s="998"/>
      <c r="T269" s="998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35">
      <c r="I270" s="1000"/>
      <c r="L270" s="998" t="str">
        <f>IF(AND(Table2[[#This Row],[ORDER NO.]]&lt;&gt;"", Table2[[#This Row],[ORDER NO.]]=Data!$B$1),1,"")</f>
        <v/>
      </c>
      <c r="M270" s="998" t="str">
        <f>IFERROR(IF(AND(Table2[[#This Row],[SEREAL NO.]]&lt;&gt;"", Table2[[#This Row],[SEREAL NO.]]=Data!$A$103),1,""),"")</f>
        <v/>
      </c>
      <c r="N270" s="998" t="str">
        <f>IF(AND(Table2[[#This Row],[SIZE]]&lt;&gt;"", Table2[[#This Row],[SIZE]]=Data!$B$3),1,"")</f>
        <v/>
      </c>
      <c r="O270" s="998" t="str">
        <f>IF(AND(Table2[[#This Row],[TYPE]]&lt;&gt;"", Table2[[#This Row],[TYPE]]=Data!$B$4),1,"")</f>
        <v/>
      </c>
      <c r="P270" s="998" t="str">
        <f>IF(AND(Table2[[#This Row],[LV5 MAT NO.]]&lt;&gt;"", Table2[[#This Row],[LV5 MAT NO.]]=Data!$B$5),1,"")</f>
        <v/>
      </c>
      <c r="Q270" s="998" t="str">
        <f>IF(AND(Table2[[#This Row],[FROM]]&lt;&gt;"", Table2[[#This Row],[FROM]]=Data!$B$7),1,"")</f>
        <v/>
      </c>
      <c r="R270" s="998" t="str">
        <f>IF(AND(Table2[[#This Row],[LV3 or LV4 MAT NO.]]&lt;&gt;"", Table2[[#This Row],[LV3 or LV4 MAT NO.]]=Data!$B$8),1,"")</f>
        <v/>
      </c>
      <c r="S270" s="998"/>
      <c r="T270" s="998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35">
      <c r="I271" s="1000"/>
      <c r="L271" s="998" t="str">
        <f>IF(AND(Table2[[#This Row],[ORDER NO.]]&lt;&gt;"", Table2[[#This Row],[ORDER NO.]]=Data!$B$1),1,"")</f>
        <v/>
      </c>
      <c r="M271" s="998" t="str">
        <f>IFERROR(IF(AND(Table2[[#This Row],[SEREAL NO.]]&lt;&gt;"", Table2[[#This Row],[SEREAL NO.]]=Data!$A$103),1,""),"")</f>
        <v/>
      </c>
      <c r="N271" s="998" t="str">
        <f>IF(AND(Table2[[#This Row],[SIZE]]&lt;&gt;"", Table2[[#This Row],[SIZE]]=Data!$B$3),1,"")</f>
        <v/>
      </c>
      <c r="O271" s="998" t="str">
        <f>IF(AND(Table2[[#This Row],[TYPE]]&lt;&gt;"", Table2[[#This Row],[TYPE]]=Data!$B$4),1,"")</f>
        <v/>
      </c>
      <c r="P271" s="998" t="str">
        <f>IF(AND(Table2[[#This Row],[LV5 MAT NO.]]&lt;&gt;"", Table2[[#This Row],[LV5 MAT NO.]]=Data!$B$5),1,"")</f>
        <v/>
      </c>
      <c r="Q271" s="998" t="str">
        <f>IF(AND(Table2[[#This Row],[FROM]]&lt;&gt;"", Table2[[#This Row],[FROM]]=Data!$B$7),1,"")</f>
        <v/>
      </c>
      <c r="R271" s="998" t="str">
        <f>IF(AND(Table2[[#This Row],[LV3 or LV4 MAT NO.]]&lt;&gt;"", Table2[[#This Row],[LV3 or LV4 MAT NO.]]=Data!$B$8),1,"")</f>
        <v/>
      </c>
      <c r="S271" s="998"/>
      <c r="T271" s="998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35">
      <c r="I272" s="1000"/>
      <c r="L272" s="998" t="str">
        <f>IF(AND(Table2[[#This Row],[ORDER NO.]]&lt;&gt;"", Table2[[#This Row],[ORDER NO.]]=Data!$B$1),1,"")</f>
        <v/>
      </c>
      <c r="M272" s="998" t="str">
        <f>IFERROR(IF(AND(Table2[[#This Row],[SEREAL NO.]]&lt;&gt;"", Table2[[#This Row],[SEREAL NO.]]=Data!$A$103),1,""),"")</f>
        <v/>
      </c>
      <c r="N272" s="998" t="str">
        <f>IF(AND(Table2[[#This Row],[SIZE]]&lt;&gt;"", Table2[[#This Row],[SIZE]]=Data!$B$3),1,"")</f>
        <v/>
      </c>
      <c r="O272" s="998" t="str">
        <f>IF(AND(Table2[[#This Row],[TYPE]]&lt;&gt;"", Table2[[#This Row],[TYPE]]=Data!$B$4),1,"")</f>
        <v/>
      </c>
      <c r="P272" s="998" t="str">
        <f>IF(AND(Table2[[#This Row],[LV5 MAT NO.]]&lt;&gt;"", Table2[[#This Row],[LV5 MAT NO.]]=Data!$B$5),1,"")</f>
        <v/>
      </c>
      <c r="Q272" s="998" t="str">
        <f>IF(AND(Table2[[#This Row],[FROM]]&lt;&gt;"", Table2[[#This Row],[FROM]]=Data!$B$7),1,"")</f>
        <v/>
      </c>
      <c r="R272" s="998" t="str">
        <f>IF(AND(Table2[[#This Row],[LV3 or LV4 MAT NO.]]&lt;&gt;"", Table2[[#This Row],[LV3 or LV4 MAT NO.]]=Data!$B$8),1,"")</f>
        <v/>
      </c>
      <c r="S272" s="998"/>
      <c r="T272" s="998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35">
      <c r="I273" s="1000"/>
      <c r="L273" s="998" t="str">
        <f>IF(AND(Table2[[#This Row],[ORDER NO.]]&lt;&gt;"", Table2[[#This Row],[ORDER NO.]]=Data!$B$1),1,"")</f>
        <v/>
      </c>
      <c r="M273" s="998" t="str">
        <f>IFERROR(IF(AND(Table2[[#This Row],[SEREAL NO.]]&lt;&gt;"", Table2[[#This Row],[SEREAL NO.]]=Data!$A$103),1,""),"")</f>
        <v/>
      </c>
      <c r="N273" s="998" t="str">
        <f>IF(AND(Table2[[#This Row],[SIZE]]&lt;&gt;"", Table2[[#This Row],[SIZE]]=Data!$B$3),1,"")</f>
        <v/>
      </c>
      <c r="O273" s="998" t="str">
        <f>IF(AND(Table2[[#This Row],[TYPE]]&lt;&gt;"", Table2[[#This Row],[TYPE]]=Data!$B$4),1,"")</f>
        <v/>
      </c>
      <c r="P273" s="998" t="str">
        <f>IF(AND(Table2[[#This Row],[LV5 MAT NO.]]&lt;&gt;"", Table2[[#This Row],[LV5 MAT NO.]]=Data!$B$5),1,"")</f>
        <v/>
      </c>
      <c r="Q273" s="998" t="str">
        <f>IF(AND(Table2[[#This Row],[FROM]]&lt;&gt;"", Table2[[#This Row],[FROM]]=Data!$B$7),1,"")</f>
        <v/>
      </c>
      <c r="R273" s="998" t="str">
        <f>IF(AND(Table2[[#This Row],[LV3 or LV4 MAT NO.]]&lt;&gt;"", Table2[[#This Row],[LV3 or LV4 MAT NO.]]=Data!$B$8),1,"")</f>
        <v/>
      </c>
      <c r="S273" s="998"/>
      <c r="T273" s="998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35">
      <c r="I274" s="1000"/>
      <c r="L274" s="998" t="str">
        <f>IF(AND(Table2[[#This Row],[ORDER NO.]]&lt;&gt;"", Table2[[#This Row],[ORDER NO.]]=Data!$B$1),1,"")</f>
        <v/>
      </c>
      <c r="M274" s="998" t="str">
        <f>IFERROR(IF(AND(Table2[[#This Row],[SEREAL NO.]]&lt;&gt;"", Table2[[#This Row],[SEREAL NO.]]=Data!$A$103),1,""),"")</f>
        <v/>
      </c>
      <c r="N274" s="998" t="str">
        <f>IF(AND(Table2[[#This Row],[SIZE]]&lt;&gt;"", Table2[[#This Row],[SIZE]]=Data!$B$3),1,"")</f>
        <v/>
      </c>
      <c r="O274" s="998" t="str">
        <f>IF(AND(Table2[[#This Row],[TYPE]]&lt;&gt;"", Table2[[#This Row],[TYPE]]=Data!$B$4),1,"")</f>
        <v/>
      </c>
      <c r="P274" s="998" t="str">
        <f>IF(AND(Table2[[#This Row],[LV5 MAT NO.]]&lt;&gt;"", Table2[[#This Row],[LV5 MAT NO.]]=Data!$B$5),1,"")</f>
        <v/>
      </c>
      <c r="Q274" s="998" t="str">
        <f>IF(AND(Table2[[#This Row],[FROM]]&lt;&gt;"", Table2[[#This Row],[FROM]]=Data!$B$7),1,"")</f>
        <v/>
      </c>
      <c r="R274" s="998" t="str">
        <f>IF(AND(Table2[[#This Row],[LV3 or LV4 MAT NO.]]&lt;&gt;"", Table2[[#This Row],[LV3 or LV4 MAT NO.]]=Data!$B$8),1,"")</f>
        <v/>
      </c>
      <c r="S274" s="998"/>
      <c r="T274" s="998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35">
      <c r="I275" s="1000"/>
      <c r="L275" s="998" t="str">
        <f>IF(AND(Table2[[#This Row],[ORDER NO.]]&lt;&gt;"", Table2[[#This Row],[ORDER NO.]]=Data!$B$1),1,"")</f>
        <v/>
      </c>
      <c r="M275" s="998" t="str">
        <f>IFERROR(IF(AND(Table2[[#This Row],[SEREAL NO.]]&lt;&gt;"", Table2[[#This Row],[SEREAL NO.]]=Data!$A$103),1,""),"")</f>
        <v/>
      </c>
      <c r="N275" s="998" t="str">
        <f>IF(AND(Table2[[#This Row],[SIZE]]&lt;&gt;"", Table2[[#This Row],[SIZE]]=Data!$B$3),1,"")</f>
        <v/>
      </c>
      <c r="O275" s="998" t="str">
        <f>IF(AND(Table2[[#This Row],[TYPE]]&lt;&gt;"", Table2[[#This Row],[TYPE]]=Data!$B$4),1,"")</f>
        <v/>
      </c>
      <c r="P275" s="998" t="str">
        <f>IF(AND(Table2[[#This Row],[LV5 MAT NO.]]&lt;&gt;"", Table2[[#This Row],[LV5 MAT NO.]]=Data!$B$5),1,"")</f>
        <v/>
      </c>
      <c r="Q275" s="998" t="str">
        <f>IF(AND(Table2[[#This Row],[FROM]]&lt;&gt;"", Table2[[#This Row],[FROM]]=Data!$B$7),1,"")</f>
        <v/>
      </c>
      <c r="R275" s="998" t="str">
        <f>IF(AND(Table2[[#This Row],[LV3 or LV4 MAT NO.]]&lt;&gt;"", Table2[[#This Row],[LV3 or LV4 MAT NO.]]=Data!$B$8),1,"")</f>
        <v/>
      </c>
      <c r="S275" s="998"/>
      <c r="T275" s="998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35">
      <c r="I276" s="1000"/>
      <c r="L276" s="998" t="str">
        <f>IF(AND(Table2[[#This Row],[ORDER NO.]]&lt;&gt;"", Table2[[#This Row],[ORDER NO.]]=Data!$B$1),1,"")</f>
        <v/>
      </c>
      <c r="M276" s="998" t="str">
        <f>IFERROR(IF(AND(Table2[[#This Row],[SEREAL NO.]]&lt;&gt;"", Table2[[#This Row],[SEREAL NO.]]=Data!$A$103),1,""),"")</f>
        <v/>
      </c>
      <c r="N276" s="998" t="str">
        <f>IF(AND(Table2[[#This Row],[SIZE]]&lt;&gt;"", Table2[[#This Row],[SIZE]]=Data!$B$3),1,"")</f>
        <v/>
      </c>
      <c r="O276" s="998" t="str">
        <f>IF(AND(Table2[[#This Row],[TYPE]]&lt;&gt;"", Table2[[#This Row],[TYPE]]=Data!$B$4),1,"")</f>
        <v/>
      </c>
      <c r="P276" s="998" t="str">
        <f>IF(AND(Table2[[#This Row],[LV5 MAT NO.]]&lt;&gt;"", Table2[[#This Row],[LV5 MAT NO.]]=Data!$B$5),1,"")</f>
        <v/>
      </c>
      <c r="Q276" s="998" t="str">
        <f>IF(AND(Table2[[#This Row],[FROM]]&lt;&gt;"", Table2[[#This Row],[FROM]]=Data!$B$7),1,"")</f>
        <v/>
      </c>
      <c r="R276" s="998" t="str">
        <f>IF(AND(Table2[[#This Row],[LV3 or LV4 MAT NO.]]&lt;&gt;"", Table2[[#This Row],[LV3 or LV4 MAT NO.]]=Data!$B$8),1,"")</f>
        <v/>
      </c>
      <c r="S276" s="998"/>
      <c r="T276" s="998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35">
      <c r="I277" s="1000"/>
      <c r="L277" s="998" t="str">
        <f>IF(AND(Table2[[#This Row],[ORDER NO.]]&lt;&gt;"", Table2[[#This Row],[ORDER NO.]]=Data!$B$1),1,"")</f>
        <v/>
      </c>
      <c r="M277" s="998" t="str">
        <f>IFERROR(IF(AND(Table2[[#This Row],[SEREAL NO.]]&lt;&gt;"", Table2[[#This Row],[SEREAL NO.]]=Data!$A$103),1,""),"")</f>
        <v/>
      </c>
      <c r="N277" s="998" t="str">
        <f>IF(AND(Table2[[#This Row],[SIZE]]&lt;&gt;"", Table2[[#This Row],[SIZE]]=Data!$B$3),1,"")</f>
        <v/>
      </c>
      <c r="O277" s="998" t="str">
        <f>IF(AND(Table2[[#This Row],[TYPE]]&lt;&gt;"", Table2[[#This Row],[TYPE]]=Data!$B$4),1,"")</f>
        <v/>
      </c>
      <c r="P277" s="998" t="str">
        <f>IF(AND(Table2[[#This Row],[LV5 MAT NO.]]&lt;&gt;"", Table2[[#This Row],[LV5 MAT NO.]]=Data!$B$5),1,"")</f>
        <v/>
      </c>
      <c r="Q277" s="998" t="str">
        <f>IF(AND(Table2[[#This Row],[FROM]]&lt;&gt;"", Table2[[#This Row],[FROM]]=Data!$B$7),1,"")</f>
        <v/>
      </c>
      <c r="R277" s="998" t="str">
        <f>IF(AND(Table2[[#This Row],[LV3 or LV4 MAT NO.]]&lt;&gt;"", Table2[[#This Row],[LV3 or LV4 MAT NO.]]=Data!$B$8),1,"")</f>
        <v/>
      </c>
      <c r="S277" s="998"/>
      <c r="T277" s="998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35">
      <c r="I278" s="1000"/>
      <c r="L278" s="998" t="str">
        <f>IF(AND(Table2[[#This Row],[ORDER NO.]]&lt;&gt;"", Table2[[#This Row],[ORDER NO.]]=Data!$B$1),1,"")</f>
        <v/>
      </c>
      <c r="M278" s="998" t="str">
        <f>IFERROR(IF(AND(Table2[[#This Row],[SEREAL NO.]]&lt;&gt;"", Table2[[#This Row],[SEREAL NO.]]=Data!$A$103),1,""),"")</f>
        <v/>
      </c>
      <c r="N278" s="998" t="str">
        <f>IF(AND(Table2[[#This Row],[SIZE]]&lt;&gt;"", Table2[[#This Row],[SIZE]]=Data!$B$3),1,"")</f>
        <v/>
      </c>
      <c r="O278" s="998" t="str">
        <f>IF(AND(Table2[[#This Row],[TYPE]]&lt;&gt;"", Table2[[#This Row],[TYPE]]=Data!$B$4),1,"")</f>
        <v/>
      </c>
      <c r="P278" s="998" t="str">
        <f>IF(AND(Table2[[#This Row],[LV5 MAT NO.]]&lt;&gt;"", Table2[[#This Row],[LV5 MAT NO.]]=Data!$B$5),1,"")</f>
        <v/>
      </c>
      <c r="Q278" s="998" t="str">
        <f>IF(AND(Table2[[#This Row],[FROM]]&lt;&gt;"", Table2[[#This Row],[FROM]]=Data!$B$7),1,"")</f>
        <v/>
      </c>
      <c r="R278" s="998" t="str">
        <f>IF(AND(Table2[[#This Row],[LV3 or LV4 MAT NO.]]&lt;&gt;"", Table2[[#This Row],[LV3 or LV4 MAT NO.]]=Data!$B$8),1,"")</f>
        <v/>
      </c>
      <c r="S278" s="998"/>
      <c r="T278" s="998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35">
      <c r="I279" s="1000"/>
      <c r="L279" s="998" t="str">
        <f>IF(AND(Table2[[#This Row],[ORDER NO.]]&lt;&gt;"", Table2[[#This Row],[ORDER NO.]]=Data!$B$1),1,"")</f>
        <v/>
      </c>
      <c r="M279" s="998" t="str">
        <f>IFERROR(IF(AND(Table2[[#This Row],[SEREAL NO.]]&lt;&gt;"", Table2[[#This Row],[SEREAL NO.]]=Data!$A$103),1,""),"")</f>
        <v/>
      </c>
      <c r="N279" s="998" t="str">
        <f>IF(AND(Table2[[#This Row],[SIZE]]&lt;&gt;"", Table2[[#This Row],[SIZE]]=Data!$B$3),1,"")</f>
        <v/>
      </c>
      <c r="O279" s="998" t="str">
        <f>IF(AND(Table2[[#This Row],[TYPE]]&lt;&gt;"", Table2[[#This Row],[TYPE]]=Data!$B$4),1,"")</f>
        <v/>
      </c>
      <c r="P279" s="998" t="str">
        <f>IF(AND(Table2[[#This Row],[LV5 MAT NO.]]&lt;&gt;"", Table2[[#This Row],[LV5 MAT NO.]]=Data!$B$5),1,"")</f>
        <v/>
      </c>
      <c r="Q279" s="998" t="str">
        <f>IF(AND(Table2[[#This Row],[FROM]]&lt;&gt;"", Table2[[#This Row],[FROM]]=Data!$B$7),1,"")</f>
        <v/>
      </c>
      <c r="R279" s="998" t="str">
        <f>IF(AND(Table2[[#This Row],[LV3 or LV4 MAT NO.]]&lt;&gt;"", Table2[[#This Row],[LV3 or LV4 MAT NO.]]=Data!$B$8),1,"")</f>
        <v/>
      </c>
      <c r="S279" s="998"/>
      <c r="T279" s="998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35">
      <c r="I280" s="1000"/>
      <c r="L280" s="998" t="str">
        <f>IF(AND(Table2[[#This Row],[ORDER NO.]]&lt;&gt;"", Table2[[#This Row],[ORDER NO.]]=Data!$B$1),1,"")</f>
        <v/>
      </c>
      <c r="M280" s="998" t="str">
        <f>IFERROR(IF(AND(Table2[[#This Row],[SEREAL NO.]]&lt;&gt;"", Table2[[#This Row],[SEREAL NO.]]=Data!$A$103),1,""),"")</f>
        <v/>
      </c>
      <c r="N280" s="998" t="str">
        <f>IF(AND(Table2[[#This Row],[SIZE]]&lt;&gt;"", Table2[[#This Row],[SIZE]]=Data!$B$3),1,"")</f>
        <v/>
      </c>
      <c r="O280" s="998" t="str">
        <f>IF(AND(Table2[[#This Row],[TYPE]]&lt;&gt;"", Table2[[#This Row],[TYPE]]=Data!$B$4),1,"")</f>
        <v/>
      </c>
      <c r="P280" s="998" t="str">
        <f>IF(AND(Table2[[#This Row],[LV5 MAT NO.]]&lt;&gt;"", Table2[[#This Row],[LV5 MAT NO.]]=Data!$B$5),1,"")</f>
        <v/>
      </c>
      <c r="Q280" s="998" t="str">
        <f>IF(AND(Table2[[#This Row],[FROM]]&lt;&gt;"", Table2[[#This Row],[FROM]]=Data!$B$7),1,"")</f>
        <v/>
      </c>
      <c r="R280" s="998" t="str">
        <f>IF(AND(Table2[[#This Row],[LV3 or LV4 MAT NO.]]&lt;&gt;"", Table2[[#This Row],[LV3 or LV4 MAT NO.]]=Data!$B$8),1,"")</f>
        <v/>
      </c>
      <c r="S280" s="998"/>
      <c r="T280" s="998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35">
      <c r="I281" s="1000"/>
      <c r="L281" s="998" t="str">
        <f>IF(AND(Table2[[#This Row],[ORDER NO.]]&lt;&gt;"", Table2[[#This Row],[ORDER NO.]]=Data!$B$1),1,"")</f>
        <v/>
      </c>
      <c r="M281" s="998" t="str">
        <f>IFERROR(IF(AND(Table2[[#This Row],[SEREAL NO.]]&lt;&gt;"", Table2[[#This Row],[SEREAL NO.]]=Data!$A$103),1,""),"")</f>
        <v/>
      </c>
      <c r="N281" s="998" t="str">
        <f>IF(AND(Table2[[#This Row],[SIZE]]&lt;&gt;"", Table2[[#This Row],[SIZE]]=Data!$B$3),1,"")</f>
        <v/>
      </c>
      <c r="O281" s="998" t="str">
        <f>IF(AND(Table2[[#This Row],[TYPE]]&lt;&gt;"", Table2[[#This Row],[TYPE]]=Data!$B$4),1,"")</f>
        <v/>
      </c>
      <c r="P281" s="998" t="str">
        <f>IF(AND(Table2[[#This Row],[LV5 MAT NO.]]&lt;&gt;"", Table2[[#This Row],[LV5 MAT NO.]]=Data!$B$5),1,"")</f>
        <v/>
      </c>
      <c r="Q281" s="998" t="str">
        <f>IF(AND(Table2[[#This Row],[FROM]]&lt;&gt;"", Table2[[#This Row],[FROM]]=Data!$B$7),1,"")</f>
        <v/>
      </c>
      <c r="R281" s="998" t="str">
        <f>IF(AND(Table2[[#This Row],[LV3 or LV4 MAT NO.]]&lt;&gt;"", Table2[[#This Row],[LV3 or LV4 MAT NO.]]=Data!$B$8),1,"")</f>
        <v/>
      </c>
      <c r="S281" s="998"/>
      <c r="T281" s="998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35">
      <c r="I282" s="1000"/>
      <c r="L282" s="998" t="str">
        <f>IF(AND(Table2[[#This Row],[ORDER NO.]]&lt;&gt;"", Table2[[#This Row],[ORDER NO.]]=Data!$B$1),1,"")</f>
        <v/>
      </c>
      <c r="M282" s="998" t="str">
        <f>IFERROR(IF(AND(Table2[[#This Row],[SEREAL NO.]]&lt;&gt;"", Table2[[#This Row],[SEREAL NO.]]=Data!$A$103),1,""),"")</f>
        <v/>
      </c>
      <c r="N282" s="998" t="str">
        <f>IF(AND(Table2[[#This Row],[SIZE]]&lt;&gt;"", Table2[[#This Row],[SIZE]]=Data!$B$3),1,"")</f>
        <v/>
      </c>
      <c r="O282" s="998" t="str">
        <f>IF(AND(Table2[[#This Row],[TYPE]]&lt;&gt;"", Table2[[#This Row],[TYPE]]=Data!$B$4),1,"")</f>
        <v/>
      </c>
      <c r="P282" s="998" t="str">
        <f>IF(AND(Table2[[#This Row],[LV5 MAT NO.]]&lt;&gt;"", Table2[[#This Row],[LV5 MAT NO.]]=Data!$B$5),1,"")</f>
        <v/>
      </c>
      <c r="Q282" s="998" t="str">
        <f>IF(AND(Table2[[#This Row],[FROM]]&lt;&gt;"", Table2[[#This Row],[FROM]]=Data!$B$7),1,"")</f>
        <v/>
      </c>
      <c r="R282" s="998" t="str">
        <f>IF(AND(Table2[[#This Row],[LV3 or LV4 MAT NO.]]&lt;&gt;"", Table2[[#This Row],[LV3 or LV4 MAT NO.]]=Data!$B$8),1,"")</f>
        <v/>
      </c>
      <c r="S282" s="998"/>
      <c r="T282" s="998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35">
      <c r="I283" s="1000"/>
      <c r="L283" s="998" t="str">
        <f>IF(AND(Table2[[#This Row],[ORDER NO.]]&lt;&gt;"", Table2[[#This Row],[ORDER NO.]]=Data!$B$1),1,"")</f>
        <v/>
      </c>
      <c r="M283" s="998" t="str">
        <f>IFERROR(IF(AND(Table2[[#This Row],[SEREAL NO.]]&lt;&gt;"", Table2[[#This Row],[SEREAL NO.]]=Data!$A$103),1,""),"")</f>
        <v/>
      </c>
      <c r="N283" s="998" t="str">
        <f>IF(AND(Table2[[#This Row],[SIZE]]&lt;&gt;"", Table2[[#This Row],[SIZE]]=Data!$B$3),1,"")</f>
        <v/>
      </c>
      <c r="O283" s="998" t="str">
        <f>IF(AND(Table2[[#This Row],[TYPE]]&lt;&gt;"", Table2[[#This Row],[TYPE]]=Data!$B$4),1,"")</f>
        <v/>
      </c>
      <c r="P283" s="998" t="str">
        <f>IF(AND(Table2[[#This Row],[LV5 MAT NO.]]&lt;&gt;"", Table2[[#This Row],[LV5 MAT NO.]]=Data!$B$5),1,"")</f>
        <v/>
      </c>
      <c r="Q283" s="998" t="str">
        <f>IF(AND(Table2[[#This Row],[FROM]]&lt;&gt;"", Table2[[#This Row],[FROM]]=Data!$B$7),1,"")</f>
        <v/>
      </c>
      <c r="R283" s="998" t="str">
        <f>IF(AND(Table2[[#This Row],[LV3 or LV4 MAT NO.]]&lt;&gt;"", Table2[[#This Row],[LV3 or LV4 MAT NO.]]=Data!$B$8),1,"")</f>
        <v/>
      </c>
      <c r="S283" s="998"/>
      <c r="T283" s="998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35">
      <c r="I284" s="1000"/>
      <c r="L284" s="998" t="str">
        <f>IF(AND(Table2[[#This Row],[ORDER NO.]]&lt;&gt;"", Table2[[#This Row],[ORDER NO.]]=Data!$B$1),1,"")</f>
        <v/>
      </c>
      <c r="M284" s="998" t="str">
        <f>IFERROR(IF(AND(Table2[[#This Row],[SEREAL NO.]]&lt;&gt;"", Table2[[#This Row],[SEREAL NO.]]=Data!$A$103),1,""),"")</f>
        <v/>
      </c>
      <c r="N284" s="998" t="str">
        <f>IF(AND(Table2[[#This Row],[SIZE]]&lt;&gt;"", Table2[[#This Row],[SIZE]]=Data!$B$3),1,"")</f>
        <v/>
      </c>
      <c r="O284" s="998" t="str">
        <f>IF(AND(Table2[[#This Row],[TYPE]]&lt;&gt;"", Table2[[#This Row],[TYPE]]=Data!$B$4),1,"")</f>
        <v/>
      </c>
      <c r="P284" s="998" t="str">
        <f>IF(AND(Table2[[#This Row],[LV5 MAT NO.]]&lt;&gt;"", Table2[[#This Row],[LV5 MAT NO.]]=Data!$B$5),1,"")</f>
        <v/>
      </c>
      <c r="Q284" s="998" t="str">
        <f>IF(AND(Table2[[#This Row],[FROM]]&lt;&gt;"", Table2[[#This Row],[FROM]]=Data!$B$7),1,"")</f>
        <v/>
      </c>
      <c r="R284" s="998" t="str">
        <f>IF(AND(Table2[[#This Row],[LV3 or LV4 MAT NO.]]&lt;&gt;"", Table2[[#This Row],[LV3 or LV4 MAT NO.]]=Data!$B$8),1,"")</f>
        <v/>
      </c>
      <c r="S284" s="998"/>
      <c r="T284" s="998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35">
      <c r="I285" s="1000"/>
      <c r="L285" s="998" t="str">
        <f>IF(AND(Table2[[#This Row],[ORDER NO.]]&lt;&gt;"", Table2[[#This Row],[ORDER NO.]]=Data!$B$1),1,"")</f>
        <v/>
      </c>
      <c r="M285" s="998" t="str">
        <f>IFERROR(IF(AND(Table2[[#This Row],[SEREAL NO.]]&lt;&gt;"", Table2[[#This Row],[SEREAL NO.]]=Data!$A$103),1,""),"")</f>
        <v/>
      </c>
      <c r="N285" s="998" t="str">
        <f>IF(AND(Table2[[#This Row],[SIZE]]&lt;&gt;"", Table2[[#This Row],[SIZE]]=Data!$B$3),1,"")</f>
        <v/>
      </c>
      <c r="O285" s="998" t="str">
        <f>IF(AND(Table2[[#This Row],[TYPE]]&lt;&gt;"", Table2[[#This Row],[TYPE]]=Data!$B$4),1,"")</f>
        <v/>
      </c>
      <c r="P285" s="998" t="str">
        <f>IF(AND(Table2[[#This Row],[LV5 MAT NO.]]&lt;&gt;"", Table2[[#This Row],[LV5 MAT NO.]]=Data!$B$5),1,"")</f>
        <v/>
      </c>
      <c r="Q285" s="998" t="str">
        <f>IF(AND(Table2[[#This Row],[FROM]]&lt;&gt;"", Table2[[#This Row],[FROM]]=Data!$B$7),1,"")</f>
        <v/>
      </c>
      <c r="R285" s="998" t="str">
        <f>IF(AND(Table2[[#This Row],[LV3 or LV4 MAT NO.]]&lt;&gt;"", Table2[[#This Row],[LV3 or LV4 MAT NO.]]=Data!$B$8),1,"")</f>
        <v/>
      </c>
      <c r="S285" s="998"/>
      <c r="T285" s="998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35">
      <c r="I286" s="1000"/>
      <c r="L286" s="998" t="str">
        <f>IF(AND(Table2[[#This Row],[ORDER NO.]]&lt;&gt;"", Table2[[#This Row],[ORDER NO.]]=Data!$B$1),1,"")</f>
        <v/>
      </c>
      <c r="M286" s="998" t="str">
        <f>IFERROR(IF(AND(Table2[[#This Row],[SEREAL NO.]]&lt;&gt;"", Table2[[#This Row],[SEREAL NO.]]=Data!$A$103),1,""),"")</f>
        <v/>
      </c>
      <c r="N286" s="998" t="str">
        <f>IF(AND(Table2[[#This Row],[SIZE]]&lt;&gt;"", Table2[[#This Row],[SIZE]]=Data!$B$3),1,"")</f>
        <v/>
      </c>
      <c r="O286" s="998" t="str">
        <f>IF(AND(Table2[[#This Row],[TYPE]]&lt;&gt;"", Table2[[#This Row],[TYPE]]=Data!$B$4),1,"")</f>
        <v/>
      </c>
      <c r="P286" s="998" t="str">
        <f>IF(AND(Table2[[#This Row],[LV5 MAT NO.]]&lt;&gt;"", Table2[[#This Row],[LV5 MAT NO.]]=Data!$B$5),1,"")</f>
        <v/>
      </c>
      <c r="Q286" s="998" t="str">
        <f>IF(AND(Table2[[#This Row],[FROM]]&lt;&gt;"", Table2[[#This Row],[FROM]]=Data!$B$7),1,"")</f>
        <v/>
      </c>
      <c r="R286" s="998" t="str">
        <f>IF(AND(Table2[[#This Row],[LV3 or LV4 MAT NO.]]&lt;&gt;"", Table2[[#This Row],[LV3 or LV4 MAT NO.]]=Data!$B$8),1,"")</f>
        <v/>
      </c>
      <c r="S286" s="998"/>
      <c r="T286" s="998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35">
      <c r="I287" s="1000"/>
      <c r="L287" s="998" t="str">
        <f>IF(AND(Table2[[#This Row],[ORDER NO.]]&lt;&gt;"", Table2[[#This Row],[ORDER NO.]]=Data!$B$1),1,"")</f>
        <v/>
      </c>
      <c r="M287" s="998" t="str">
        <f>IFERROR(IF(AND(Table2[[#This Row],[SEREAL NO.]]&lt;&gt;"", Table2[[#This Row],[SEREAL NO.]]=Data!$A$103),1,""),"")</f>
        <v/>
      </c>
      <c r="N287" s="998" t="str">
        <f>IF(AND(Table2[[#This Row],[SIZE]]&lt;&gt;"", Table2[[#This Row],[SIZE]]=Data!$B$3),1,"")</f>
        <v/>
      </c>
      <c r="O287" s="998" t="str">
        <f>IF(AND(Table2[[#This Row],[TYPE]]&lt;&gt;"", Table2[[#This Row],[TYPE]]=Data!$B$4),1,"")</f>
        <v/>
      </c>
      <c r="P287" s="998" t="str">
        <f>IF(AND(Table2[[#This Row],[LV5 MAT NO.]]&lt;&gt;"", Table2[[#This Row],[LV5 MAT NO.]]=Data!$B$5),1,"")</f>
        <v/>
      </c>
      <c r="Q287" s="998" t="str">
        <f>IF(AND(Table2[[#This Row],[FROM]]&lt;&gt;"", Table2[[#This Row],[FROM]]=Data!$B$7),1,"")</f>
        <v/>
      </c>
      <c r="R287" s="998" t="str">
        <f>IF(AND(Table2[[#This Row],[LV3 or LV4 MAT NO.]]&lt;&gt;"", Table2[[#This Row],[LV3 or LV4 MAT NO.]]=Data!$B$8),1,"")</f>
        <v/>
      </c>
      <c r="S287" s="998"/>
      <c r="T287" s="998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35">
      <c r="I288" s="1000"/>
      <c r="L288" s="998" t="str">
        <f>IF(AND(Table2[[#This Row],[ORDER NO.]]&lt;&gt;"", Table2[[#This Row],[ORDER NO.]]=Data!$B$1),1,"")</f>
        <v/>
      </c>
      <c r="M288" s="998" t="str">
        <f>IFERROR(IF(AND(Table2[[#This Row],[SEREAL NO.]]&lt;&gt;"", Table2[[#This Row],[SEREAL NO.]]=Data!$A$103),1,""),"")</f>
        <v/>
      </c>
      <c r="N288" s="998" t="str">
        <f>IF(AND(Table2[[#This Row],[SIZE]]&lt;&gt;"", Table2[[#This Row],[SIZE]]=Data!$B$3),1,"")</f>
        <v/>
      </c>
      <c r="O288" s="998" t="str">
        <f>IF(AND(Table2[[#This Row],[TYPE]]&lt;&gt;"", Table2[[#This Row],[TYPE]]=Data!$B$4),1,"")</f>
        <v/>
      </c>
      <c r="P288" s="998" t="str">
        <f>IF(AND(Table2[[#This Row],[LV5 MAT NO.]]&lt;&gt;"", Table2[[#This Row],[LV5 MAT NO.]]=Data!$B$5),1,"")</f>
        <v/>
      </c>
      <c r="Q288" s="998" t="str">
        <f>IF(AND(Table2[[#This Row],[FROM]]&lt;&gt;"", Table2[[#This Row],[FROM]]=Data!$B$7),1,"")</f>
        <v/>
      </c>
      <c r="R288" s="998" t="str">
        <f>IF(AND(Table2[[#This Row],[LV3 or LV4 MAT NO.]]&lt;&gt;"", Table2[[#This Row],[LV3 or LV4 MAT NO.]]=Data!$B$8),1,"")</f>
        <v/>
      </c>
      <c r="S288" s="998"/>
      <c r="T288" s="998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35">
      <c r="I289" s="1000"/>
      <c r="L289" s="998" t="str">
        <f>IF(AND(Table2[[#This Row],[ORDER NO.]]&lt;&gt;"", Table2[[#This Row],[ORDER NO.]]=Data!$B$1),1,"")</f>
        <v/>
      </c>
      <c r="M289" s="998" t="str">
        <f>IFERROR(IF(AND(Table2[[#This Row],[SEREAL NO.]]&lt;&gt;"", Table2[[#This Row],[SEREAL NO.]]=Data!$A$103),1,""),"")</f>
        <v/>
      </c>
      <c r="N289" s="998" t="str">
        <f>IF(AND(Table2[[#This Row],[SIZE]]&lt;&gt;"", Table2[[#This Row],[SIZE]]=Data!$B$3),1,"")</f>
        <v/>
      </c>
      <c r="O289" s="998" t="str">
        <f>IF(AND(Table2[[#This Row],[TYPE]]&lt;&gt;"", Table2[[#This Row],[TYPE]]=Data!$B$4),1,"")</f>
        <v/>
      </c>
      <c r="P289" s="998" t="str">
        <f>IF(AND(Table2[[#This Row],[LV5 MAT NO.]]&lt;&gt;"", Table2[[#This Row],[LV5 MAT NO.]]=Data!$B$5),1,"")</f>
        <v/>
      </c>
      <c r="Q289" s="998" t="str">
        <f>IF(AND(Table2[[#This Row],[FROM]]&lt;&gt;"", Table2[[#This Row],[FROM]]=Data!$B$7),1,"")</f>
        <v/>
      </c>
      <c r="R289" s="998" t="str">
        <f>IF(AND(Table2[[#This Row],[LV3 or LV4 MAT NO.]]&lt;&gt;"", Table2[[#This Row],[LV3 or LV4 MAT NO.]]=Data!$B$8),1,"")</f>
        <v/>
      </c>
      <c r="S289" s="998"/>
      <c r="T289" s="998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35">
      <c r="I290" s="1000"/>
      <c r="L290" s="998" t="str">
        <f>IF(AND(Table2[[#This Row],[ORDER NO.]]&lt;&gt;"", Table2[[#This Row],[ORDER NO.]]=Data!$B$1),1,"")</f>
        <v/>
      </c>
      <c r="M290" s="998" t="str">
        <f>IFERROR(IF(AND(Table2[[#This Row],[SEREAL NO.]]&lt;&gt;"", Table2[[#This Row],[SEREAL NO.]]=Data!$A$103),1,""),"")</f>
        <v/>
      </c>
      <c r="N290" s="998" t="str">
        <f>IF(AND(Table2[[#This Row],[SIZE]]&lt;&gt;"", Table2[[#This Row],[SIZE]]=Data!$B$3),1,"")</f>
        <v/>
      </c>
      <c r="O290" s="998" t="str">
        <f>IF(AND(Table2[[#This Row],[TYPE]]&lt;&gt;"", Table2[[#This Row],[TYPE]]=Data!$B$4),1,"")</f>
        <v/>
      </c>
      <c r="P290" s="998" t="str">
        <f>IF(AND(Table2[[#This Row],[LV5 MAT NO.]]&lt;&gt;"", Table2[[#This Row],[LV5 MAT NO.]]=Data!$B$5),1,"")</f>
        <v/>
      </c>
      <c r="Q290" s="998" t="str">
        <f>IF(AND(Table2[[#This Row],[FROM]]&lt;&gt;"", Table2[[#This Row],[FROM]]=Data!$B$7),1,"")</f>
        <v/>
      </c>
      <c r="R290" s="998" t="str">
        <f>IF(AND(Table2[[#This Row],[LV3 or LV4 MAT NO.]]&lt;&gt;"", Table2[[#This Row],[LV3 or LV4 MAT NO.]]=Data!$B$8),1,"")</f>
        <v/>
      </c>
      <c r="S290" s="998"/>
      <c r="T290" s="998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35">
      <c r="I291" s="1000"/>
      <c r="L291" s="998" t="str">
        <f>IF(AND(Table2[[#This Row],[ORDER NO.]]&lt;&gt;"", Table2[[#This Row],[ORDER NO.]]=Data!$B$1),1,"")</f>
        <v/>
      </c>
      <c r="M291" s="998" t="str">
        <f>IFERROR(IF(AND(Table2[[#This Row],[SEREAL NO.]]&lt;&gt;"", Table2[[#This Row],[SEREAL NO.]]=Data!$A$103),1,""),"")</f>
        <v/>
      </c>
      <c r="N291" s="998" t="str">
        <f>IF(AND(Table2[[#This Row],[SIZE]]&lt;&gt;"", Table2[[#This Row],[SIZE]]=Data!$B$3),1,"")</f>
        <v/>
      </c>
      <c r="O291" s="998" t="str">
        <f>IF(AND(Table2[[#This Row],[TYPE]]&lt;&gt;"", Table2[[#This Row],[TYPE]]=Data!$B$4),1,"")</f>
        <v/>
      </c>
      <c r="P291" s="998" t="str">
        <f>IF(AND(Table2[[#This Row],[LV5 MAT NO.]]&lt;&gt;"", Table2[[#This Row],[LV5 MAT NO.]]=Data!$B$5),1,"")</f>
        <v/>
      </c>
      <c r="Q291" s="998" t="str">
        <f>IF(AND(Table2[[#This Row],[FROM]]&lt;&gt;"", Table2[[#This Row],[FROM]]=Data!$B$7),1,"")</f>
        <v/>
      </c>
      <c r="R291" s="998" t="str">
        <f>IF(AND(Table2[[#This Row],[LV3 or LV4 MAT NO.]]&lt;&gt;"", Table2[[#This Row],[LV3 or LV4 MAT NO.]]=Data!$B$8),1,"")</f>
        <v/>
      </c>
      <c r="S291" s="998"/>
      <c r="T291" s="998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35">
      <c r="I292" s="1000"/>
      <c r="L292" s="998" t="str">
        <f>IF(AND(Table2[[#This Row],[ORDER NO.]]&lt;&gt;"", Table2[[#This Row],[ORDER NO.]]=Data!$B$1),1,"")</f>
        <v/>
      </c>
      <c r="M292" s="998" t="str">
        <f>IFERROR(IF(AND(Table2[[#This Row],[SEREAL NO.]]&lt;&gt;"", Table2[[#This Row],[SEREAL NO.]]=Data!$A$103),1,""),"")</f>
        <v/>
      </c>
      <c r="N292" s="998" t="str">
        <f>IF(AND(Table2[[#This Row],[SIZE]]&lt;&gt;"", Table2[[#This Row],[SIZE]]=Data!$B$3),1,"")</f>
        <v/>
      </c>
      <c r="O292" s="998" t="str">
        <f>IF(AND(Table2[[#This Row],[TYPE]]&lt;&gt;"", Table2[[#This Row],[TYPE]]=Data!$B$4),1,"")</f>
        <v/>
      </c>
      <c r="P292" s="998" t="str">
        <f>IF(AND(Table2[[#This Row],[LV5 MAT NO.]]&lt;&gt;"", Table2[[#This Row],[LV5 MAT NO.]]=Data!$B$5),1,"")</f>
        <v/>
      </c>
      <c r="Q292" s="998" t="str">
        <f>IF(AND(Table2[[#This Row],[FROM]]&lt;&gt;"", Table2[[#This Row],[FROM]]=Data!$B$7),1,"")</f>
        <v/>
      </c>
      <c r="R292" s="998" t="str">
        <f>IF(AND(Table2[[#This Row],[LV3 or LV4 MAT NO.]]&lt;&gt;"", Table2[[#This Row],[LV3 or LV4 MAT NO.]]=Data!$B$8),1,"")</f>
        <v/>
      </c>
      <c r="S292" s="998"/>
      <c r="T292" s="998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35">
      <c r="I293" s="1000"/>
      <c r="L293" s="998" t="str">
        <f>IF(AND(Table2[[#This Row],[ORDER NO.]]&lt;&gt;"", Table2[[#This Row],[ORDER NO.]]=Data!$B$1),1,"")</f>
        <v/>
      </c>
      <c r="M293" s="998" t="str">
        <f>IFERROR(IF(AND(Table2[[#This Row],[SEREAL NO.]]&lt;&gt;"", Table2[[#This Row],[SEREAL NO.]]=Data!$A$103),1,""),"")</f>
        <v/>
      </c>
      <c r="N293" s="998" t="str">
        <f>IF(AND(Table2[[#This Row],[SIZE]]&lt;&gt;"", Table2[[#This Row],[SIZE]]=Data!$B$3),1,"")</f>
        <v/>
      </c>
      <c r="O293" s="998" t="str">
        <f>IF(AND(Table2[[#This Row],[TYPE]]&lt;&gt;"", Table2[[#This Row],[TYPE]]=Data!$B$4),1,"")</f>
        <v/>
      </c>
      <c r="P293" s="998" t="str">
        <f>IF(AND(Table2[[#This Row],[LV5 MAT NO.]]&lt;&gt;"", Table2[[#This Row],[LV5 MAT NO.]]=Data!$B$5),1,"")</f>
        <v/>
      </c>
      <c r="Q293" s="998" t="str">
        <f>IF(AND(Table2[[#This Row],[FROM]]&lt;&gt;"", Table2[[#This Row],[FROM]]=Data!$B$7),1,"")</f>
        <v/>
      </c>
      <c r="R293" s="998" t="str">
        <f>IF(AND(Table2[[#This Row],[LV3 or LV4 MAT NO.]]&lt;&gt;"", Table2[[#This Row],[LV3 or LV4 MAT NO.]]=Data!$B$8),1,"")</f>
        <v/>
      </c>
      <c r="S293" s="998"/>
      <c r="T293" s="998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35">
      <c r="I294" s="1000"/>
      <c r="L294" s="998" t="str">
        <f>IF(AND(Table2[[#This Row],[ORDER NO.]]&lt;&gt;"", Table2[[#This Row],[ORDER NO.]]=Data!$B$1),1,"")</f>
        <v/>
      </c>
      <c r="M294" s="998" t="str">
        <f>IFERROR(IF(AND(Table2[[#This Row],[SEREAL NO.]]&lt;&gt;"", Table2[[#This Row],[SEREAL NO.]]=Data!$A$103),1,""),"")</f>
        <v/>
      </c>
      <c r="N294" s="998" t="str">
        <f>IF(AND(Table2[[#This Row],[SIZE]]&lt;&gt;"", Table2[[#This Row],[SIZE]]=Data!$B$3),1,"")</f>
        <v/>
      </c>
      <c r="O294" s="998" t="str">
        <f>IF(AND(Table2[[#This Row],[TYPE]]&lt;&gt;"", Table2[[#This Row],[TYPE]]=Data!$B$4),1,"")</f>
        <v/>
      </c>
      <c r="P294" s="998" t="str">
        <f>IF(AND(Table2[[#This Row],[LV5 MAT NO.]]&lt;&gt;"", Table2[[#This Row],[LV5 MAT NO.]]=Data!$B$5),1,"")</f>
        <v/>
      </c>
      <c r="Q294" s="998" t="str">
        <f>IF(AND(Table2[[#This Row],[FROM]]&lt;&gt;"", Table2[[#This Row],[FROM]]=Data!$B$7),1,"")</f>
        <v/>
      </c>
      <c r="R294" s="998" t="str">
        <f>IF(AND(Table2[[#This Row],[LV3 or LV4 MAT NO.]]&lt;&gt;"", Table2[[#This Row],[LV3 or LV4 MAT NO.]]=Data!$B$8),1,"")</f>
        <v/>
      </c>
      <c r="S294" s="998"/>
      <c r="T294" s="998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35">
      <c r="I295" s="1000"/>
      <c r="L295" s="998" t="str">
        <f>IF(AND(Table2[[#This Row],[ORDER NO.]]&lt;&gt;"", Table2[[#This Row],[ORDER NO.]]=Data!$B$1),1,"")</f>
        <v/>
      </c>
      <c r="M295" s="998" t="str">
        <f>IFERROR(IF(AND(Table2[[#This Row],[SEREAL NO.]]&lt;&gt;"", Table2[[#This Row],[SEREAL NO.]]=Data!$A$103),1,""),"")</f>
        <v/>
      </c>
      <c r="N295" s="998" t="str">
        <f>IF(AND(Table2[[#This Row],[SIZE]]&lt;&gt;"", Table2[[#This Row],[SIZE]]=Data!$B$3),1,"")</f>
        <v/>
      </c>
      <c r="O295" s="998" t="str">
        <f>IF(AND(Table2[[#This Row],[TYPE]]&lt;&gt;"", Table2[[#This Row],[TYPE]]=Data!$B$4),1,"")</f>
        <v/>
      </c>
      <c r="P295" s="998" t="str">
        <f>IF(AND(Table2[[#This Row],[LV5 MAT NO.]]&lt;&gt;"", Table2[[#This Row],[LV5 MAT NO.]]=Data!$B$5),1,"")</f>
        <v/>
      </c>
      <c r="Q295" s="998" t="str">
        <f>IF(AND(Table2[[#This Row],[FROM]]&lt;&gt;"", Table2[[#This Row],[FROM]]=Data!$B$7),1,"")</f>
        <v/>
      </c>
      <c r="R295" s="998" t="str">
        <f>IF(AND(Table2[[#This Row],[LV3 or LV4 MAT NO.]]&lt;&gt;"", Table2[[#This Row],[LV3 or LV4 MAT NO.]]=Data!$B$8),1,"")</f>
        <v/>
      </c>
      <c r="S295" s="998"/>
      <c r="T295" s="998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35">
      <c r="I296" s="1000"/>
      <c r="L296" s="998" t="str">
        <f>IF(AND(Table2[[#This Row],[ORDER NO.]]&lt;&gt;"", Table2[[#This Row],[ORDER NO.]]=Data!$B$1),1,"")</f>
        <v/>
      </c>
      <c r="M296" s="998" t="str">
        <f>IFERROR(IF(AND(Table2[[#This Row],[SEREAL NO.]]&lt;&gt;"", Table2[[#This Row],[SEREAL NO.]]=Data!$A$103),1,""),"")</f>
        <v/>
      </c>
      <c r="N296" s="998" t="str">
        <f>IF(AND(Table2[[#This Row],[SIZE]]&lt;&gt;"", Table2[[#This Row],[SIZE]]=Data!$B$3),1,"")</f>
        <v/>
      </c>
      <c r="O296" s="998" t="str">
        <f>IF(AND(Table2[[#This Row],[TYPE]]&lt;&gt;"", Table2[[#This Row],[TYPE]]=Data!$B$4),1,"")</f>
        <v/>
      </c>
      <c r="P296" s="998" t="str">
        <f>IF(AND(Table2[[#This Row],[LV5 MAT NO.]]&lt;&gt;"", Table2[[#This Row],[LV5 MAT NO.]]=Data!$B$5),1,"")</f>
        <v/>
      </c>
      <c r="Q296" s="998" t="str">
        <f>IF(AND(Table2[[#This Row],[FROM]]&lt;&gt;"", Table2[[#This Row],[FROM]]=Data!$B$7),1,"")</f>
        <v/>
      </c>
      <c r="R296" s="998" t="str">
        <f>IF(AND(Table2[[#This Row],[LV3 or LV4 MAT NO.]]&lt;&gt;"", Table2[[#This Row],[LV3 or LV4 MAT NO.]]=Data!$B$8),1,"")</f>
        <v/>
      </c>
      <c r="S296" s="998"/>
      <c r="T296" s="998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35">
      <c r="I297" s="1000"/>
      <c r="L297" s="998" t="str">
        <f>IF(AND(Table2[[#This Row],[ORDER NO.]]&lt;&gt;"", Table2[[#This Row],[ORDER NO.]]=Data!$B$1),1,"")</f>
        <v/>
      </c>
      <c r="M297" s="998" t="str">
        <f>IFERROR(IF(AND(Table2[[#This Row],[SEREAL NO.]]&lt;&gt;"", Table2[[#This Row],[SEREAL NO.]]=Data!$A$103),1,""),"")</f>
        <v/>
      </c>
      <c r="N297" s="998" t="str">
        <f>IF(AND(Table2[[#This Row],[SIZE]]&lt;&gt;"", Table2[[#This Row],[SIZE]]=Data!$B$3),1,"")</f>
        <v/>
      </c>
      <c r="O297" s="998" t="str">
        <f>IF(AND(Table2[[#This Row],[TYPE]]&lt;&gt;"", Table2[[#This Row],[TYPE]]=Data!$B$4),1,"")</f>
        <v/>
      </c>
      <c r="P297" s="998" t="str">
        <f>IF(AND(Table2[[#This Row],[LV5 MAT NO.]]&lt;&gt;"", Table2[[#This Row],[LV5 MAT NO.]]=Data!$B$5),1,"")</f>
        <v/>
      </c>
      <c r="Q297" s="998" t="str">
        <f>IF(AND(Table2[[#This Row],[FROM]]&lt;&gt;"", Table2[[#This Row],[FROM]]=Data!$B$7),1,"")</f>
        <v/>
      </c>
      <c r="R297" s="998" t="str">
        <f>IF(AND(Table2[[#This Row],[LV3 or LV4 MAT NO.]]&lt;&gt;"", Table2[[#This Row],[LV3 or LV4 MAT NO.]]=Data!$B$8),1,"")</f>
        <v/>
      </c>
      <c r="S297" s="998"/>
      <c r="T297" s="998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35">
      <c r="I298" s="1000"/>
      <c r="L298" s="998" t="str">
        <f>IF(AND(Table2[[#This Row],[ORDER NO.]]&lt;&gt;"", Table2[[#This Row],[ORDER NO.]]=Data!$B$1),1,"")</f>
        <v/>
      </c>
      <c r="M298" s="998" t="str">
        <f>IFERROR(IF(AND(Table2[[#This Row],[SEREAL NO.]]&lt;&gt;"", Table2[[#This Row],[SEREAL NO.]]=Data!$A$103),1,""),"")</f>
        <v/>
      </c>
      <c r="N298" s="998" t="str">
        <f>IF(AND(Table2[[#This Row],[SIZE]]&lt;&gt;"", Table2[[#This Row],[SIZE]]=Data!$B$3),1,"")</f>
        <v/>
      </c>
      <c r="O298" s="998" t="str">
        <f>IF(AND(Table2[[#This Row],[TYPE]]&lt;&gt;"", Table2[[#This Row],[TYPE]]=Data!$B$4),1,"")</f>
        <v/>
      </c>
      <c r="P298" s="998" t="str">
        <f>IF(AND(Table2[[#This Row],[LV5 MAT NO.]]&lt;&gt;"", Table2[[#This Row],[LV5 MAT NO.]]=Data!$B$5),1,"")</f>
        <v/>
      </c>
      <c r="Q298" s="998" t="str">
        <f>IF(AND(Table2[[#This Row],[FROM]]&lt;&gt;"", Table2[[#This Row],[FROM]]=Data!$B$7),1,"")</f>
        <v/>
      </c>
      <c r="R298" s="998" t="str">
        <f>IF(AND(Table2[[#This Row],[LV3 or LV4 MAT NO.]]&lt;&gt;"", Table2[[#This Row],[LV3 or LV4 MAT NO.]]=Data!$B$8),1,"")</f>
        <v/>
      </c>
      <c r="S298" s="998"/>
      <c r="T298" s="998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35">
      <c r="I299" s="1000"/>
      <c r="L299" s="998" t="str">
        <f>IF(AND(Table2[[#This Row],[ORDER NO.]]&lt;&gt;"", Table2[[#This Row],[ORDER NO.]]=Data!$B$1),1,"")</f>
        <v/>
      </c>
      <c r="M299" s="998" t="str">
        <f>IFERROR(IF(AND(Table2[[#This Row],[SEREAL NO.]]&lt;&gt;"", Table2[[#This Row],[SEREAL NO.]]=Data!$A$103),1,""),"")</f>
        <v/>
      </c>
      <c r="N299" s="998" t="str">
        <f>IF(AND(Table2[[#This Row],[SIZE]]&lt;&gt;"", Table2[[#This Row],[SIZE]]=Data!$B$3),1,"")</f>
        <v/>
      </c>
      <c r="O299" s="998" t="str">
        <f>IF(AND(Table2[[#This Row],[TYPE]]&lt;&gt;"", Table2[[#This Row],[TYPE]]=Data!$B$4),1,"")</f>
        <v/>
      </c>
      <c r="P299" s="998" t="str">
        <f>IF(AND(Table2[[#This Row],[LV5 MAT NO.]]&lt;&gt;"", Table2[[#This Row],[LV5 MAT NO.]]=Data!$B$5),1,"")</f>
        <v/>
      </c>
      <c r="Q299" s="998" t="str">
        <f>IF(AND(Table2[[#This Row],[FROM]]&lt;&gt;"", Table2[[#This Row],[FROM]]=Data!$B$7),1,"")</f>
        <v/>
      </c>
      <c r="R299" s="998" t="str">
        <f>IF(AND(Table2[[#This Row],[LV3 or LV4 MAT NO.]]&lt;&gt;"", Table2[[#This Row],[LV3 or LV4 MAT NO.]]=Data!$B$8),1,"")</f>
        <v/>
      </c>
      <c r="S299" s="998"/>
      <c r="T299" s="998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35">
      <c r="I300" s="1000"/>
      <c r="L300" s="998" t="str">
        <f>IF(AND(Table2[[#This Row],[ORDER NO.]]&lt;&gt;"", Table2[[#This Row],[ORDER NO.]]=Data!$B$1),1,"")</f>
        <v/>
      </c>
      <c r="M300" s="998" t="str">
        <f>IFERROR(IF(AND(Table2[[#This Row],[SEREAL NO.]]&lt;&gt;"", Table2[[#This Row],[SEREAL NO.]]=Data!$A$103),1,""),"")</f>
        <v/>
      </c>
      <c r="N300" s="998" t="str">
        <f>IF(AND(Table2[[#This Row],[SIZE]]&lt;&gt;"", Table2[[#This Row],[SIZE]]=Data!$B$3),1,"")</f>
        <v/>
      </c>
      <c r="O300" s="998" t="str">
        <f>IF(AND(Table2[[#This Row],[TYPE]]&lt;&gt;"", Table2[[#This Row],[TYPE]]=Data!$B$4),1,"")</f>
        <v/>
      </c>
      <c r="P300" s="998" t="str">
        <f>IF(AND(Table2[[#This Row],[LV5 MAT NO.]]&lt;&gt;"", Table2[[#This Row],[LV5 MAT NO.]]=Data!$B$5),1,"")</f>
        <v/>
      </c>
      <c r="Q300" s="998" t="str">
        <f>IF(AND(Table2[[#This Row],[FROM]]&lt;&gt;"", Table2[[#This Row],[FROM]]=Data!$B$7),1,"")</f>
        <v/>
      </c>
      <c r="R300" s="998" t="str">
        <f>IF(AND(Table2[[#This Row],[LV3 or LV4 MAT NO.]]&lt;&gt;"", Table2[[#This Row],[LV3 or LV4 MAT NO.]]=Data!$B$8),1,"")</f>
        <v/>
      </c>
      <c r="S300" s="998"/>
      <c r="T300" s="998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35">
      <c r="I301" s="1000"/>
      <c r="L301" s="998" t="str">
        <f>IF(AND(Table2[[#This Row],[ORDER NO.]]&lt;&gt;"", Table2[[#This Row],[ORDER NO.]]=Data!$B$1),1,"")</f>
        <v/>
      </c>
      <c r="M301" s="998" t="str">
        <f>IFERROR(IF(AND(Table2[[#This Row],[SEREAL NO.]]&lt;&gt;"", Table2[[#This Row],[SEREAL NO.]]=Data!$A$103),1,""),"")</f>
        <v/>
      </c>
      <c r="N301" s="998" t="str">
        <f>IF(AND(Table2[[#This Row],[SIZE]]&lt;&gt;"", Table2[[#This Row],[SIZE]]=Data!$B$3),1,"")</f>
        <v/>
      </c>
      <c r="O301" s="998" t="str">
        <f>IF(AND(Table2[[#This Row],[TYPE]]&lt;&gt;"", Table2[[#This Row],[TYPE]]=Data!$B$4),1,"")</f>
        <v/>
      </c>
      <c r="P301" s="998" t="str">
        <f>IF(AND(Table2[[#This Row],[LV5 MAT NO.]]&lt;&gt;"", Table2[[#This Row],[LV5 MAT NO.]]=Data!$B$5),1,"")</f>
        <v/>
      </c>
      <c r="Q301" s="998" t="str">
        <f>IF(AND(Table2[[#This Row],[FROM]]&lt;&gt;"", Table2[[#This Row],[FROM]]=Data!$B$7),1,"")</f>
        <v/>
      </c>
      <c r="R301" s="998" t="str">
        <f>IF(AND(Table2[[#This Row],[LV3 or LV4 MAT NO.]]&lt;&gt;"", Table2[[#This Row],[LV3 or LV4 MAT NO.]]=Data!$B$8),1,"")</f>
        <v/>
      </c>
      <c r="S301" s="998"/>
      <c r="T301" s="998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35">
      <c r="I302" s="1000"/>
      <c r="L302" s="998" t="str">
        <f>IF(AND(Table2[[#This Row],[ORDER NO.]]&lt;&gt;"", Table2[[#This Row],[ORDER NO.]]=Data!$B$1),1,"")</f>
        <v/>
      </c>
      <c r="M302" s="998" t="str">
        <f>IFERROR(IF(AND(Table2[[#This Row],[SEREAL NO.]]&lt;&gt;"", Table2[[#This Row],[SEREAL NO.]]=Data!$A$103),1,""),"")</f>
        <v/>
      </c>
      <c r="N302" s="998" t="str">
        <f>IF(AND(Table2[[#This Row],[SIZE]]&lt;&gt;"", Table2[[#This Row],[SIZE]]=Data!$B$3),1,"")</f>
        <v/>
      </c>
      <c r="O302" s="998" t="str">
        <f>IF(AND(Table2[[#This Row],[TYPE]]&lt;&gt;"", Table2[[#This Row],[TYPE]]=Data!$B$4),1,"")</f>
        <v/>
      </c>
      <c r="P302" s="998" t="str">
        <f>IF(AND(Table2[[#This Row],[LV5 MAT NO.]]&lt;&gt;"", Table2[[#This Row],[LV5 MAT NO.]]=Data!$B$5),1,"")</f>
        <v/>
      </c>
      <c r="Q302" s="998" t="str">
        <f>IF(AND(Table2[[#This Row],[FROM]]&lt;&gt;"", Table2[[#This Row],[FROM]]=Data!$B$7),1,"")</f>
        <v/>
      </c>
      <c r="R302" s="998" t="str">
        <f>IF(AND(Table2[[#This Row],[LV3 or LV4 MAT NO.]]&lt;&gt;"", Table2[[#This Row],[LV3 or LV4 MAT NO.]]=Data!$B$8),1,"")</f>
        <v/>
      </c>
      <c r="S302" s="998"/>
      <c r="T302" s="998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35">
      <c r="I303" s="1000"/>
      <c r="L303" s="998" t="str">
        <f>IF(AND(Table2[[#This Row],[ORDER NO.]]&lt;&gt;"", Table2[[#This Row],[ORDER NO.]]=Data!$B$1),1,"")</f>
        <v/>
      </c>
      <c r="M303" s="998" t="str">
        <f>IFERROR(IF(AND(Table2[[#This Row],[SEREAL NO.]]&lt;&gt;"", Table2[[#This Row],[SEREAL NO.]]=Data!$A$103),1,""),"")</f>
        <v/>
      </c>
      <c r="N303" s="998" t="str">
        <f>IF(AND(Table2[[#This Row],[SIZE]]&lt;&gt;"", Table2[[#This Row],[SIZE]]=Data!$B$3),1,"")</f>
        <v/>
      </c>
      <c r="O303" s="998" t="str">
        <f>IF(AND(Table2[[#This Row],[TYPE]]&lt;&gt;"", Table2[[#This Row],[TYPE]]=Data!$B$4),1,"")</f>
        <v/>
      </c>
      <c r="P303" s="998" t="str">
        <f>IF(AND(Table2[[#This Row],[LV5 MAT NO.]]&lt;&gt;"", Table2[[#This Row],[LV5 MAT NO.]]=Data!$B$5),1,"")</f>
        <v/>
      </c>
      <c r="Q303" s="998" t="str">
        <f>IF(AND(Table2[[#This Row],[FROM]]&lt;&gt;"", Table2[[#This Row],[FROM]]=Data!$B$7),1,"")</f>
        <v/>
      </c>
      <c r="R303" s="998" t="str">
        <f>IF(AND(Table2[[#This Row],[LV3 or LV4 MAT NO.]]&lt;&gt;"", Table2[[#This Row],[LV3 or LV4 MAT NO.]]=Data!$B$8),1,"")</f>
        <v/>
      </c>
      <c r="S303" s="998"/>
      <c r="T303" s="998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35">
      <c r="I304" s="1000"/>
      <c r="L304" s="998" t="str">
        <f>IF(AND(Table2[[#This Row],[ORDER NO.]]&lt;&gt;"", Table2[[#This Row],[ORDER NO.]]=Data!$B$1),1,"")</f>
        <v/>
      </c>
      <c r="M304" s="998" t="str">
        <f>IFERROR(IF(AND(Table2[[#This Row],[SEREAL NO.]]&lt;&gt;"", Table2[[#This Row],[SEREAL NO.]]=Data!$A$103),1,""),"")</f>
        <v/>
      </c>
      <c r="N304" s="998" t="str">
        <f>IF(AND(Table2[[#This Row],[SIZE]]&lt;&gt;"", Table2[[#This Row],[SIZE]]=Data!$B$3),1,"")</f>
        <v/>
      </c>
      <c r="O304" s="998" t="str">
        <f>IF(AND(Table2[[#This Row],[TYPE]]&lt;&gt;"", Table2[[#This Row],[TYPE]]=Data!$B$4),1,"")</f>
        <v/>
      </c>
      <c r="P304" s="998" t="str">
        <f>IF(AND(Table2[[#This Row],[LV5 MAT NO.]]&lt;&gt;"", Table2[[#This Row],[LV5 MAT NO.]]=Data!$B$5),1,"")</f>
        <v/>
      </c>
      <c r="Q304" s="998" t="str">
        <f>IF(AND(Table2[[#This Row],[FROM]]&lt;&gt;"", Table2[[#This Row],[FROM]]=Data!$B$7),1,"")</f>
        <v/>
      </c>
      <c r="R304" s="998" t="str">
        <f>IF(AND(Table2[[#This Row],[LV3 or LV4 MAT NO.]]&lt;&gt;"", Table2[[#This Row],[LV3 or LV4 MAT NO.]]=Data!$B$8),1,"")</f>
        <v/>
      </c>
      <c r="S304" s="998"/>
      <c r="T304" s="998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35">
      <c r="I305" s="1000"/>
      <c r="L305" s="998" t="str">
        <f>IF(AND(Table2[[#This Row],[ORDER NO.]]&lt;&gt;"", Table2[[#This Row],[ORDER NO.]]=Data!$B$1),1,"")</f>
        <v/>
      </c>
      <c r="M305" s="998" t="str">
        <f>IFERROR(IF(AND(Table2[[#This Row],[SEREAL NO.]]&lt;&gt;"", Table2[[#This Row],[SEREAL NO.]]=Data!$A$103),1,""),"")</f>
        <v/>
      </c>
      <c r="N305" s="998" t="str">
        <f>IF(AND(Table2[[#This Row],[SIZE]]&lt;&gt;"", Table2[[#This Row],[SIZE]]=Data!$B$3),1,"")</f>
        <v/>
      </c>
      <c r="O305" s="998" t="str">
        <f>IF(AND(Table2[[#This Row],[TYPE]]&lt;&gt;"", Table2[[#This Row],[TYPE]]=Data!$B$4),1,"")</f>
        <v/>
      </c>
      <c r="P305" s="998" t="str">
        <f>IF(AND(Table2[[#This Row],[LV5 MAT NO.]]&lt;&gt;"", Table2[[#This Row],[LV5 MAT NO.]]=Data!$B$5),1,"")</f>
        <v/>
      </c>
      <c r="Q305" s="998" t="str">
        <f>IF(AND(Table2[[#This Row],[FROM]]&lt;&gt;"", Table2[[#This Row],[FROM]]=Data!$B$7),1,"")</f>
        <v/>
      </c>
      <c r="R305" s="998" t="str">
        <f>IF(AND(Table2[[#This Row],[LV3 or LV4 MAT NO.]]&lt;&gt;"", Table2[[#This Row],[LV3 or LV4 MAT NO.]]=Data!$B$8),1,"")</f>
        <v/>
      </c>
      <c r="S305" s="998"/>
      <c r="T305" s="998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35">
      <c r="I306" s="1000"/>
      <c r="L306" s="998" t="str">
        <f>IF(AND(Table2[[#This Row],[ORDER NO.]]&lt;&gt;"", Table2[[#This Row],[ORDER NO.]]=Data!$B$1),1,"")</f>
        <v/>
      </c>
      <c r="M306" s="998" t="str">
        <f>IFERROR(IF(AND(Table2[[#This Row],[SEREAL NO.]]&lt;&gt;"", Table2[[#This Row],[SEREAL NO.]]=Data!$A$103),1,""),"")</f>
        <v/>
      </c>
      <c r="N306" s="998" t="str">
        <f>IF(AND(Table2[[#This Row],[SIZE]]&lt;&gt;"", Table2[[#This Row],[SIZE]]=Data!$B$3),1,"")</f>
        <v/>
      </c>
      <c r="O306" s="998" t="str">
        <f>IF(AND(Table2[[#This Row],[TYPE]]&lt;&gt;"", Table2[[#This Row],[TYPE]]=Data!$B$4),1,"")</f>
        <v/>
      </c>
      <c r="P306" s="998" t="str">
        <f>IF(AND(Table2[[#This Row],[LV5 MAT NO.]]&lt;&gt;"", Table2[[#This Row],[LV5 MAT NO.]]=Data!$B$5),1,"")</f>
        <v/>
      </c>
      <c r="Q306" s="998" t="str">
        <f>IF(AND(Table2[[#This Row],[FROM]]&lt;&gt;"", Table2[[#This Row],[FROM]]=Data!$B$7),1,"")</f>
        <v/>
      </c>
      <c r="R306" s="998" t="str">
        <f>IF(AND(Table2[[#This Row],[LV3 or LV4 MAT NO.]]&lt;&gt;"", Table2[[#This Row],[LV3 or LV4 MAT NO.]]=Data!$B$8),1,"")</f>
        <v/>
      </c>
      <c r="S306" s="998"/>
      <c r="T306" s="998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35">
      <c r="I307" s="1000"/>
      <c r="L307" s="998" t="str">
        <f>IF(AND(Table2[[#This Row],[ORDER NO.]]&lt;&gt;"", Table2[[#This Row],[ORDER NO.]]=Data!$B$1),1,"")</f>
        <v/>
      </c>
      <c r="M307" s="998" t="str">
        <f>IFERROR(IF(AND(Table2[[#This Row],[SEREAL NO.]]&lt;&gt;"", Table2[[#This Row],[SEREAL NO.]]=Data!$A$103),1,""),"")</f>
        <v/>
      </c>
      <c r="N307" s="998" t="str">
        <f>IF(AND(Table2[[#This Row],[SIZE]]&lt;&gt;"", Table2[[#This Row],[SIZE]]=Data!$B$3),1,"")</f>
        <v/>
      </c>
      <c r="O307" s="998" t="str">
        <f>IF(AND(Table2[[#This Row],[TYPE]]&lt;&gt;"", Table2[[#This Row],[TYPE]]=Data!$B$4),1,"")</f>
        <v/>
      </c>
      <c r="P307" s="998" t="str">
        <f>IF(AND(Table2[[#This Row],[LV5 MAT NO.]]&lt;&gt;"", Table2[[#This Row],[LV5 MAT NO.]]=Data!$B$5),1,"")</f>
        <v/>
      </c>
      <c r="Q307" s="998" t="str">
        <f>IF(AND(Table2[[#This Row],[FROM]]&lt;&gt;"", Table2[[#This Row],[FROM]]=Data!$B$7),1,"")</f>
        <v/>
      </c>
      <c r="R307" s="998" t="str">
        <f>IF(AND(Table2[[#This Row],[LV3 or LV4 MAT NO.]]&lt;&gt;"", Table2[[#This Row],[LV3 or LV4 MAT NO.]]=Data!$B$8),1,"")</f>
        <v/>
      </c>
      <c r="S307" s="998"/>
      <c r="T307" s="998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35">
      <c r="I308" s="1000"/>
      <c r="L308" s="998" t="str">
        <f>IF(AND(Table2[[#This Row],[ORDER NO.]]&lt;&gt;"", Table2[[#This Row],[ORDER NO.]]=Data!$B$1),1,"")</f>
        <v/>
      </c>
      <c r="M308" s="998" t="str">
        <f>IFERROR(IF(AND(Table2[[#This Row],[SEREAL NO.]]&lt;&gt;"", Table2[[#This Row],[SEREAL NO.]]=Data!$A$103),1,""),"")</f>
        <v/>
      </c>
      <c r="N308" s="998" t="str">
        <f>IF(AND(Table2[[#This Row],[SIZE]]&lt;&gt;"", Table2[[#This Row],[SIZE]]=Data!$B$3),1,"")</f>
        <v/>
      </c>
      <c r="O308" s="998" t="str">
        <f>IF(AND(Table2[[#This Row],[TYPE]]&lt;&gt;"", Table2[[#This Row],[TYPE]]=Data!$B$4),1,"")</f>
        <v/>
      </c>
      <c r="P308" s="998" t="str">
        <f>IF(AND(Table2[[#This Row],[LV5 MAT NO.]]&lt;&gt;"", Table2[[#This Row],[LV5 MAT NO.]]=Data!$B$5),1,"")</f>
        <v/>
      </c>
      <c r="Q308" s="998" t="str">
        <f>IF(AND(Table2[[#This Row],[FROM]]&lt;&gt;"", Table2[[#This Row],[FROM]]=Data!$B$7),1,"")</f>
        <v/>
      </c>
      <c r="R308" s="998" t="str">
        <f>IF(AND(Table2[[#This Row],[LV3 or LV4 MAT NO.]]&lt;&gt;"", Table2[[#This Row],[LV3 or LV4 MAT NO.]]=Data!$B$8),1,"")</f>
        <v/>
      </c>
      <c r="S308" s="998"/>
      <c r="T308" s="998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35">
      <c r="I309" s="1000"/>
      <c r="L309" s="998" t="str">
        <f>IF(AND(Table2[[#This Row],[ORDER NO.]]&lt;&gt;"", Table2[[#This Row],[ORDER NO.]]=Data!$B$1),1,"")</f>
        <v/>
      </c>
      <c r="M309" s="998" t="str">
        <f>IFERROR(IF(AND(Table2[[#This Row],[SEREAL NO.]]&lt;&gt;"", Table2[[#This Row],[SEREAL NO.]]=Data!$A$103),1,""),"")</f>
        <v/>
      </c>
      <c r="N309" s="998" t="str">
        <f>IF(AND(Table2[[#This Row],[SIZE]]&lt;&gt;"", Table2[[#This Row],[SIZE]]=Data!$B$3),1,"")</f>
        <v/>
      </c>
      <c r="O309" s="998" t="str">
        <f>IF(AND(Table2[[#This Row],[TYPE]]&lt;&gt;"", Table2[[#This Row],[TYPE]]=Data!$B$4),1,"")</f>
        <v/>
      </c>
      <c r="P309" s="998" t="str">
        <f>IF(AND(Table2[[#This Row],[LV5 MAT NO.]]&lt;&gt;"", Table2[[#This Row],[LV5 MAT NO.]]=Data!$B$5),1,"")</f>
        <v/>
      </c>
      <c r="Q309" s="998" t="str">
        <f>IF(AND(Table2[[#This Row],[FROM]]&lt;&gt;"", Table2[[#This Row],[FROM]]=Data!$B$7),1,"")</f>
        <v/>
      </c>
      <c r="R309" s="998" t="str">
        <f>IF(AND(Table2[[#This Row],[LV3 or LV4 MAT NO.]]&lt;&gt;"", Table2[[#This Row],[LV3 or LV4 MAT NO.]]=Data!$B$8),1,"")</f>
        <v/>
      </c>
      <c r="S309" s="998"/>
      <c r="T309" s="998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35">
      <c r="I310" s="1000"/>
      <c r="L310" s="998" t="str">
        <f>IF(AND(Table2[[#This Row],[ORDER NO.]]&lt;&gt;"", Table2[[#This Row],[ORDER NO.]]=Data!$B$1),1,"")</f>
        <v/>
      </c>
      <c r="M310" s="998" t="str">
        <f>IFERROR(IF(AND(Table2[[#This Row],[SEREAL NO.]]&lt;&gt;"", Table2[[#This Row],[SEREAL NO.]]=Data!$A$103),1,""),"")</f>
        <v/>
      </c>
      <c r="N310" s="998" t="str">
        <f>IF(AND(Table2[[#This Row],[SIZE]]&lt;&gt;"", Table2[[#This Row],[SIZE]]=Data!$B$3),1,"")</f>
        <v/>
      </c>
      <c r="O310" s="998" t="str">
        <f>IF(AND(Table2[[#This Row],[TYPE]]&lt;&gt;"", Table2[[#This Row],[TYPE]]=Data!$B$4),1,"")</f>
        <v/>
      </c>
      <c r="P310" s="998" t="str">
        <f>IF(AND(Table2[[#This Row],[LV5 MAT NO.]]&lt;&gt;"", Table2[[#This Row],[LV5 MAT NO.]]=Data!$B$5),1,"")</f>
        <v/>
      </c>
      <c r="Q310" s="998" t="str">
        <f>IF(AND(Table2[[#This Row],[FROM]]&lt;&gt;"", Table2[[#This Row],[FROM]]=Data!$B$7),1,"")</f>
        <v/>
      </c>
      <c r="R310" s="998" t="str">
        <f>IF(AND(Table2[[#This Row],[LV3 or LV4 MAT NO.]]&lt;&gt;"", Table2[[#This Row],[LV3 or LV4 MAT NO.]]=Data!$B$8),1,"")</f>
        <v/>
      </c>
      <c r="S310" s="998"/>
      <c r="T310" s="998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35">
      <c r="I311" s="1000"/>
      <c r="L311" s="998" t="str">
        <f>IF(AND(Table2[[#This Row],[ORDER NO.]]&lt;&gt;"", Table2[[#This Row],[ORDER NO.]]=Data!$B$1),1,"")</f>
        <v/>
      </c>
      <c r="M311" s="998" t="str">
        <f>IFERROR(IF(AND(Table2[[#This Row],[SEREAL NO.]]&lt;&gt;"", Table2[[#This Row],[SEREAL NO.]]=Data!$A$103),1,""),"")</f>
        <v/>
      </c>
      <c r="N311" s="998" t="str">
        <f>IF(AND(Table2[[#This Row],[SIZE]]&lt;&gt;"", Table2[[#This Row],[SIZE]]=Data!$B$3),1,"")</f>
        <v/>
      </c>
      <c r="O311" s="998" t="str">
        <f>IF(AND(Table2[[#This Row],[TYPE]]&lt;&gt;"", Table2[[#This Row],[TYPE]]=Data!$B$4),1,"")</f>
        <v/>
      </c>
      <c r="P311" s="998" t="str">
        <f>IF(AND(Table2[[#This Row],[LV5 MAT NO.]]&lt;&gt;"", Table2[[#This Row],[LV5 MAT NO.]]=Data!$B$5),1,"")</f>
        <v/>
      </c>
      <c r="Q311" s="998" t="str">
        <f>IF(AND(Table2[[#This Row],[FROM]]&lt;&gt;"", Table2[[#This Row],[FROM]]=Data!$B$7),1,"")</f>
        <v/>
      </c>
      <c r="R311" s="998" t="str">
        <f>IF(AND(Table2[[#This Row],[LV3 or LV4 MAT NO.]]&lt;&gt;"", Table2[[#This Row],[LV3 or LV4 MAT NO.]]=Data!$B$8),1,"")</f>
        <v/>
      </c>
      <c r="S311" s="998"/>
      <c r="T311" s="998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35">
      <c r="I312" s="1000"/>
      <c r="L312" s="998" t="str">
        <f>IF(AND(Table2[[#This Row],[ORDER NO.]]&lt;&gt;"", Table2[[#This Row],[ORDER NO.]]=Data!$B$1),1,"")</f>
        <v/>
      </c>
      <c r="M312" s="998" t="str">
        <f>IFERROR(IF(AND(Table2[[#This Row],[SEREAL NO.]]&lt;&gt;"", Table2[[#This Row],[SEREAL NO.]]=Data!$A$103),1,""),"")</f>
        <v/>
      </c>
      <c r="N312" s="998" t="str">
        <f>IF(AND(Table2[[#This Row],[SIZE]]&lt;&gt;"", Table2[[#This Row],[SIZE]]=Data!$B$3),1,"")</f>
        <v/>
      </c>
      <c r="O312" s="998" t="str">
        <f>IF(AND(Table2[[#This Row],[TYPE]]&lt;&gt;"", Table2[[#This Row],[TYPE]]=Data!$B$4),1,"")</f>
        <v/>
      </c>
      <c r="P312" s="998" t="str">
        <f>IF(AND(Table2[[#This Row],[LV5 MAT NO.]]&lt;&gt;"", Table2[[#This Row],[LV5 MAT NO.]]=Data!$B$5),1,"")</f>
        <v/>
      </c>
      <c r="Q312" s="998" t="str">
        <f>IF(AND(Table2[[#This Row],[FROM]]&lt;&gt;"", Table2[[#This Row],[FROM]]=Data!$B$7),1,"")</f>
        <v/>
      </c>
      <c r="R312" s="998" t="str">
        <f>IF(AND(Table2[[#This Row],[LV3 or LV4 MAT NO.]]&lt;&gt;"", Table2[[#This Row],[LV3 or LV4 MAT NO.]]=Data!$B$8),1,"")</f>
        <v/>
      </c>
      <c r="S312" s="998"/>
      <c r="T312" s="998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35">
      <c r="I313" s="1000"/>
      <c r="L313" s="998" t="str">
        <f>IF(AND(Table2[[#This Row],[ORDER NO.]]&lt;&gt;"", Table2[[#This Row],[ORDER NO.]]=Data!$B$1),1,"")</f>
        <v/>
      </c>
      <c r="M313" s="998" t="str">
        <f>IFERROR(IF(AND(Table2[[#This Row],[SEREAL NO.]]&lt;&gt;"", Table2[[#This Row],[SEREAL NO.]]=Data!$A$103),1,""),"")</f>
        <v/>
      </c>
      <c r="N313" s="998" t="str">
        <f>IF(AND(Table2[[#This Row],[SIZE]]&lt;&gt;"", Table2[[#This Row],[SIZE]]=Data!$B$3),1,"")</f>
        <v/>
      </c>
      <c r="O313" s="998" t="str">
        <f>IF(AND(Table2[[#This Row],[TYPE]]&lt;&gt;"", Table2[[#This Row],[TYPE]]=Data!$B$4),1,"")</f>
        <v/>
      </c>
      <c r="P313" s="998" t="str">
        <f>IF(AND(Table2[[#This Row],[LV5 MAT NO.]]&lt;&gt;"", Table2[[#This Row],[LV5 MAT NO.]]=Data!$B$5),1,"")</f>
        <v/>
      </c>
      <c r="Q313" s="998" t="str">
        <f>IF(AND(Table2[[#This Row],[FROM]]&lt;&gt;"", Table2[[#This Row],[FROM]]=Data!$B$7),1,"")</f>
        <v/>
      </c>
      <c r="R313" s="998" t="str">
        <f>IF(AND(Table2[[#This Row],[LV3 or LV4 MAT NO.]]&lt;&gt;"", Table2[[#This Row],[LV3 or LV4 MAT NO.]]=Data!$B$8),1,"")</f>
        <v/>
      </c>
      <c r="S313" s="998"/>
      <c r="T313" s="998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35">
      <c r="I314" s="1000"/>
      <c r="L314" s="998" t="str">
        <f>IF(AND(Table2[[#This Row],[ORDER NO.]]&lt;&gt;"", Table2[[#This Row],[ORDER NO.]]=Data!$B$1),1,"")</f>
        <v/>
      </c>
      <c r="M314" s="998" t="str">
        <f>IFERROR(IF(AND(Table2[[#This Row],[SEREAL NO.]]&lt;&gt;"", Table2[[#This Row],[SEREAL NO.]]=Data!$A$103),1,""),"")</f>
        <v/>
      </c>
      <c r="N314" s="998" t="str">
        <f>IF(AND(Table2[[#This Row],[SIZE]]&lt;&gt;"", Table2[[#This Row],[SIZE]]=Data!$B$3),1,"")</f>
        <v/>
      </c>
      <c r="O314" s="998" t="str">
        <f>IF(AND(Table2[[#This Row],[TYPE]]&lt;&gt;"", Table2[[#This Row],[TYPE]]=Data!$B$4),1,"")</f>
        <v/>
      </c>
      <c r="P314" s="998" t="str">
        <f>IF(AND(Table2[[#This Row],[LV5 MAT NO.]]&lt;&gt;"", Table2[[#This Row],[LV5 MAT NO.]]=Data!$B$5),1,"")</f>
        <v/>
      </c>
      <c r="Q314" s="998" t="str">
        <f>IF(AND(Table2[[#This Row],[FROM]]&lt;&gt;"", Table2[[#This Row],[FROM]]=Data!$B$7),1,"")</f>
        <v/>
      </c>
      <c r="R314" s="998" t="str">
        <f>IF(AND(Table2[[#This Row],[LV3 or LV4 MAT NO.]]&lt;&gt;"", Table2[[#This Row],[LV3 or LV4 MAT NO.]]=Data!$B$8),1,"")</f>
        <v/>
      </c>
      <c r="S314" s="998"/>
      <c r="T314" s="998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35">
      <c r="I315" s="1000"/>
      <c r="L315" s="998" t="str">
        <f>IF(AND(Table2[[#This Row],[ORDER NO.]]&lt;&gt;"", Table2[[#This Row],[ORDER NO.]]=Data!$B$1),1,"")</f>
        <v/>
      </c>
      <c r="M315" s="998" t="str">
        <f>IFERROR(IF(AND(Table2[[#This Row],[SEREAL NO.]]&lt;&gt;"", Table2[[#This Row],[SEREAL NO.]]=Data!$A$103),1,""),"")</f>
        <v/>
      </c>
      <c r="N315" s="998" t="str">
        <f>IF(AND(Table2[[#This Row],[SIZE]]&lt;&gt;"", Table2[[#This Row],[SIZE]]=Data!$B$3),1,"")</f>
        <v/>
      </c>
      <c r="O315" s="998" t="str">
        <f>IF(AND(Table2[[#This Row],[TYPE]]&lt;&gt;"", Table2[[#This Row],[TYPE]]=Data!$B$4),1,"")</f>
        <v/>
      </c>
      <c r="P315" s="998" t="str">
        <f>IF(AND(Table2[[#This Row],[LV5 MAT NO.]]&lt;&gt;"", Table2[[#This Row],[LV5 MAT NO.]]=Data!$B$5),1,"")</f>
        <v/>
      </c>
      <c r="Q315" s="998" t="str">
        <f>IF(AND(Table2[[#This Row],[FROM]]&lt;&gt;"", Table2[[#This Row],[FROM]]=Data!$B$7),1,"")</f>
        <v/>
      </c>
      <c r="R315" s="998" t="str">
        <f>IF(AND(Table2[[#This Row],[LV3 or LV4 MAT NO.]]&lt;&gt;"", Table2[[#This Row],[LV3 or LV4 MAT NO.]]=Data!$B$8),1,"")</f>
        <v/>
      </c>
      <c r="S315" s="998"/>
      <c r="T315" s="998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35">
      <c r="I316" s="1000"/>
      <c r="L316" s="998" t="str">
        <f>IF(AND(Table2[[#This Row],[ORDER NO.]]&lt;&gt;"", Table2[[#This Row],[ORDER NO.]]=Data!$B$1),1,"")</f>
        <v/>
      </c>
      <c r="M316" s="998" t="str">
        <f>IFERROR(IF(AND(Table2[[#This Row],[SEREAL NO.]]&lt;&gt;"", Table2[[#This Row],[SEREAL NO.]]=Data!$A$103),1,""),"")</f>
        <v/>
      </c>
      <c r="N316" s="998" t="str">
        <f>IF(AND(Table2[[#This Row],[SIZE]]&lt;&gt;"", Table2[[#This Row],[SIZE]]=Data!$B$3),1,"")</f>
        <v/>
      </c>
      <c r="O316" s="998" t="str">
        <f>IF(AND(Table2[[#This Row],[TYPE]]&lt;&gt;"", Table2[[#This Row],[TYPE]]=Data!$B$4),1,"")</f>
        <v/>
      </c>
      <c r="P316" s="998" t="str">
        <f>IF(AND(Table2[[#This Row],[LV5 MAT NO.]]&lt;&gt;"", Table2[[#This Row],[LV5 MAT NO.]]=Data!$B$5),1,"")</f>
        <v/>
      </c>
      <c r="Q316" s="998" t="str">
        <f>IF(AND(Table2[[#This Row],[FROM]]&lt;&gt;"", Table2[[#This Row],[FROM]]=Data!$B$7),1,"")</f>
        <v/>
      </c>
      <c r="R316" s="998" t="str">
        <f>IF(AND(Table2[[#This Row],[LV3 or LV4 MAT NO.]]&lt;&gt;"", Table2[[#This Row],[LV3 or LV4 MAT NO.]]=Data!$B$8),1,"")</f>
        <v/>
      </c>
      <c r="S316" s="998"/>
      <c r="T316" s="998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35">
      <c r="I317" s="1000"/>
      <c r="L317" s="998" t="str">
        <f>IF(AND(Table2[[#This Row],[ORDER NO.]]&lt;&gt;"", Table2[[#This Row],[ORDER NO.]]=Data!$B$1),1,"")</f>
        <v/>
      </c>
      <c r="M317" s="998" t="str">
        <f>IFERROR(IF(AND(Table2[[#This Row],[SEREAL NO.]]&lt;&gt;"", Table2[[#This Row],[SEREAL NO.]]=Data!$A$103),1,""),"")</f>
        <v/>
      </c>
      <c r="N317" s="998" t="str">
        <f>IF(AND(Table2[[#This Row],[SIZE]]&lt;&gt;"", Table2[[#This Row],[SIZE]]=Data!$B$3),1,"")</f>
        <v/>
      </c>
      <c r="O317" s="998" t="str">
        <f>IF(AND(Table2[[#This Row],[TYPE]]&lt;&gt;"", Table2[[#This Row],[TYPE]]=Data!$B$4),1,"")</f>
        <v/>
      </c>
      <c r="P317" s="998" t="str">
        <f>IF(AND(Table2[[#This Row],[LV5 MAT NO.]]&lt;&gt;"", Table2[[#This Row],[LV5 MAT NO.]]=Data!$B$5),1,"")</f>
        <v/>
      </c>
      <c r="Q317" s="998" t="str">
        <f>IF(AND(Table2[[#This Row],[FROM]]&lt;&gt;"", Table2[[#This Row],[FROM]]=Data!$B$7),1,"")</f>
        <v/>
      </c>
      <c r="R317" s="998" t="str">
        <f>IF(AND(Table2[[#This Row],[LV3 or LV4 MAT NO.]]&lt;&gt;"", Table2[[#This Row],[LV3 or LV4 MAT NO.]]=Data!$B$8),1,"")</f>
        <v/>
      </c>
      <c r="S317" s="998"/>
      <c r="T317" s="998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35">
      <c r="I318" s="1000"/>
      <c r="L318" s="998" t="str">
        <f>IF(AND(Table2[[#This Row],[ORDER NO.]]&lt;&gt;"", Table2[[#This Row],[ORDER NO.]]=Data!$B$1),1,"")</f>
        <v/>
      </c>
      <c r="M318" s="998" t="str">
        <f>IFERROR(IF(AND(Table2[[#This Row],[SEREAL NO.]]&lt;&gt;"", Table2[[#This Row],[SEREAL NO.]]=Data!$A$103),1,""),"")</f>
        <v/>
      </c>
      <c r="N318" s="998" t="str">
        <f>IF(AND(Table2[[#This Row],[SIZE]]&lt;&gt;"", Table2[[#This Row],[SIZE]]=Data!$B$3),1,"")</f>
        <v/>
      </c>
      <c r="O318" s="998" t="str">
        <f>IF(AND(Table2[[#This Row],[TYPE]]&lt;&gt;"", Table2[[#This Row],[TYPE]]=Data!$B$4),1,"")</f>
        <v/>
      </c>
      <c r="P318" s="998" t="str">
        <f>IF(AND(Table2[[#This Row],[LV5 MAT NO.]]&lt;&gt;"", Table2[[#This Row],[LV5 MAT NO.]]=Data!$B$5),1,"")</f>
        <v/>
      </c>
      <c r="Q318" s="998" t="str">
        <f>IF(AND(Table2[[#This Row],[FROM]]&lt;&gt;"", Table2[[#This Row],[FROM]]=Data!$B$7),1,"")</f>
        <v/>
      </c>
      <c r="R318" s="998" t="str">
        <f>IF(AND(Table2[[#This Row],[LV3 or LV4 MAT NO.]]&lt;&gt;"", Table2[[#This Row],[LV3 or LV4 MAT NO.]]=Data!$B$8),1,"")</f>
        <v/>
      </c>
      <c r="S318" s="998"/>
      <c r="T318" s="998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35">
      <c r="I319" s="1000"/>
      <c r="L319" s="998" t="str">
        <f>IF(AND(Table2[[#This Row],[ORDER NO.]]&lt;&gt;"", Table2[[#This Row],[ORDER NO.]]=Data!$B$1),1,"")</f>
        <v/>
      </c>
      <c r="M319" s="998" t="str">
        <f>IFERROR(IF(AND(Table2[[#This Row],[SEREAL NO.]]&lt;&gt;"", Table2[[#This Row],[SEREAL NO.]]=Data!$A$103),1,""),"")</f>
        <v/>
      </c>
      <c r="N319" s="998" t="str">
        <f>IF(AND(Table2[[#This Row],[SIZE]]&lt;&gt;"", Table2[[#This Row],[SIZE]]=Data!$B$3),1,"")</f>
        <v/>
      </c>
      <c r="O319" s="998" t="str">
        <f>IF(AND(Table2[[#This Row],[TYPE]]&lt;&gt;"", Table2[[#This Row],[TYPE]]=Data!$B$4),1,"")</f>
        <v/>
      </c>
      <c r="P319" s="998" t="str">
        <f>IF(AND(Table2[[#This Row],[LV5 MAT NO.]]&lt;&gt;"", Table2[[#This Row],[LV5 MAT NO.]]=Data!$B$5),1,"")</f>
        <v/>
      </c>
      <c r="Q319" s="998" t="str">
        <f>IF(AND(Table2[[#This Row],[FROM]]&lt;&gt;"", Table2[[#This Row],[FROM]]=Data!$B$7),1,"")</f>
        <v/>
      </c>
      <c r="R319" s="998" t="str">
        <f>IF(AND(Table2[[#This Row],[LV3 or LV4 MAT NO.]]&lt;&gt;"", Table2[[#This Row],[LV3 or LV4 MAT NO.]]=Data!$B$8),1,"")</f>
        <v/>
      </c>
      <c r="S319" s="998"/>
      <c r="T319" s="998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35">
      <c r="I320" s="1000"/>
      <c r="L320" s="998" t="str">
        <f>IF(AND(Table2[[#This Row],[ORDER NO.]]&lt;&gt;"", Table2[[#This Row],[ORDER NO.]]=Data!$B$1),1,"")</f>
        <v/>
      </c>
      <c r="M320" s="998" t="str">
        <f>IFERROR(IF(AND(Table2[[#This Row],[SEREAL NO.]]&lt;&gt;"", Table2[[#This Row],[SEREAL NO.]]=Data!$A$103),1,""),"")</f>
        <v/>
      </c>
      <c r="N320" s="998" t="str">
        <f>IF(AND(Table2[[#This Row],[SIZE]]&lt;&gt;"", Table2[[#This Row],[SIZE]]=Data!$B$3),1,"")</f>
        <v/>
      </c>
      <c r="O320" s="998" t="str">
        <f>IF(AND(Table2[[#This Row],[TYPE]]&lt;&gt;"", Table2[[#This Row],[TYPE]]=Data!$B$4),1,"")</f>
        <v/>
      </c>
      <c r="P320" s="998" t="str">
        <f>IF(AND(Table2[[#This Row],[LV5 MAT NO.]]&lt;&gt;"", Table2[[#This Row],[LV5 MAT NO.]]=Data!$B$5),1,"")</f>
        <v/>
      </c>
      <c r="Q320" s="998" t="str">
        <f>IF(AND(Table2[[#This Row],[FROM]]&lt;&gt;"", Table2[[#This Row],[FROM]]=Data!$B$7),1,"")</f>
        <v/>
      </c>
      <c r="R320" s="998" t="str">
        <f>IF(AND(Table2[[#This Row],[LV3 or LV4 MAT NO.]]&lt;&gt;"", Table2[[#This Row],[LV3 or LV4 MAT NO.]]=Data!$B$8),1,"")</f>
        <v/>
      </c>
      <c r="S320" s="998"/>
      <c r="T320" s="998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79" priority="11"/>
  </conditionalFormatting>
  <conditionalFormatting sqref="B3">
    <cfRule type="duplicateValues" dxfId="378" priority="7"/>
    <cfRule type="duplicateValues" dxfId="377" priority="8"/>
    <cfRule type="duplicateValues" dxfId="376" priority="9"/>
    <cfRule type="duplicateValues" dxfId="375" priority="10"/>
  </conditionalFormatting>
  <conditionalFormatting sqref="G1:G1048576">
    <cfRule type="duplicateValues" dxfId="374" priority="1"/>
  </conditionalFormatting>
  <conditionalFormatting sqref="L3">
    <cfRule type="duplicateValues" dxfId="373" priority="6"/>
  </conditionalFormatting>
  <conditionalFormatting sqref="M3">
    <cfRule type="duplicateValues" dxfId="372" priority="2"/>
    <cfRule type="duplicateValues" dxfId="371" priority="3"/>
    <cfRule type="duplicateValues" dxfId="370" priority="4"/>
    <cfRule type="duplicateValues" dxfId="36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ColWidth="9.1796875" defaultRowHeight="13" x14ac:dyDescent="0.35"/>
  <cols>
    <col min="1" max="1" width="11.7265625" style="1028" customWidth="1"/>
    <col min="2" max="3" width="5.453125" style="1028" customWidth="1"/>
    <col min="4" max="5" width="9.453125" style="1028" customWidth="1"/>
    <col min="6" max="6" width="10.54296875" style="1028" customWidth="1"/>
    <col min="7" max="8" width="11" style="1028" customWidth="1"/>
    <col min="9" max="9" width="10.81640625" style="1028" customWidth="1"/>
    <col min="10" max="16384" width="9.1796875" style="1028"/>
  </cols>
  <sheetData>
    <row r="1" spans="1:15" ht="15.75" customHeight="1" x14ac:dyDescent="0.35">
      <c r="A1" s="1711" t="s">
        <v>2444</v>
      </c>
      <c r="B1" s="1712"/>
      <c r="C1" s="1712"/>
      <c r="D1" s="1712"/>
      <c r="E1" s="1712"/>
      <c r="F1" s="1712"/>
      <c r="G1" s="1715" t="s">
        <v>2445</v>
      </c>
      <c r="H1" s="1715"/>
      <c r="I1" s="1716"/>
    </row>
    <row r="2" spans="1:15" ht="15.75" customHeight="1" x14ac:dyDescent="0.35">
      <c r="A2" s="1713"/>
      <c r="B2" s="1714"/>
      <c r="C2" s="1714"/>
      <c r="D2" s="1714"/>
      <c r="E2" s="1714"/>
      <c r="F2" s="1714"/>
      <c r="G2" s="1717" t="s">
        <v>2446</v>
      </c>
      <c r="H2" s="1718"/>
      <c r="I2" s="1719"/>
    </row>
    <row r="3" spans="1:15" ht="15.75" customHeight="1" x14ac:dyDescent="0.35">
      <c r="A3" s="1720" t="s">
        <v>2447</v>
      </c>
      <c r="B3" s="1721"/>
      <c r="C3" s="1721"/>
      <c r="D3" s="1721"/>
      <c r="E3" s="1721"/>
      <c r="F3" s="1721"/>
      <c r="G3" s="1724" t="s">
        <v>2448</v>
      </c>
      <c r="H3" s="1724"/>
      <c r="I3" s="1725"/>
    </row>
    <row r="4" spans="1:15" ht="15.75" customHeight="1" thickBot="1" x14ac:dyDescent="0.4">
      <c r="A4" s="1722"/>
      <c r="B4" s="1723"/>
      <c r="C4" s="1723"/>
      <c r="D4" s="1723"/>
      <c r="E4" s="1723"/>
      <c r="F4" s="1723"/>
      <c r="G4" s="1726" t="s">
        <v>2449</v>
      </c>
      <c r="H4" s="1726"/>
      <c r="I4" s="1727"/>
    </row>
    <row r="5" spans="1:15" ht="5.25" customHeight="1" thickBot="1" x14ac:dyDescent="0.35">
      <c r="A5" s="1728"/>
      <c r="B5" s="1728"/>
      <c r="C5" s="1728"/>
      <c r="D5" s="1728"/>
      <c r="E5" s="1728"/>
      <c r="F5" s="1728"/>
      <c r="G5" s="1728"/>
      <c r="H5" s="1728"/>
      <c r="I5" s="1728"/>
    </row>
    <row r="6" spans="1:15" ht="18" customHeight="1" thickBot="1" x14ac:dyDescent="0.4">
      <c r="A6" s="1067" t="s">
        <v>2450</v>
      </c>
      <c r="B6" s="1729" t="s">
        <v>2451</v>
      </c>
      <c r="C6" s="1730"/>
      <c r="D6" s="1730"/>
      <c r="E6" s="1731"/>
      <c r="F6" s="1067" t="s">
        <v>2452</v>
      </c>
      <c r="G6" s="1729" t="s">
        <v>2453</v>
      </c>
      <c r="H6" s="1730"/>
      <c r="I6" s="1731"/>
    </row>
    <row r="7" spans="1:15" ht="5.25" customHeight="1" thickBot="1" x14ac:dyDescent="0.35">
      <c r="A7" s="1728"/>
      <c r="B7" s="1728"/>
      <c r="C7" s="1728"/>
      <c r="D7" s="1728"/>
      <c r="E7" s="1728"/>
      <c r="F7" s="1728"/>
      <c r="G7" s="1728"/>
      <c r="H7" s="1728"/>
      <c r="I7" s="1728"/>
    </row>
    <row r="8" spans="1:15" ht="16.5" customHeight="1" x14ac:dyDescent="0.3">
      <c r="A8" s="1732" t="s">
        <v>2454</v>
      </c>
      <c r="B8" s="1733"/>
      <c r="C8" s="1733"/>
      <c r="D8" s="1733"/>
      <c r="E8" s="1733"/>
      <c r="F8" s="1733"/>
      <c r="G8" s="1733"/>
      <c r="H8" s="1733"/>
      <c r="I8" s="1734"/>
    </row>
    <row r="9" spans="1:15" ht="16.5" customHeight="1" thickBot="1" x14ac:dyDescent="0.4">
      <c r="A9" s="1068" t="s">
        <v>1478</v>
      </c>
      <c r="B9" s="1093"/>
      <c r="C9" s="1081" t="b">
        <v>0</v>
      </c>
      <c r="D9" s="1082"/>
      <c r="E9" s="1710" t="s">
        <v>2455</v>
      </c>
      <c r="F9" s="1710"/>
      <c r="G9" s="1080" t="b">
        <v>0</v>
      </c>
      <c r="H9" s="1069" t="s">
        <v>1480</v>
      </c>
      <c r="I9" s="1079" t="b">
        <v>0</v>
      </c>
    </row>
    <row r="10" spans="1:15" ht="5.25" customHeight="1" thickBot="1" x14ac:dyDescent="0.35">
      <c r="A10" s="1728"/>
      <c r="B10" s="1728"/>
      <c r="C10" s="1728"/>
      <c r="D10" s="1728"/>
      <c r="E10" s="1728"/>
      <c r="F10" s="1728"/>
      <c r="G10" s="1728"/>
      <c r="H10" s="1728"/>
      <c r="I10" s="1728"/>
    </row>
    <row r="11" spans="1:15" ht="17.25" customHeight="1" x14ac:dyDescent="0.35">
      <c r="A11" s="1070" t="s">
        <v>2456</v>
      </c>
      <c r="B11" s="1737" t="str">
        <f>IF(Data!B1&lt;&gt;"", Data!B1, " ")</f>
        <v>2025-AR-109</v>
      </c>
      <c r="C11" s="1737"/>
      <c r="D11" s="1737"/>
      <c r="E11" s="1737"/>
      <c r="F11" s="1071" t="s">
        <v>2457</v>
      </c>
      <c r="G11" s="1737">
        <f>IF(Data!B2&lt;&gt;"", Data!B2, " ")</f>
        <v>13845937</v>
      </c>
      <c r="H11" s="1737"/>
      <c r="I11" s="1738"/>
    </row>
    <row r="12" spans="1:15" ht="17.25" customHeight="1" thickBot="1" x14ac:dyDescent="0.4">
      <c r="A12" s="1072" t="s">
        <v>2458</v>
      </c>
      <c r="B12" s="1739" t="str">
        <f>IF(LEN(Data!B3)&gt;3,IF(AND(Data!B43&lt;&gt;"",Data!B43&lt;&gt;"0 0/1"""),Data!B43,""),IF(Data!B3&lt;&gt;"",Data!B3&amp;"""",""))</f>
        <v>8 3/8"</v>
      </c>
      <c r="C12" s="1739"/>
      <c r="D12" s="1739"/>
      <c r="E12" s="1739"/>
      <c r="F12" s="1073" t="s">
        <v>2459</v>
      </c>
      <c r="G12" s="1739" t="str">
        <f>IF(Data!B4&lt;&gt;"",Data!B4," ")</f>
        <v>MM65DH-1</v>
      </c>
      <c r="H12" s="1739"/>
      <c r="I12" s="1740"/>
    </row>
    <row r="13" spans="1:15" ht="5.25" customHeight="1" thickBot="1" x14ac:dyDescent="0.35">
      <c r="A13" s="1728"/>
      <c r="B13" s="1728"/>
      <c r="C13" s="1728"/>
      <c r="D13" s="1728"/>
      <c r="E13" s="1728"/>
      <c r="F13" s="1728"/>
      <c r="G13" s="1728"/>
      <c r="H13" s="1728"/>
      <c r="I13" s="1728"/>
    </row>
    <row r="14" spans="1:15" ht="17.25" customHeight="1" thickBot="1" x14ac:dyDescent="0.4">
      <c r="A14" s="1741" t="s">
        <v>109</v>
      </c>
      <c r="B14" s="1742"/>
      <c r="C14" s="1742"/>
      <c r="D14" s="1742"/>
      <c r="E14" s="1742"/>
      <c r="F14" s="1742"/>
      <c r="G14" s="1742"/>
      <c r="H14" s="1742"/>
      <c r="I14" s="1743"/>
    </row>
    <row r="15" spans="1:15" ht="17.25" customHeight="1" thickBot="1" x14ac:dyDescent="0.4">
      <c r="A15" s="1085" t="s">
        <v>108</v>
      </c>
      <c r="B15" s="1748" t="s">
        <v>6</v>
      </c>
      <c r="C15" s="1749"/>
      <c r="D15" s="1074" t="s">
        <v>7</v>
      </c>
      <c r="E15" s="1074" t="s">
        <v>2460</v>
      </c>
      <c r="F15" s="1074" t="s">
        <v>40</v>
      </c>
      <c r="G15" s="1074" t="s">
        <v>1835</v>
      </c>
      <c r="H15" s="1744" t="s">
        <v>765</v>
      </c>
      <c r="I15" s="1745"/>
    </row>
    <row r="16" spans="1:15" ht="15" customHeight="1" x14ac:dyDescent="0.35">
      <c r="A16" s="1094">
        <f>IF(TRIM(E16)="","",IF(Data!CX60&gt;0,IF(Data!CX60&lt;&gt;"", Data!CX60, " ")," "))</f>
        <v>1</v>
      </c>
      <c r="B16" s="1750">
        <f>IF(Data!GK2&gt;0,IF(Data!GK2&lt;&gt;"",Data!GK2," ")," ")</f>
        <v>1613</v>
      </c>
      <c r="C16" s="1751"/>
      <c r="D16" s="10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E16" s="1076">
        <f>IF(Data!GG2&gt;0,IF(Data!GG2&lt;&gt;"",IF(Data!GG2&lt;&gt;"Add the cutter in list",Data!GG2," ")," "),"")</f>
        <v>1130198</v>
      </c>
      <c r="F16" s="1100"/>
      <c r="G16" s="1083"/>
      <c r="H16" s="1746"/>
      <c r="I16" s="1747"/>
      <c r="O16" s="1090" t="s">
        <v>2475</v>
      </c>
    </row>
    <row r="17" spans="1:15" ht="15" customHeight="1" x14ac:dyDescent="0.35">
      <c r="A17" s="1094">
        <f>IF(TRIM(E17)="","",IF(Data!CX61&gt;0,IF(Data!CX61&lt;&gt;"", Data!CX61, " ")," "))</f>
        <v>2</v>
      </c>
      <c r="B17" s="1752">
        <f>IF(Data!GK3&gt;0,IF(Data!GK3&lt;&gt;"",Data!GK3," ")," ")</f>
        <v>1608</v>
      </c>
      <c r="C17" s="1753"/>
      <c r="D17" s="109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E17" s="1075">
        <f>IF(Data!GG3&gt;0,IF(Data!GG3&lt;&gt;"",IF(Data!GG3&lt;&gt;"Add the cutter in list",Data!GG3," ")," "),"")</f>
        <v>647435</v>
      </c>
      <c r="F17" s="1101"/>
      <c r="G17" s="1083"/>
      <c r="H17" s="1735"/>
      <c r="I17" s="1736"/>
      <c r="O17" s="1086" t="s">
        <v>2478</v>
      </c>
    </row>
    <row r="18" spans="1:15" ht="15" customHeight="1" x14ac:dyDescent="0.35">
      <c r="A18" s="1094">
        <f>IF(TRIM(E18)="","",IF(Data!CX62&gt;0,IF(Data!CX62&lt;&gt;"", Data!CX62, " ")," "))</f>
        <v>3</v>
      </c>
      <c r="B18" s="1752">
        <f>IF(Data!GK4&gt;0,IF(Data!GK4&lt;&gt;"",Data!GK4," ")," ")</f>
        <v>1308</v>
      </c>
      <c r="C18" s="1753"/>
      <c r="D18" s="109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E18" s="1075">
        <f>IF(Data!GG4&gt;0,IF(Data!GG4&lt;&gt;"",IF(Data!GG4&lt;&gt;"Add the cutter in list",Data!GG4," ")," "),"")</f>
        <v>418525</v>
      </c>
      <c r="F18" s="1101"/>
      <c r="G18" s="1083"/>
      <c r="H18" s="1735"/>
      <c r="I18" s="1736"/>
      <c r="O18" s="1087" t="s">
        <v>2479</v>
      </c>
    </row>
    <row r="19" spans="1:15" ht="15" customHeight="1" x14ac:dyDescent="0.35">
      <c r="A19" s="1094" t="str">
        <f>IF(TRIM(E19)="","",IF(Data!CX63&gt;0,IF(Data!CX63&lt;&gt;"", Data!CX63, " ")," "))</f>
        <v/>
      </c>
      <c r="B19" s="1752" t="str">
        <f>IF(Data!GK5&gt;0,IF(Data!GK5&lt;&gt;"",Data!GK5," ")," ")</f>
        <v xml:space="preserve"> </v>
      </c>
      <c r="C19" s="1753"/>
      <c r="D19" s="109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E19" s="1075" t="str">
        <f>IF(Data!GG5&gt;0,IF(Data!GG5&lt;&gt;"",IF(Data!GG5&lt;&gt;"Add the cutter in list",Data!GG5," ")," "),"")</f>
        <v xml:space="preserve"> </v>
      </c>
      <c r="F19" s="1101"/>
      <c r="G19" s="1083"/>
      <c r="H19" s="1735"/>
      <c r="I19" s="1736"/>
      <c r="O19" s="1088" t="s">
        <v>2480</v>
      </c>
    </row>
    <row r="20" spans="1:15" ht="15" customHeight="1" x14ac:dyDescent="0.35">
      <c r="A20" s="1094" t="str">
        <f>IF(TRIM(E20)="","",IF(Data!CX64&gt;0,IF(Data!CX64&lt;&gt;"", Data!CX64, " ")," "))</f>
        <v/>
      </c>
      <c r="B20" s="1752" t="str">
        <f>IF(Data!GK6&gt;0,IF(Data!GK6&lt;&gt;"",Data!GK6," ")," ")</f>
        <v xml:space="preserve"> </v>
      </c>
      <c r="C20" s="1753"/>
      <c r="D20" s="109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E20" s="1075" t="str">
        <f>IF(Data!GG6&gt;0,IF(Data!GG6&lt;&gt;"",IF(Data!GG6&lt;&gt;"Add the cutter in list",Data!GG6," ")," "),"")</f>
        <v xml:space="preserve"> </v>
      </c>
      <c r="F20" s="1101"/>
      <c r="G20" s="1083"/>
      <c r="H20" s="1735"/>
      <c r="I20" s="1736"/>
      <c r="O20" s="1087" t="s">
        <v>2481</v>
      </c>
    </row>
    <row r="21" spans="1:15" ht="15" customHeight="1" x14ac:dyDescent="0.35">
      <c r="A21" s="1094" t="str">
        <f>IF(TRIM(E21)="","",IF(Data!CX65&gt;0,IF(Data!CX65&lt;&gt;"", Data!CX65, " ")," "))</f>
        <v/>
      </c>
      <c r="B21" s="1752" t="str">
        <f>IF(Data!GK7&gt;0,IF(Data!GK7&lt;&gt;"",Data!GK7," ")," ")</f>
        <v xml:space="preserve"> </v>
      </c>
      <c r="C21" s="1753"/>
      <c r="D21" s="109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5" t="str">
        <f>IF(Data!GG7&gt;0,IF(Data!GG7&lt;&gt;"",IF(Data!GG7&lt;&gt;"Add the cutter in list",Data!GG7," ")," "),"")</f>
        <v xml:space="preserve"> </v>
      </c>
      <c r="F21" s="1101"/>
      <c r="G21" s="1083"/>
      <c r="H21" s="1735"/>
      <c r="I21" s="1736"/>
      <c r="O21" s="1089" t="s">
        <v>2476</v>
      </c>
    </row>
    <row r="22" spans="1:15" ht="15" customHeight="1" x14ac:dyDescent="0.35">
      <c r="A22" s="1094" t="str">
        <f>IF(TRIM(E22)="","",IF(Data!CX66&gt;0,IF(Data!CX66&lt;&gt;"", Data!CX66, " ")," "))</f>
        <v/>
      </c>
      <c r="B22" s="1752" t="str">
        <f>IF(Data!GK8&gt;0,IF(Data!GK8&lt;&gt;"",Data!GK8," ")," ")</f>
        <v xml:space="preserve"> </v>
      </c>
      <c r="C22" s="1753"/>
      <c r="D22" s="109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5" t="str">
        <f>IF(Data!GG8&gt;0,IF(Data!GG8&lt;&gt;"",IF(Data!GG8&lt;&gt;"Add the cutter in list",Data!GG8," ")," "),"")</f>
        <v xml:space="preserve"> </v>
      </c>
      <c r="F22" s="1101"/>
      <c r="G22" s="1083"/>
      <c r="H22" s="1735"/>
      <c r="I22" s="1736"/>
      <c r="O22" s="36" t="s">
        <v>2477</v>
      </c>
    </row>
    <row r="23" spans="1:15" ht="15" customHeight="1" x14ac:dyDescent="0.35">
      <c r="A23" s="1094" t="str">
        <f>IF(TRIM(E23)="","",IF(Data!CX67&gt;0,IF(Data!CX67&lt;&gt;"", Data!CX67, " ")," "))</f>
        <v/>
      </c>
      <c r="B23" s="1752" t="str">
        <f>IF(Data!GK9&gt;0,IF(Data!GK9&lt;&gt;"",Data!GK9," ")," ")</f>
        <v xml:space="preserve"> </v>
      </c>
      <c r="C23" s="1753"/>
      <c r="D23" s="109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5" t="str">
        <f>IF(Data!GG9&gt;0,IF(Data!GG9&lt;&gt;"",IF(Data!GG9&lt;&gt;"Add the cutter in list",Data!GG9," ")," "),"")</f>
        <v xml:space="preserve"> </v>
      </c>
      <c r="F23" s="1101"/>
      <c r="G23" s="1083"/>
      <c r="H23" s="1735"/>
      <c r="I23" s="1736"/>
    </row>
    <row r="24" spans="1:15" ht="15" customHeight="1" x14ac:dyDescent="0.35">
      <c r="A24" s="1094" t="str">
        <f>IF(TRIM(E24)="","",IF(Data!CX68&gt;0,IF(Data!CX68&lt;&gt;"", Data!CX68, " ")," "))</f>
        <v/>
      </c>
      <c r="B24" s="1752" t="str">
        <f>IF(Data!GK10&gt;0,IF(Data!GK10&lt;&gt;"",Data!GK10," ")," ")</f>
        <v xml:space="preserve"> </v>
      </c>
      <c r="C24" s="1753"/>
      <c r="D24" s="109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5" t="str">
        <f>IF(Data!GG10&gt;0,IF(Data!GG10&lt;&gt;"",IF(Data!GG10&lt;&gt;"Add the cutter in list",Data!GG10," ")," "),"")</f>
        <v xml:space="preserve"> </v>
      </c>
      <c r="F24" s="1101"/>
      <c r="G24" s="1083"/>
      <c r="H24" s="1735"/>
      <c r="I24" s="1736"/>
    </row>
    <row r="25" spans="1:15" ht="15" customHeight="1" thickBot="1" x14ac:dyDescent="0.4">
      <c r="A25" s="1094" t="str">
        <f>IF(TRIM(E25)="","",IF(Data!CX69&gt;0,IF(Data!CX69&lt;&gt;"", Data!CX69, " ")," "))</f>
        <v/>
      </c>
      <c r="B25" s="1763" t="str">
        <f>IF(Data!GK11&gt;0,IF(Data!GK11&lt;&gt;"",Data!GK11," ")," ")</f>
        <v xml:space="preserve"> </v>
      </c>
      <c r="C25" s="1764"/>
      <c r="D25" s="109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4" t="str">
        <f>IF(Data!GG11&gt;0,IF(Data!GG11&lt;&gt;"",IF(Data!GG11&lt;&gt;"Add the cutter in list",Data!GG11," ")," "),"")</f>
        <v xml:space="preserve"> </v>
      </c>
      <c r="F25" s="1102"/>
      <c r="G25" s="1083"/>
      <c r="H25" s="1757"/>
      <c r="I25" s="1758"/>
    </row>
    <row r="26" spans="1:15" ht="37.5" customHeight="1" thickBot="1" x14ac:dyDescent="0.4">
      <c r="A26" s="1077" t="s">
        <v>1476</v>
      </c>
      <c r="B26" s="1780"/>
      <c r="C26" s="1780"/>
      <c r="D26" s="1781"/>
      <c r="E26" s="1781"/>
      <c r="F26" s="1781"/>
      <c r="G26" s="1781"/>
      <c r="H26" s="1781"/>
      <c r="I26" s="1782"/>
    </row>
    <row r="27" spans="1:15" ht="5.25" customHeight="1" thickBot="1" x14ac:dyDescent="0.35">
      <c r="A27" s="1728"/>
      <c r="B27" s="1728"/>
      <c r="C27" s="1728"/>
      <c r="D27" s="1728"/>
      <c r="E27" s="1728"/>
      <c r="F27" s="1728"/>
      <c r="G27" s="1728"/>
      <c r="H27" s="1728"/>
      <c r="I27" s="1728"/>
    </row>
    <row r="28" spans="1:15" ht="32.25" customHeight="1" thickBot="1" x14ac:dyDescent="0.4">
      <c r="A28" s="1754" t="s">
        <v>2461</v>
      </c>
      <c r="B28" s="1755"/>
      <c r="C28" s="1792"/>
      <c r="D28" s="1781"/>
      <c r="E28" s="1793"/>
      <c r="F28" s="1756" t="s">
        <v>2462</v>
      </c>
      <c r="G28" s="1756"/>
      <c r="H28" s="1756"/>
      <c r="I28" s="1745"/>
    </row>
    <row r="29" spans="1:15" ht="32.25" customHeight="1" thickBot="1" x14ac:dyDescent="0.4">
      <c r="A29" s="1754" t="s">
        <v>2463</v>
      </c>
      <c r="B29" s="1755"/>
      <c r="C29" s="1792"/>
      <c r="D29" s="1781"/>
      <c r="E29" s="1793"/>
      <c r="F29" s="1756" t="s">
        <v>2464</v>
      </c>
      <c r="G29" s="1756"/>
      <c r="H29" s="1756"/>
      <c r="I29" s="1745"/>
    </row>
    <row r="30" spans="1:15" ht="5.25" customHeight="1" thickBot="1" x14ac:dyDescent="0.35">
      <c r="A30" s="1728"/>
      <c r="B30" s="1728"/>
      <c r="C30" s="1728"/>
      <c r="D30" s="1728"/>
      <c r="E30" s="1728"/>
      <c r="F30" s="1728"/>
      <c r="G30" s="1728"/>
      <c r="H30" s="1728"/>
      <c r="I30" s="1728"/>
    </row>
    <row r="31" spans="1:15" ht="33.75" customHeight="1" x14ac:dyDescent="0.35">
      <c r="A31" s="1759" t="s">
        <v>2465</v>
      </c>
      <c r="B31" s="1760"/>
      <c r="C31" s="1794" t="s">
        <v>2466</v>
      </c>
      <c r="D31" s="1795"/>
      <c r="E31" s="1796"/>
      <c r="F31" s="1761" t="s">
        <v>2467</v>
      </c>
      <c r="G31" s="1761"/>
      <c r="H31" s="1761" t="s">
        <v>2468</v>
      </c>
      <c r="I31" s="1762"/>
    </row>
    <row r="32" spans="1:15" ht="33.75" customHeight="1" x14ac:dyDescent="0.35">
      <c r="A32" s="1774" t="s">
        <v>2469</v>
      </c>
      <c r="B32" s="1775"/>
      <c r="C32" s="1772" t="s">
        <v>57</v>
      </c>
      <c r="D32" s="1773"/>
      <c r="E32" s="1767"/>
      <c r="F32" s="1770" t="s">
        <v>2470</v>
      </c>
      <c r="G32" s="1770"/>
      <c r="H32" s="1770" t="s">
        <v>2470</v>
      </c>
      <c r="I32" s="1771"/>
    </row>
    <row r="33" spans="1:9" ht="33.75" customHeight="1" x14ac:dyDescent="0.35">
      <c r="A33" s="1774" t="s">
        <v>1349</v>
      </c>
      <c r="B33" s="1775"/>
      <c r="C33" s="1772"/>
      <c r="D33" s="1773"/>
      <c r="E33" s="1767"/>
      <c r="F33" s="1776"/>
      <c r="G33" s="1776"/>
      <c r="H33" s="1776"/>
      <c r="I33" s="1777"/>
    </row>
    <row r="34" spans="1:9" ht="33.75" customHeight="1" thickBot="1" x14ac:dyDescent="0.4">
      <c r="A34" s="1783" t="s">
        <v>1351</v>
      </c>
      <c r="B34" s="1784"/>
      <c r="C34" s="1787"/>
      <c r="D34" s="1788"/>
      <c r="E34" s="1789"/>
      <c r="F34" s="1785"/>
      <c r="G34" s="1785"/>
      <c r="H34" s="1785"/>
      <c r="I34" s="1786"/>
    </row>
    <row r="35" spans="1:9" ht="5.25" customHeight="1" thickBot="1" x14ac:dyDescent="0.35">
      <c r="A35" s="1728"/>
      <c r="B35" s="1728"/>
      <c r="C35" s="1728"/>
      <c r="D35" s="1728"/>
      <c r="E35" s="1728"/>
      <c r="F35" s="1728"/>
      <c r="G35" s="1728"/>
      <c r="H35" s="1728"/>
      <c r="I35" s="1728"/>
    </row>
    <row r="36" spans="1:9" ht="27" customHeight="1" thickBot="1" x14ac:dyDescent="0.4">
      <c r="A36" s="1095" t="s">
        <v>2471</v>
      </c>
      <c r="B36" s="1790" t="s">
        <v>1878</v>
      </c>
      <c r="C36" s="1791"/>
      <c r="D36" s="1778"/>
      <c r="E36" s="1779"/>
      <c r="F36" s="1091" t="s">
        <v>2472</v>
      </c>
      <c r="G36" s="1099"/>
      <c r="H36" s="1091" t="s">
        <v>1079</v>
      </c>
      <c r="I36" s="1099"/>
    </row>
    <row r="37" spans="1:9" ht="23.9" customHeight="1" x14ac:dyDescent="0.35">
      <c r="A37" s="1765" t="s">
        <v>2473</v>
      </c>
      <c r="B37" s="1097" t="s">
        <v>46</v>
      </c>
      <c r="C37" s="1098" t="b">
        <v>0</v>
      </c>
      <c r="D37" s="1766" t="s">
        <v>67</v>
      </c>
      <c r="E37" s="1768"/>
      <c r="F37" s="1768"/>
      <c r="G37" s="1768"/>
      <c r="H37" s="1768"/>
      <c r="I37" s="1769"/>
    </row>
    <row r="38" spans="1:9" ht="23.9" customHeight="1" thickBot="1" x14ac:dyDescent="0.4">
      <c r="A38" s="1765"/>
      <c r="B38" s="1078" t="s">
        <v>1186</v>
      </c>
      <c r="C38" s="1096" t="b">
        <v>0</v>
      </c>
      <c r="D38" s="1767"/>
      <c r="E38" s="1770"/>
      <c r="F38" s="1770"/>
      <c r="G38" s="1770"/>
      <c r="H38" s="1770"/>
      <c r="I38" s="1771"/>
    </row>
    <row r="39" spans="1:9" ht="27" customHeight="1" thickBot="1" x14ac:dyDescent="0.4">
      <c r="A39" s="1072" t="s">
        <v>2474</v>
      </c>
      <c r="B39" s="1790" t="s">
        <v>1878</v>
      </c>
      <c r="C39" s="1791"/>
      <c r="D39" s="1778"/>
      <c r="E39" s="1779"/>
      <c r="F39" s="1091" t="s">
        <v>2472</v>
      </c>
      <c r="G39" s="1099"/>
      <c r="H39" s="1091" t="s">
        <v>1079</v>
      </c>
      <c r="I39" s="1099"/>
    </row>
  </sheetData>
  <mergeCells count="76"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F29:G29"/>
    <mergeCell ref="H29:I29"/>
    <mergeCell ref="A30:I30"/>
    <mergeCell ref="A31:B31"/>
    <mergeCell ref="F31:G31"/>
    <mergeCell ref="H31:I31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</mergeCells>
  <conditionalFormatting sqref="O17">
    <cfRule type="cellIs" dxfId="368" priority="1" operator="lessThan">
      <formula>0</formula>
    </cfRule>
  </conditionalFormatting>
  <conditionalFormatting sqref="O21">
    <cfRule type="cellIs" dxfId="36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topLeftCell="A20" zoomScaleNormal="100" zoomScaleSheetLayoutView="100" workbookViewId="0">
      <selection activeCell="X47" sqref="X47:AA47"/>
    </sheetView>
  </sheetViews>
  <sheetFormatPr defaultColWidth="9.1796875" defaultRowHeight="14.5" x14ac:dyDescent="0.35"/>
  <cols>
    <col min="1" max="27" width="4" customWidth="1"/>
    <col min="28" max="28" width="3" customWidth="1"/>
    <col min="29" max="30" width="3.1796875" customWidth="1"/>
    <col min="130" max="130" width="9.1796875" customWidth="1"/>
  </cols>
  <sheetData>
    <row r="1" spans="1:27" ht="20.149999999999999" customHeight="1" x14ac:dyDescent="0.35">
      <c r="A1" s="1818"/>
      <c r="B1" s="1819"/>
      <c r="C1" s="1809" t="s">
        <v>977</v>
      </c>
      <c r="D1" s="1809"/>
      <c r="E1" s="1809"/>
      <c r="F1" s="1809"/>
      <c r="G1" s="1809"/>
      <c r="H1" s="1809"/>
      <c r="I1" s="1809"/>
      <c r="J1" s="1809"/>
      <c r="K1" s="1809"/>
      <c r="L1" s="1809"/>
      <c r="M1" s="1809"/>
      <c r="N1" s="1809"/>
      <c r="O1" s="1809"/>
      <c r="P1" s="1809"/>
      <c r="Q1" s="1810"/>
      <c r="R1" s="1813" t="s">
        <v>1054</v>
      </c>
      <c r="S1" s="1554"/>
      <c r="T1" s="1554"/>
      <c r="U1" s="1554"/>
      <c r="V1" s="1554"/>
      <c r="W1" s="1554"/>
      <c r="X1" s="1554"/>
      <c r="Y1" s="1554"/>
      <c r="Z1" s="1554"/>
      <c r="AA1" s="1814"/>
    </row>
    <row r="2" spans="1:27" ht="20.149999999999999" customHeight="1" x14ac:dyDescent="0.35">
      <c r="A2" s="1820"/>
      <c r="B2" s="1821"/>
      <c r="C2" s="1811"/>
      <c r="D2" s="1811"/>
      <c r="E2" s="1811"/>
      <c r="F2" s="1811"/>
      <c r="G2" s="1811"/>
      <c r="H2" s="1811"/>
      <c r="I2" s="1811"/>
      <c r="J2" s="1811"/>
      <c r="K2" s="1811"/>
      <c r="L2" s="1811"/>
      <c r="M2" s="1811"/>
      <c r="N2" s="1811"/>
      <c r="O2" s="1811"/>
      <c r="P2" s="1811"/>
      <c r="Q2" s="1812"/>
      <c r="R2" s="1815" t="s">
        <v>1064</v>
      </c>
      <c r="S2" s="1558"/>
      <c r="T2" s="1558"/>
      <c r="U2" s="1558"/>
      <c r="V2" s="1558"/>
      <c r="W2" s="1558"/>
      <c r="X2" s="1558"/>
      <c r="Y2" s="1558"/>
      <c r="Z2" s="1558"/>
      <c r="AA2" s="1816"/>
    </row>
    <row r="3" spans="1:27" ht="18" customHeight="1" x14ac:dyDescent="0.35">
      <c r="A3" s="1547" t="s">
        <v>1122</v>
      </c>
      <c r="B3" s="1548"/>
      <c r="C3" s="1548"/>
      <c r="D3" s="1548"/>
      <c r="E3" s="1548"/>
      <c r="F3" s="1548"/>
      <c r="G3" s="1548"/>
      <c r="H3" s="1548"/>
      <c r="I3" s="1548"/>
      <c r="J3" s="1548"/>
      <c r="K3" s="1548"/>
      <c r="L3" s="1548"/>
      <c r="M3" s="1548"/>
      <c r="N3" s="1548"/>
      <c r="O3" s="1548"/>
      <c r="P3" s="1548"/>
      <c r="Q3" s="1548"/>
      <c r="R3" s="1558" t="s">
        <v>1040</v>
      </c>
      <c r="S3" s="1558"/>
      <c r="T3" s="1558"/>
      <c r="U3" s="1558"/>
      <c r="V3" s="1558"/>
      <c r="W3" s="1558"/>
      <c r="X3" s="1558"/>
      <c r="Y3" s="1558"/>
      <c r="Z3" s="1558"/>
      <c r="AA3" s="1816"/>
    </row>
    <row r="4" spans="1:27" ht="18" customHeight="1" thickBot="1" x14ac:dyDescent="0.4">
      <c r="A4" s="1549"/>
      <c r="B4" s="1550"/>
      <c r="C4" s="1550"/>
      <c r="D4" s="1550"/>
      <c r="E4" s="1550"/>
      <c r="F4" s="1550"/>
      <c r="G4" s="1550"/>
      <c r="H4" s="1550"/>
      <c r="I4" s="1550"/>
      <c r="J4" s="1550"/>
      <c r="K4" s="1550"/>
      <c r="L4" s="1550"/>
      <c r="M4" s="1550"/>
      <c r="N4" s="1550"/>
      <c r="O4" s="1550"/>
      <c r="P4" s="1550"/>
      <c r="Q4" s="1550"/>
      <c r="R4" s="1561" t="s">
        <v>1041</v>
      </c>
      <c r="S4" s="1561"/>
      <c r="T4" s="1561"/>
      <c r="U4" s="1561"/>
      <c r="V4" s="1561"/>
      <c r="W4" s="1561"/>
      <c r="X4" s="1561"/>
      <c r="Y4" s="1561"/>
      <c r="Z4" s="1561"/>
      <c r="AA4" s="1817"/>
    </row>
    <row r="5" spans="1:27" ht="6" customHeight="1" thickBot="1" x14ac:dyDescent="0.4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4">
      <c r="A6" s="240"/>
      <c r="B6" s="1668" t="s">
        <v>27</v>
      </c>
      <c r="C6" s="1668"/>
      <c r="D6" s="1668"/>
      <c r="E6" s="1669"/>
      <c r="F6" s="1556" t="str">
        <f>IF(Data!B1&lt;&gt;"", Data!B1, " ")</f>
        <v>2025-AR-109</v>
      </c>
      <c r="G6" s="1653"/>
      <c r="H6" s="1653"/>
      <c r="I6" s="1653"/>
      <c r="J6" s="1557"/>
      <c r="K6" s="1654" t="s">
        <v>28</v>
      </c>
      <c r="L6" s="1655"/>
      <c r="M6" s="1656"/>
      <c r="N6" s="1556">
        <f>IF(Data!B2&lt;&gt;"", Data!B2, " ")</f>
        <v>13845937</v>
      </c>
      <c r="O6" s="1653"/>
      <c r="P6" s="1653"/>
      <c r="Q6" s="1653"/>
      <c r="R6" s="1557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4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667" t="s">
        <v>1033</v>
      </c>
      <c r="T7" s="1667"/>
      <c r="U7" s="1667"/>
      <c r="V7" s="1667"/>
      <c r="W7" s="449"/>
      <c r="X7" s="449"/>
      <c r="Y7" s="450"/>
      <c r="Z7" s="450"/>
      <c r="AA7" s="450"/>
    </row>
    <row r="8" spans="1:27" ht="15.75" customHeight="1" thickBot="1" x14ac:dyDescent="0.4">
      <c r="D8" s="1655" t="s">
        <v>29</v>
      </c>
      <c r="E8" s="1656"/>
      <c r="F8" s="1556" t="str">
        <f>IF(LEN(Data!B3)&gt;3,IF(AND(Data!B43&lt;&gt;"",Data!B43&lt;&gt;"0 0/1"""),Data!B43,""),IF(Data!B3&lt;&gt;"",Data!B3&amp;"""",""))</f>
        <v>8 3/8"</v>
      </c>
      <c r="G8" s="1653"/>
      <c r="H8" s="1653"/>
      <c r="I8" s="1653"/>
      <c r="J8" s="1557"/>
      <c r="K8" s="1654" t="s">
        <v>1065</v>
      </c>
      <c r="L8" s="1655"/>
      <c r="M8" s="1656"/>
      <c r="N8" s="1556">
        <f>IF(Data!B5&lt;&gt;"",Data!B5," ")</f>
        <v>1080537</v>
      </c>
      <c r="O8" s="1653"/>
      <c r="P8" s="1653"/>
      <c r="Q8" s="1653"/>
      <c r="R8" s="1557"/>
      <c r="S8" s="1667"/>
      <c r="T8" s="1667"/>
      <c r="U8" s="1667"/>
      <c r="V8" s="1667"/>
      <c r="W8" s="1678">
        <f>IF(Data!B6&lt;&gt;"",Data!B6," ")</f>
        <v>46002</v>
      </c>
      <c r="X8" s="1679"/>
      <c r="Y8" s="1679"/>
      <c r="Z8" s="1679"/>
      <c r="AA8" s="1680"/>
    </row>
    <row r="9" spans="1:27" ht="6" customHeight="1" thickBot="1" x14ac:dyDescent="0.4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667"/>
      <c r="T9" s="1667"/>
      <c r="U9" s="1667"/>
      <c r="V9" s="1667"/>
      <c r="W9" s="449"/>
      <c r="X9" s="449"/>
      <c r="Y9" s="450"/>
      <c r="Z9" s="450"/>
      <c r="AA9" s="450"/>
    </row>
    <row r="10" spans="1:27" ht="15.75" customHeight="1" thickBot="1" x14ac:dyDescent="0.4">
      <c r="D10" s="1655" t="s">
        <v>31</v>
      </c>
      <c r="E10" s="1656"/>
      <c r="F10" s="1556" t="str">
        <f>IF(Data!B4&lt;&gt;"",Data!B4," ")</f>
        <v>MM65DH-1</v>
      </c>
      <c r="G10" s="1653"/>
      <c r="H10" s="1653"/>
      <c r="I10" s="1653"/>
      <c r="J10" s="1557"/>
      <c r="K10" s="1654" t="s">
        <v>32</v>
      </c>
      <c r="L10" s="1655"/>
      <c r="M10" s="1656"/>
      <c r="N10" s="1556" t="str">
        <f>IF(Data!B7&lt;&gt;"",Data!B7, " ")</f>
        <v>SAUDI ARAMCO</v>
      </c>
      <c r="O10" s="1653"/>
      <c r="P10" s="1653"/>
      <c r="Q10" s="1653"/>
      <c r="R10" s="1557"/>
      <c r="S10" s="1697" t="s">
        <v>33</v>
      </c>
      <c r="T10" s="1668"/>
      <c r="U10" s="1668"/>
      <c r="V10" s="1669"/>
      <c r="W10" s="1556">
        <f>IF(Data!B24&lt;&gt;"",Data!B24,IFERROR(VLOOKUP(Data!$B$7,Data!F63:G70,2,FALSE),""))</f>
        <v>6600048646</v>
      </c>
      <c r="X10" s="1653"/>
      <c r="Y10" s="1653"/>
      <c r="Z10" s="1653"/>
      <c r="AA10" s="1557"/>
    </row>
    <row r="11" spans="1:27" ht="6" customHeight="1" x14ac:dyDescent="0.3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5" customHeight="1" x14ac:dyDescent="0.35">
      <c r="A12" s="1822" t="s">
        <v>1495</v>
      </c>
      <c r="B12" s="1823"/>
      <c r="C12" s="1823"/>
      <c r="D12" s="1823"/>
      <c r="E12" s="1823"/>
      <c r="F12" s="1823"/>
      <c r="G12" s="1823"/>
      <c r="H12" s="1823"/>
      <c r="I12" s="1823"/>
      <c r="J12" s="1823"/>
      <c r="K12" s="1823"/>
      <c r="L12" s="1823"/>
      <c r="M12" s="1823"/>
      <c r="N12" s="1823"/>
      <c r="O12" s="1823"/>
      <c r="P12" s="1823"/>
      <c r="Q12" s="1823"/>
      <c r="R12" s="1823"/>
      <c r="S12" s="1823"/>
      <c r="T12" s="1823"/>
      <c r="U12" s="1823"/>
      <c r="V12" s="1823"/>
      <c r="W12" s="1823"/>
      <c r="X12" s="1823"/>
      <c r="Y12" s="1823"/>
      <c r="Z12" s="1823"/>
      <c r="AA12" s="1824"/>
    </row>
    <row r="13" spans="1:27" ht="5.15" customHeight="1" thickBot="1" x14ac:dyDescent="0.4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6" customHeight="1" x14ac:dyDescent="0.35">
      <c r="A14" s="1840"/>
      <c r="B14" s="1841"/>
      <c r="C14" s="1806" t="s">
        <v>17</v>
      </c>
      <c r="D14" s="1807"/>
      <c r="E14" s="1807"/>
      <c r="F14" s="1807"/>
      <c r="G14" s="1807"/>
      <c r="H14" s="1807"/>
      <c r="I14" s="1807"/>
      <c r="J14" s="1807"/>
      <c r="K14" s="1807"/>
      <c r="L14" s="1807"/>
      <c r="M14" s="1807"/>
      <c r="N14" s="1807"/>
      <c r="O14" s="1807"/>
      <c r="P14" s="1807"/>
      <c r="Q14" s="1807"/>
      <c r="R14" s="1807"/>
      <c r="S14" s="1807"/>
      <c r="T14" s="1807"/>
      <c r="U14" s="1807"/>
      <c r="V14" s="1807"/>
      <c r="W14" s="1807"/>
      <c r="X14" s="1807"/>
      <c r="Y14" s="1807"/>
      <c r="Z14" s="1807"/>
      <c r="AA14" s="1808"/>
    </row>
    <row r="15" spans="1:27" ht="16" customHeight="1" thickBot="1" x14ac:dyDescent="0.4">
      <c r="A15" s="1842"/>
      <c r="B15" s="1843"/>
      <c r="C15" s="470" t="str">
        <f>IF(Data!BR42&lt;&gt;"",Data!BR42,"")</f>
        <v>1a</v>
      </c>
      <c r="D15" s="447" t="str">
        <f>IF(Data!BS42&lt;&gt;"",Data!BS42,"")</f>
        <v>2a</v>
      </c>
      <c r="E15" s="447" t="str">
        <f>IF(Data!BT42&lt;&gt;"",Data!BT42,"")</f>
        <v>3a</v>
      </c>
      <c r="F15" s="447" t="str">
        <f>IF(Data!BU42&lt;&gt;"",Data!BU42,"")</f>
        <v>4a</v>
      </c>
      <c r="G15" s="447" t="str">
        <f>IF(Data!BV42&lt;&gt;"",Data!BV42,"")</f>
        <v>5a</v>
      </c>
      <c r="H15" s="447" t="str">
        <f>IF(Data!BW42&lt;&gt;"",Data!BW42,"")</f>
        <v>6a</v>
      </c>
      <c r="I15" s="447" t="str">
        <f>IF(Data!BX42&lt;&gt;"",Data!BX42,"")</f>
        <v>7a</v>
      </c>
      <c r="J15" s="447" t="str">
        <f>IF(Data!BY42&lt;&gt;"",Data!BY42,"")</f>
        <v>8a</v>
      </c>
      <c r="K15" s="447" t="str">
        <f>IF(Data!BZ42&lt;&gt;"",Data!BZ42,"")</f>
        <v>0a</v>
      </c>
      <c r="L15" s="447" t="str">
        <f>IF(Data!CA42&lt;&gt;"",Data!CA42,"")</f>
        <v>1b</v>
      </c>
      <c r="M15" s="447" t="str">
        <f>IF(Data!CB42&lt;&gt;"",Data!CB42,"")</f>
        <v>2b</v>
      </c>
      <c r="N15" s="447" t="str">
        <f>IF(Data!CC42&lt;&gt;"",Data!CC42,"")</f>
        <v>3b</v>
      </c>
      <c r="O15" s="447" t="str">
        <f>IF(Data!CD42&lt;&gt;"",Data!CD42,"")</f>
        <v>4b</v>
      </c>
      <c r="P15" s="447" t="str">
        <f>IF(Data!CE42&lt;&gt;"",Data!CE42,"")</f>
        <v>0a</v>
      </c>
      <c r="Q15" s="447" t="str">
        <f>IF(Data!CF42&lt;&gt;"",Data!CF42,"")</f>
        <v>0a</v>
      </c>
      <c r="R15" s="447" t="str">
        <f>IF(Data!CG42&lt;&gt;"",Data!CG42,"")</f>
        <v>0a</v>
      </c>
      <c r="S15" s="447" t="str">
        <f>IF(Data!CH42&lt;&gt;"",Data!CH42,"")</f>
        <v>0a</v>
      </c>
      <c r="T15" s="447" t="str">
        <f>IF(Data!CI42&lt;&gt;"",Data!CI42,"")</f>
        <v>0a</v>
      </c>
      <c r="U15" s="447" t="str">
        <f>IF(Data!CJ42&lt;&gt;"",Data!CJ42,"")</f>
        <v>0a</v>
      </c>
      <c r="V15" s="447" t="str">
        <f>IF(Data!CK42&lt;&gt;"",Data!CK42,"")</f>
        <v>0a</v>
      </c>
      <c r="W15" s="447" t="str">
        <f>IF(Data!CL42&lt;&gt;"",Data!CL42,"")</f>
        <v>0a</v>
      </c>
      <c r="X15" s="447" t="str">
        <f>IF(Data!CM42&lt;&gt;"",Data!CM42,"")</f>
        <v>0a</v>
      </c>
      <c r="Y15" s="447" t="str">
        <f>IF(Data!CN42&lt;&gt;"",Data!CN42,"")</f>
        <v>0a</v>
      </c>
      <c r="Z15" s="447" t="str">
        <f>IF(Data!CO42&lt;&gt;"",Data!CO42,"")</f>
        <v>0a</v>
      </c>
      <c r="AA15" s="447" t="str">
        <f>IF(Data!CP42&lt;&gt;"",Data!CP42,"")</f>
        <v>0a</v>
      </c>
    </row>
    <row r="16" spans="1:27" ht="16" customHeight="1" x14ac:dyDescent="0.35">
      <c r="A16" s="1844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>S1</v>
      </c>
      <c r="D16" s="1055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>S1</v>
      </c>
      <c r="E16" s="1055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>S1</v>
      </c>
      <c r="F16" s="1055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>S1</v>
      </c>
      <c r="G16" s="1055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>S1</v>
      </c>
      <c r="H16" s="1055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>X1</v>
      </c>
      <c r="I16" s="1055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>R1</v>
      </c>
      <c r="J16" s="1055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>X3</v>
      </c>
      <c r="K16" s="1055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/>
      </c>
      <c r="L16" s="1055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>S2</v>
      </c>
      <c r="M16" s="1055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>S2</v>
      </c>
      <c r="N16" s="1055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>X2</v>
      </c>
      <c r="O16" s="1055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>X2</v>
      </c>
      <c r="P16" s="1055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/>
      </c>
      <c r="Q16" s="1055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/>
      </c>
      <c r="R16" s="1055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/>
      </c>
      <c r="S16" s="1055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/>
      </c>
      <c r="T16" s="1055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/>
      </c>
      <c r="U16" s="1055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/>
      </c>
      <c r="V16" s="1055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/>
      </c>
      <c r="W16" s="1055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/>
      </c>
      <c r="X16" s="1055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/>
      </c>
      <c r="Y16" s="1055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/>
      </c>
      <c r="Z16" s="1055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/>
      </c>
      <c r="AA16" s="1054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6" customHeight="1" x14ac:dyDescent="0.35">
      <c r="A17" s="1845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>S1</v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>S1</v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>X1</v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>R1</v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>X3</v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/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/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/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/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>S2</v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>S2</v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>S2</v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>R2</v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/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/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/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/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/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/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/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/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/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/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/>
      </c>
      <c r="AA17" s="1056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6" customHeight="1" x14ac:dyDescent="0.35">
      <c r="A18" s="1845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>S1</v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>S1</v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>S1</v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>S1</v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>X1</v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>R1</v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>X3</v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/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/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>S2</v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>S2</v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>R2</v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/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/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/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/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/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/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/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/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/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/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/>
      </c>
      <c r="AA18" s="1056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6" customHeight="1" x14ac:dyDescent="0.35">
      <c r="A19" s="1845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>S1</v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>S1</v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>X1</v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>R1</v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>X1</v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>X3</v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/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/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/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>S2</v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>S2</v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>S2</v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>R2</v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/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/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/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/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/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/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/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/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/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/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/>
      </c>
      <c r="AA19" s="1056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6" customHeight="1" x14ac:dyDescent="0.35">
      <c r="A20" s="1845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>S1</v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>S1</v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>S1</v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>S1</v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>S1</v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>X1</v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>R1</v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>X3</v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/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>S2</v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>S2</v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>X2</v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>R2</v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/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/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/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/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/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/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/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/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/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/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/>
      </c>
      <c r="AA20" s="1056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6" customHeight="1" x14ac:dyDescent="0.35">
      <c r="A21" s="1845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>S1</v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>X1</v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>S1</v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>X1</v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>X3</v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/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/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/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/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>S2</v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>S2</v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>S2</v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>R2</v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/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/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/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/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/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/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/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/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/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/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/>
      </c>
      <c r="AA21" s="1056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6" customHeight="1" x14ac:dyDescent="0.35">
      <c r="A22" s="1845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/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/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/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/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/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/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/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/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/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/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/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/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/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/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/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/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/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6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6" customHeight="1" x14ac:dyDescent="0.35">
      <c r="A23" s="1845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/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/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/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/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/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/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/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/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/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/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/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/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/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/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/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/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/>
      </c>
      <c r="AA23" s="1056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6" customHeight="1" x14ac:dyDescent="0.35">
      <c r="A24" s="1845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6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6" customHeight="1" x14ac:dyDescent="0.35">
      <c r="A25" s="1845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6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6" customHeight="1" x14ac:dyDescent="0.35">
      <c r="A26" s="1845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6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6" customHeight="1" thickBot="1" x14ac:dyDescent="0.4">
      <c r="A27" s="1846"/>
      <c r="B27" s="448">
        <v>12</v>
      </c>
      <c r="C27" s="1053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7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7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7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7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7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7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7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7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7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7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7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7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7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7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7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7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7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7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7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7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7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7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7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2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3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35">
      <c r="A29" s="450"/>
      <c r="U29" s="449"/>
      <c r="V29" s="1668"/>
      <c r="W29" s="1668"/>
      <c r="X29" s="1668"/>
      <c r="Y29" s="450"/>
    </row>
    <row r="30" spans="1:27" ht="5.15" customHeight="1" x14ac:dyDescent="0.3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35">
      <c r="A31" s="1830" t="s">
        <v>795</v>
      </c>
      <c r="B31" s="1830"/>
      <c r="C31" s="1830"/>
      <c r="D31" s="1830"/>
      <c r="E31" s="1838" t="str">
        <f>IF(Data!B11&lt;&gt;"",Data!B11,"")</f>
        <v>Ali Alhammad</v>
      </c>
      <c r="F31" s="1838"/>
      <c r="G31" s="1838"/>
      <c r="H31" s="1838"/>
      <c r="I31" s="1830" t="s">
        <v>796</v>
      </c>
      <c r="J31" s="1830"/>
      <c r="K31" s="1838" t="str">
        <f>IF(Data!B12&lt;&gt;"",Data!B12,"")</f>
        <v>Habeeb Radi</v>
      </c>
      <c r="L31" s="1838"/>
      <c r="M31" s="1838"/>
      <c r="N31" s="1838"/>
      <c r="O31" s="1839" t="s">
        <v>36</v>
      </c>
      <c r="P31" s="1839"/>
      <c r="Q31" s="1831">
        <f>IF(Data!B13&lt;&gt;"",Data!B13,"")</f>
        <v>46029</v>
      </c>
      <c r="R31" s="1831"/>
      <c r="S31" s="1831"/>
      <c r="T31" s="1831"/>
      <c r="U31" s="451"/>
      <c r="V31" s="1668"/>
      <c r="W31" s="1668"/>
      <c r="X31" s="1668"/>
      <c r="Y31" s="450"/>
      <c r="Z31" s="452"/>
    </row>
    <row r="32" spans="1:27" ht="5.15" customHeight="1" thickBot="1" x14ac:dyDescent="0.4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6" customHeight="1" x14ac:dyDescent="0.35">
      <c r="A33" s="1832" t="s">
        <v>1047</v>
      </c>
      <c r="B33" s="1825"/>
      <c r="C33" s="1825"/>
      <c r="D33" s="1825" t="s">
        <v>1048</v>
      </c>
      <c r="E33" s="1825"/>
      <c r="F33" s="1825" t="s">
        <v>1049</v>
      </c>
      <c r="G33" s="1825"/>
      <c r="H33" s="1825" t="s">
        <v>1050</v>
      </c>
      <c r="I33" s="1825"/>
      <c r="J33" s="1685" t="s">
        <v>1051</v>
      </c>
      <c r="K33" s="1685"/>
      <c r="L33" s="1825" t="s">
        <v>1052</v>
      </c>
      <c r="M33" s="1825"/>
      <c r="N33" s="1825" t="s">
        <v>21</v>
      </c>
      <c r="O33" s="1826"/>
      <c r="R33" s="1832" t="str">
        <f>IF(COUNTIF(F10,"S*"),"P.H.F.-P","P.B.U.-P")</f>
        <v>P.B.U.-P</v>
      </c>
      <c r="S33" s="1825"/>
      <c r="T33" s="1825"/>
      <c r="U33" s="1825" t="str">
        <f>IF(COUNTIF(F10,"S*"),"F.H.F.-V","F.B.U.-V")</f>
        <v>F.B.U.-V</v>
      </c>
      <c r="V33" s="1825"/>
      <c r="W33" s="1825"/>
      <c r="X33" s="1825" t="str">
        <f>IF(COUNTIF(F10,"S*"),"IA.H.F.-I","IA.B.U.-I")</f>
        <v>IA.B.U.-I</v>
      </c>
      <c r="Y33" s="1825"/>
      <c r="Z33" s="1826"/>
    </row>
    <row r="34" spans="1:27" ht="15.75" customHeight="1" thickBot="1" x14ac:dyDescent="0.4">
      <c r="A34" s="1837">
        <f>IF(OR(Data!L2=1,Data!L3=1),0,IF('Eng. Cutter Entry'!C4&lt;&gt;"",'ARDT Cutter Entry'!BI62,'ARDT Cutter Entry'!BI6))</f>
        <v>10</v>
      </c>
      <c r="B34" s="1827"/>
      <c r="C34" s="1827"/>
      <c r="D34" s="1827">
        <f>IF(OR(Data!L2=1,Data!L3=1),0,IF('Eng. Cutter Entry'!C4&lt;&gt;"",'ARDT Cutter Entry'!BI63,'ARDT Cutter Entry'!BI7))</f>
        <v>35</v>
      </c>
      <c r="E34" s="1827"/>
      <c r="F34" s="1827">
        <f>IF(OR(Data!L2=1,Data!L3=1),Data!BO63,IF('Eng. Cutter Entry'!C4&lt;&gt;"",'ARDT Cutter Entry'!BI65,'ARDT Cutter Entry'!BI9))</f>
        <v>0</v>
      </c>
      <c r="G34" s="1827"/>
      <c r="H34" s="1827">
        <f>IF(OR(Data!L2=1,Data!L3=1),0,IF('Eng. Cutter Entry'!C4&lt;&gt;"",'ARDT Cutter Entry'!BI64,'ARDT Cutter Entry'!BI8))</f>
        <v>0</v>
      </c>
      <c r="I34" s="1827"/>
      <c r="J34" s="1827">
        <f>IF(OR(Data!L2=1,Data!L3=1),0,IF('Eng. Cutter Entry'!C4&lt;&gt;"",'ARDT Cutter Entry'!BI58+'ARDT Cutter Entry'!BI59,'ARDT Cutter Entry'!BI2+'ARDT Cutter Entry'!BI3))</f>
        <v>17</v>
      </c>
      <c r="K34" s="1827"/>
      <c r="L34" s="1827">
        <f>IF(OR(Data!L2=1,Data!L3=1),0,IF('Eng. Cutter Entry'!C4&lt;&gt;"",'ARDT Cutter Entry'!BI60+'ARDT Cutter Entry'!BI61,'ARDT Cutter Entry'!BI4+'ARDT Cutter Entry'!BI5))</f>
        <v>0</v>
      </c>
      <c r="M34" s="1827"/>
      <c r="N34" s="1827">
        <f>IF(Data!BO63&lt;&gt;"",Data!BO63," ")</f>
        <v>62</v>
      </c>
      <c r="O34" s="1828"/>
      <c r="R34" s="1837">
        <f>IF(OR(Data!L2=1,Data!L3=1),0,IF('Eng. Cutter Entry'!C4&lt;&gt;"",'ARDT Cutter Entry'!AL62,'ARDT Cutter Entry'!AL2))</f>
        <v>4</v>
      </c>
      <c r="S34" s="1827"/>
      <c r="T34" s="1827"/>
      <c r="U34" s="1827">
        <f>IF(OR(Data!L2=1,Data!L3=1),0,IF('Eng. Cutter Entry'!C4&lt;&gt;"",'ARDT Cutter Entry'!AL64,'ARDT Cutter Entry'!AL4))</f>
        <v>0</v>
      </c>
      <c r="V34" s="1827"/>
      <c r="W34" s="1827"/>
      <c r="X34" s="1827">
        <f>IF(OR(Data!L2=1,Data!L3=1),0,IF('Eng. Cutter Entry'!C4&lt;&gt;"",'ARDT Cutter Entry'!AL63,'ARDT Cutter Entry'!AL3))</f>
        <v>0</v>
      </c>
      <c r="Y34" s="1827"/>
      <c r="Z34" s="1828"/>
    </row>
    <row r="35" spans="1:27" ht="3.75" customHeight="1" x14ac:dyDescent="0.3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35">
      <c r="A36" s="1836" t="s">
        <v>19</v>
      </c>
      <c r="B36" s="1836"/>
      <c r="C36" s="1836"/>
      <c r="D36" s="1836"/>
      <c r="E36" s="1667" t="str">
        <f>IF(Data!L2=1,"The bit is Rerunable, No need for repair. ",IF('ARDT Cutter Entry'!Y57=1,"Accepted as rerun by LSTK engineer",IF('ARDT Cutter Entry'!D21&lt;&gt;"",'ARDT Cutter Entry'!D21," ")))</f>
        <v>Shank need machining, Breaker slot needs cleaning. Build up the following: pockets B1P6, B1P11, B3P7 and B4P6.</v>
      </c>
      <c r="F36" s="1667"/>
      <c r="G36" s="1667"/>
      <c r="H36" s="1667"/>
      <c r="I36" s="1667"/>
      <c r="J36" s="1667"/>
      <c r="K36" s="1667"/>
      <c r="L36" s="1667"/>
      <c r="M36" s="1667"/>
      <c r="N36" s="1667"/>
      <c r="O36" s="1667"/>
      <c r="P36" s="1667"/>
      <c r="Q36" s="1667"/>
      <c r="R36" s="1667"/>
      <c r="S36" s="1667"/>
      <c r="T36" s="1667"/>
      <c r="U36" s="1667"/>
      <c r="V36" s="1667"/>
      <c r="W36" s="1667"/>
      <c r="X36" s="1667"/>
      <c r="Y36" s="1667"/>
      <c r="Z36" s="1667"/>
      <c r="AA36" s="1667"/>
    </row>
    <row r="37" spans="1:27" ht="13.5" customHeight="1" x14ac:dyDescent="0.35">
      <c r="A37" s="1854" t="str">
        <f>IF(Instructions!$L$1&lt;&gt;"",Instructions!$L$1,"")</f>
        <v/>
      </c>
      <c r="B37" s="1854"/>
      <c r="C37" s="1854"/>
      <c r="D37" s="1854"/>
      <c r="E37" s="1667"/>
      <c r="F37" s="1667"/>
      <c r="G37" s="1667"/>
      <c r="H37" s="1667"/>
      <c r="I37" s="1667"/>
      <c r="J37" s="1667"/>
      <c r="K37" s="1667"/>
      <c r="L37" s="1667"/>
      <c r="M37" s="1667"/>
      <c r="N37" s="1667"/>
      <c r="O37" s="1667"/>
      <c r="P37" s="1667"/>
      <c r="Q37" s="1667"/>
      <c r="R37" s="1667"/>
      <c r="S37" s="1667"/>
      <c r="T37" s="1667"/>
      <c r="U37" s="1667"/>
      <c r="V37" s="1667"/>
      <c r="W37" s="1667"/>
      <c r="X37" s="1667"/>
      <c r="Y37" s="1667"/>
      <c r="Z37" s="1667"/>
      <c r="AA37" s="1667"/>
    </row>
    <row r="38" spans="1:27" ht="13.5" customHeight="1" x14ac:dyDescent="0.35">
      <c r="A38" s="1854"/>
      <c r="B38" s="1854"/>
      <c r="C38" s="1854"/>
      <c r="D38" s="1854"/>
      <c r="E38" s="1667"/>
      <c r="F38" s="1667"/>
      <c r="G38" s="1667"/>
      <c r="H38" s="1667"/>
      <c r="I38" s="1667"/>
      <c r="J38" s="1667"/>
      <c r="K38" s="1667"/>
      <c r="L38" s="1667"/>
      <c r="M38" s="1667"/>
      <c r="N38" s="1667"/>
      <c r="O38" s="1667"/>
      <c r="P38" s="1667"/>
      <c r="Q38" s="1667"/>
      <c r="R38" s="1667"/>
      <c r="S38" s="1667"/>
      <c r="T38" s="1667"/>
      <c r="U38" s="1667"/>
      <c r="V38" s="1667"/>
      <c r="W38" s="1667"/>
      <c r="X38" s="1667"/>
      <c r="Y38" s="1667"/>
      <c r="Z38" s="1667"/>
      <c r="AA38" s="1667"/>
    </row>
    <row r="39" spans="1:27" ht="4.5" customHeight="1" x14ac:dyDescent="0.3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35">
      <c r="B40" s="1668" t="s">
        <v>729</v>
      </c>
      <c r="C40" s="1668"/>
      <c r="D40" s="1668"/>
      <c r="E40" s="1668"/>
      <c r="F40" s="1668"/>
      <c r="G40" s="1668"/>
      <c r="H40" s="1829" t="str">
        <f>IF(Data!B14&lt;&gt;"",Data!B14,"")</f>
        <v/>
      </c>
      <c r="I40" s="1829"/>
      <c r="J40" s="1829"/>
      <c r="K40" s="1829"/>
      <c r="L40" s="1829"/>
      <c r="O40" s="1830" t="s">
        <v>36</v>
      </c>
      <c r="P40" s="1830"/>
      <c r="Q40" s="1831" t="str">
        <f>IF(Data!B15&lt;&gt;"",Data!B15,"")</f>
        <v/>
      </c>
      <c r="R40" s="1831"/>
      <c r="S40" s="1831"/>
      <c r="T40" s="1831"/>
      <c r="V40" s="450"/>
      <c r="W40" s="450"/>
      <c r="X40" s="450"/>
      <c r="Y40" s="450"/>
      <c r="Z40" s="452"/>
    </row>
    <row r="41" spans="1:27" ht="3.75" customHeight="1" thickBot="1" x14ac:dyDescent="0.4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6" customHeight="1" x14ac:dyDescent="0.35">
      <c r="A42" s="1832" t="s">
        <v>39</v>
      </c>
      <c r="B42" s="1825"/>
      <c r="C42" s="1825"/>
      <c r="D42" s="1825"/>
      <c r="E42" s="1825"/>
      <c r="F42" s="1825"/>
      <c r="G42" s="1825"/>
      <c r="H42" s="1825"/>
      <c r="I42" s="1825"/>
      <c r="J42" s="1825"/>
      <c r="K42" s="1825"/>
      <c r="L42" s="1825"/>
      <c r="M42" s="1825"/>
      <c r="N42" s="1825"/>
      <c r="O42" s="1825"/>
      <c r="P42" s="1825"/>
      <c r="Q42" s="1825"/>
      <c r="R42" s="1825"/>
      <c r="S42" s="1825"/>
      <c r="T42" s="1825"/>
      <c r="U42" s="1825"/>
      <c r="V42" s="1825"/>
      <c r="W42" s="1825"/>
      <c r="X42" s="1825"/>
      <c r="Y42" s="1825"/>
      <c r="Z42" s="1825"/>
      <c r="AA42" s="1826"/>
    </row>
    <row r="43" spans="1:27" ht="16" customHeight="1" x14ac:dyDescent="0.35">
      <c r="A43" s="1833" t="s">
        <v>108</v>
      </c>
      <c r="B43" s="1834"/>
      <c r="C43" s="1682" t="s">
        <v>40</v>
      </c>
      <c r="D43" s="1682"/>
      <c r="E43" s="1835" t="s">
        <v>41</v>
      </c>
      <c r="F43" s="1835"/>
      <c r="G43" s="1835"/>
      <c r="H43" s="1835" t="s">
        <v>730</v>
      </c>
      <c r="I43" s="1835"/>
      <c r="J43" s="1835"/>
      <c r="K43" s="1834" t="s">
        <v>43</v>
      </c>
      <c r="L43" s="1834"/>
      <c r="M43" s="1834"/>
      <c r="N43" s="1834"/>
      <c r="O43" s="1834"/>
      <c r="P43" s="1834"/>
      <c r="Q43" s="1834"/>
      <c r="R43" s="1834"/>
      <c r="S43" s="1834"/>
      <c r="T43" s="1800" t="s">
        <v>44</v>
      </c>
      <c r="U43" s="1800"/>
      <c r="V43" s="1800"/>
      <c r="W43" s="1800"/>
      <c r="X43" s="1800"/>
      <c r="Y43" s="1800"/>
      <c r="Z43" s="1800"/>
      <c r="AA43" s="1801"/>
    </row>
    <row r="44" spans="1:27" ht="16" customHeight="1" x14ac:dyDescent="0.35">
      <c r="A44" s="1833"/>
      <c r="B44" s="1834"/>
      <c r="C44" s="1682"/>
      <c r="D44" s="1682"/>
      <c r="E44" s="1835"/>
      <c r="F44" s="1835"/>
      <c r="G44" s="1835"/>
      <c r="H44" s="1835"/>
      <c r="I44" s="1835"/>
      <c r="J44" s="1835"/>
      <c r="K44" s="1834"/>
      <c r="L44" s="1834"/>
      <c r="M44" s="1834"/>
      <c r="N44" s="1834"/>
      <c r="O44" s="1834"/>
      <c r="P44" s="1834"/>
      <c r="Q44" s="1834"/>
      <c r="R44" s="1834"/>
      <c r="S44" s="1834"/>
      <c r="T44" s="1800" t="s">
        <v>727</v>
      </c>
      <c r="U44" s="1800"/>
      <c r="V44" s="1800"/>
      <c r="W44" s="1800"/>
      <c r="X44" s="1800" t="s">
        <v>728</v>
      </c>
      <c r="Y44" s="1800"/>
      <c r="Z44" s="1800"/>
      <c r="AA44" s="1801"/>
    </row>
    <row r="45" spans="1:27" ht="16" customHeight="1" x14ac:dyDescent="0.35">
      <c r="A45" s="1133">
        <f>IF(TRIM(H45)="","",IF(Data!CX60&gt;0,IF(Data!CX60&lt;&gt;"", Data!CX60, " ")," "))</f>
        <v>1</v>
      </c>
      <c r="B45" s="1126"/>
      <c r="C45" s="1799">
        <f>IF(Data!L5&lt;&gt;1,IF(Quotation!$W$27=550,0,IF('Eng. Cutter Entry'!$C$4&lt;&gt;"",IF(Data!E12&gt;0,IF(Data!E12&lt;&gt;"", Data!E12,0),0),'ARDT Cutter Entry'!AQ2+'ARDT Cutter Entry'!AQ3+'ARDT Cutter Entry'!AQ4+'ARDT Cutter Entry'!AQ5)),"")</f>
        <v>8</v>
      </c>
      <c r="D45" s="1799"/>
      <c r="E45" s="1799">
        <f>IF(Data!GK2&gt;0,IF(Data!GK2&lt;&gt;"",Data!GK2," ")," ")</f>
        <v>1613</v>
      </c>
      <c r="F45" s="1799"/>
      <c r="G45" s="1799"/>
      <c r="H45" s="1799">
        <f>IF(Data!GG2&gt;0,IF(Data!GG2&lt;&gt;"",IF(Data!GG2&lt;&gt;"Add the cutter in list",Data!GG2," ")," "),"")</f>
        <v>1130198</v>
      </c>
      <c r="I45" s="1799"/>
      <c r="J45" s="1799"/>
      <c r="K45" s="1558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5" s="1558"/>
      <c r="M45" s="1558"/>
      <c r="N45" s="1558"/>
      <c r="O45" s="1799" t="str">
        <f>IF(AND(Data!GR2&lt;&gt;"",Data!GR2&lt;&gt;0),Data!GR2,"")</f>
        <v/>
      </c>
      <c r="P45" s="1799"/>
      <c r="Q45" s="1799"/>
      <c r="R45" s="1799"/>
      <c r="S45" s="1799"/>
      <c r="T45" s="1800" t="str">
        <f>IF(Data!L12=0,"",Data!L12)</f>
        <v/>
      </c>
      <c r="U45" s="1800"/>
      <c r="V45" s="1800"/>
      <c r="W45" s="1800"/>
      <c r="X45" s="1800" t="str">
        <f>IF(Data!M12&lt;&gt;"",Data!M12,IF(IFERROR(C45-T45,C45)=0,"",IFERROR(C45-T45,C45)))</f>
        <v>[RTRO 8]</v>
      </c>
      <c r="Y45" s="1800"/>
      <c r="Z45" s="1800"/>
      <c r="AA45" s="1801"/>
    </row>
    <row r="46" spans="1:27" ht="16" customHeight="1" x14ac:dyDescent="0.35">
      <c r="A46" s="1133">
        <f>IF(TRIM(H46)="","",IF(Data!CX61&gt;0,IF(Data!CX61&lt;&gt;"", Data!CX61, " ")," "))</f>
        <v>2</v>
      </c>
      <c r="B46" s="1126"/>
      <c r="C46" s="1799">
        <f>IF(Data!L5&lt;&gt;1,IF(Quotation!$W$27=550,0,IF('Eng. Cutter Entry'!$C$4&lt;&gt;"",IF(Data!E13&gt;0,IF(Data!E13&lt;&gt;"", Data!E13, 0),0),'ARDT Cutter Entry'!AR2+'ARDT Cutter Entry'!AR3+'ARDT Cutter Entry'!AR4+'ARDT Cutter Entry'!AR5)),"")</f>
        <v>3</v>
      </c>
      <c r="D46" s="1799"/>
      <c r="E46" s="1799">
        <f>IF(Data!GK3&gt;0,IF(Data!GK3&lt;&gt;"",Data!GK3," ")," ")</f>
        <v>1608</v>
      </c>
      <c r="F46" s="1799"/>
      <c r="G46" s="1799"/>
      <c r="H46" s="1799">
        <f>IF(Data!GG3&gt;0,IF(Data!GG3&lt;&gt;"",IF(Data!GG3&lt;&gt;"Add the cutter in list",Data!GG3," ")," "),"")</f>
        <v>647435</v>
      </c>
      <c r="I46" s="1799"/>
      <c r="J46" s="1799"/>
      <c r="K46" s="1558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6" s="1558"/>
      <c r="M46" s="1558"/>
      <c r="N46" s="1558"/>
      <c r="O46" s="1799" t="str">
        <f>IF(AND(Data!GR3&lt;&gt;"",Data!GR3&lt;&gt;0),Data!GR3,"")</f>
        <v/>
      </c>
      <c r="P46" s="1799"/>
      <c r="Q46" s="1799"/>
      <c r="R46" s="1799"/>
      <c r="S46" s="1799"/>
      <c r="T46" s="1800" t="str">
        <f>IF(Data!L13=0,"",Data!L13)</f>
        <v/>
      </c>
      <c r="U46" s="1800"/>
      <c r="V46" s="1800"/>
      <c r="W46" s="1800"/>
      <c r="X46" s="1800" t="str">
        <f>IF(Data!M13&lt;&gt;"",Data!M13,IF(IFERROR(C46-T46,C46)=0,"",IFERROR(C46-T46,C46)))</f>
        <v>[ ENO 3]</v>
      </c>
      <c r="Y46" s="1800"/>
      <c r="Z46" s="1800"/>
      <c r="AA46" s="1801"/>
    </row>
    <row r="47" spans="1:27" ht="16" customHeight="1" x14ac:dyDescent="0.35">
      <c r="A47" s="1133">
        <f>IF(TRIM(H47)="","",IF(Data!CX62&gt;0,IF(Data!CX62&lt;&gt;"", Data!CX62, " ")," "))</f>
        <v>3</v>
      </c>
      <c r="B47" s="1126"/>
      <c r="C47" s="1799">
        <f>IF(Data!L5&lt;&gt;1,IF(Quotation!$W$27=550,0,IF('Eng. Cutter Entry'!$C$4&lt;&gt;"",IF(Data!E14&gt;0,IF(Data!E14&lt;&gt;"", Data!E14, 0),0),'ARDT Cutter Entry'!AS2+'ARDT Cutter Entry'!AS3+'ARDT Cutter Entry'!AS4+'ARDT Cutter Entry'!AS5)),"")</f>
        <v>6</v>
      </c>
      <c r="D47" s="1799"/>
      <c r="E47" s="1799">
        <f>IF(Data!GK4&gt;0,IF(Data!GK4&lt;&gt;"",Data!GK4," ")," ")</f>
        <v>1308</v>
      </c>
      <c r="F47" s="1799"/>
      <c r="G47" s="1799"/>
      <c r="H47" s="1799">
        <f>IF(Data!GG4&gt;0,IF(Data!GG4&lt;&gt;"",IF(Data!GG4&lt;&gt;"Add the cutter in list",Data!GG4," ")," "),"")</f>
        <v>418525</v>
      </c>
      <c r="I47" s="1799"/>
      <c r="J47" s="1799"/>
      <c r="K47" s="1558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7" s="1558"/>
      <c r="M47" s="1558"/>
      <c r="N47" s="1558"/>
      <c r="O47" s="1799" t="str">
        <f>IF(AND(Data!GR4&lt;&gt;"",Data!GR4&lt;&gt;0),Data!GR4,"")</f>
        <v/>
      </c>
      <c r="P47" s="1799"/>
      <c r="Q47" s="1799"/>
      <c r="R47" s="1799"/>
      <c r="S47" s="1799"/>
      <c r="T47" s="1800" t="str">
        <f>IF(Data!L14=0,"",Data!L14)</f>
        <v/>
      </c>
      <c r="U47" s="1800"/>
      <c r="V47" s="1800"/>
      <c r="W47" s="1800"/>
      <c r="X47" s="1800">
        <f>IF(Data!M14&lt;&gt;"",Data!M14,IF(IFERROR(C47-T47,C47)=0,"",IFERROR(C47-T47,C47)))</f>
        <v>6</v>
      </c>
      <c r="Y47" s="1800"/>
      <c r="Z47" s="1800"/>
      <c r="AA47" s="1801"/>
    </row>
    <row r="48" spans="1:27" ht="16" customHeight="1" x14ac:dyDescent="0.35">
      <c r="A48" s="1133" t="str">
        <f>IF(TRIM(H48)="","",IF(Data!CX63&gt;0,IF(Data!CX63&lt;&gt;"", Data!CX63, " ")," "))</f>
        <v/>
      </c>
      <c r="B48" s="1126"/>
      <c r="C48" s="1799">
        <f>IF(Data!L5&lt;&gt;1,IF(Quotation!$W$27=550,0,IF('Eng. Cutter Entry'!$C$4&lt;&gt;"",IF(Data!E15&gt;0,IF(Data!E15&lt;&gt;"", Data!E15, 0),0),'ARDT Cutter Entry'!AT2+'ARDT Cutter Entry'!AT3+'ARDT Cutter Entry'!AT4+'ARDT Cutter Entry'!AT5)),"")</f>
        <v>0</v>
      </c>
      <c r="D48" s="1799"/>
      <c r="E48" s="1799" t="str">
        <f>IF(Data!GK5&gt;0,IF(Data!GK5&lt;&gt;"",Data!GK5," ")," ")</f>
        <v xml:space="preserve"> </v>
      </c>
      <c r="F48" s="1799"/>
      <c r="G48" s="1799"/>
      <c r="H48" s="1799" t="str">
        <f>IF(Data!GG5&gt;0,IF(Data!GG5&lt;&gt;"",IF(Data!GG5&lt;&gt;"Add the cutter in list",Data!GG5," ")," "),"")</f>
        <v xml:space="preserve"> </v>
      </c>
      <c r="I48" s="1799"/>
      <c r="J48" s="1799"/>
      <c r="K48" s="1558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48" s="1558"/>
      <c r="M48" s="1558"/>
      <c r="N48" s="1558"/>
      <c r="O48" s="1799" t="str">
        <f>IF(AND(Data!GR5&lt;&gt;"",Data!GR5&lt;&gt;0),Data!GR5,"")</f>
        <v/>
      </c>
      <c r="P48" s="1799"/>
      <c r="Q48" s="1799"/>
      <c r="R48" s="1799"/>
      <c r="S48" s="1799"/>
      <c r="T48" s="1800" t="str">
        <f>IF(Data!L15=0,"",Data!L15)</f>
        <v/>
      </c>
      <c r="U48" s="1800"/>
      <c r="V48" s="1800"/>
      <c r="W48" s="1800"/>
      <c r="X48" s="1800" t="str">
        <f>IF(Data!M15&lt;&gt;"",Data!M15,IF(IFERROR(C48-T48,C48)=0,"",IFERROR(C48-T48,C48)))</f>
        <v/>
      </c>
      <c r="Y48" s="1800"/>
      <c r="Z48" s="1800"/>
      <c r="AA48" s="1801"/>
    </row>
    <row r="49" spans="1:34" ht="16" customHeight="1" x14ac:dyDescent="0.35">
      <c r="A49" s="1133" t="str">
        <f>IF(TRIM(H49)="","",IF(Data!CX64&gt;0,IF(Data!CX64&lt;&gt;"", Data!CX64, " ")," "))</f>
        <v/>
      </c>
      <c r="B49" s="1126"/>
      <c r="C49" s="1799">
        <f>IF(Data!L5&lt;&gt;1,IF(Quotation!$W$27=550,0,IF('Eng. Cutter Entry'!$C$4&lt;&gt;"",IF(Data!E16&gt;0,IF(Data!E16&lt;&gt;"", Data!E16, 0),0),'ARDT Cutter Entry'!AU2+'ARDT Cutter Entry'!AU3+'ARDT Cutter Entry'!AU4+'ARDT Cutter Entry'!AU5)),"")</f>
        <v>0</v>
      </c>
      <c r="D49" s="1799"/>
      <c r="E49" s="1799" t="str">
        <f>IF(Data!GK6&gt;0,IF(Data!GK6&lt;&gt;"",Data!GK6," ")," ")</f>
        <v xml:space="preserve"> </v>
      </c>
      <c r="F49" s="1799"/>
      <c r="G49" s="1799"/>
      <c r="H49" s="1799" t="str">
        <f>IF(Data!GG6&gt;0,IF(Data!GG6&lt;&gt;"",IF(Data!GG6&lt;&gt;"Add the cutter in list",Data!GG6," ")," "),"")</f>
        <v xml:space="preserve"> </v>
      </c>
      <c r="I49" s="1799"/>
      <c r="J49" s="1799"/>
      <c r="K49" s="1558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9" s="1558"/>
      <c r="M49" s="1558"/>
      <c r="N49" s="1558"/>
      <c r="O49" s="1799" t="str">
        <f>IF(AND(Data!GR6&lt;&gt;"",Data!GR6&lt;&gt;0),Data!GR6,"")</f>
        <v/>
      </c>
      <c r="P49" s="1799"/>
      <c r="Q49" s="1799"/>
      <c r="R49" s="1799"/>
      <c r="S49" s="1799"/>
      <c r="T49" s="1800" t="str">
        <f>IF(Data!L16=0,"",Data!L16)</f>
        <v/>
      </c>
      <c r="U49" s="1800"/>
      <c r="V49" s="1800"/>
      <c r="W49" s="1800"/>
      <c r="X49" s="1800" t="str">
        <f>IF(Data!M16&lt;&gt;"",Data!M16,IF(IFERROR(C49-T49,C49)=0,"",IFERROR(C49-T49,C49)))</f>
        <v/>
      </c>
      <c r="Y49" s="1800"/>
      <c r="Z49" s="1800"/>
      <c r="AA49" s="1801"/>
    </row>
    <row r="50" spans="1:34" ht="16" customHeight="1" x14ac:dyDescent="0.35">
      <c r="A50" s="1133" t="str">
        <f>IF(TRIM(H50)="","",IF(Data!CX65&gt;0,IF(Data!CX65&lt;&gt;"", Data!CX65, " ")," "))</f>
        <v/>
      </c>
      <c r="B50" s="1126"/>
      <c r="C50" s="1799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799"/>
      <c r="E50" s="1799" t="str">
        <f>IF(Data!GK7&gt;0,IF(Data!GK7&lt;&gt;"",Data!GK7," ")," ")</f>
        <v xml:space="preserve"> </v>
      </c>
      <c r="F50" s="1799"/>
      <c r="G50" s="1799"/>
      <c r="H50" s="1799" t="str">
        <f>IF(Data!GG7&gt;0,IF(Data!GG7&lt;&gt;"",IF(Data!GG7&lt;&gt;"Add the cutter in list",Data!GG7," ")," "),"")</f>
        <v xml:space="preserve"> </v>
      </c>
      <c r="I50" s="1799"/>
      <c r="J50" s="1799"/>
      <c r="K50" s="1558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558"/>
      <c r="M50" s="1558"/>
      <c r="N50" s="1558"/>
      <c r="O50" s="1799" t="str">
        <f>IF(AND(Data!GR7&lt;&gt;"",Data!GR7&lt;&gt;0),Data!GR7,"")</f>
        <v/>
      </c>
      <c r="P50" s="1799"/>
      <c r="Q50" s="1799"/>
      <c r="R50" s="1799"/>
      <c r="S50" s="1799"/>
      <c r="T50" s="1800" t="str">
        <f>IF(Data!L17=0,"",Data!L17)</f>
        <v/>
      </c>
      <c r="U50" s="1800"/>
      <c r="V50" s="1800"/>
      <c r="W50" s="1800"/>
      <c r="X50" s="1800" t="str">
        <f>IF(Data!M17&lt;&gt;"",Data!M17,IF(IFERROR(C50-T50,C50)=0,"",IFERROR(C50-T50,C50)))</f>
        <v/>
      </c>
      <c r="Y50" s="1800"/>
      <c r="Z50" s="1800"/>
      <c r="AA50" s="1801"/>
    </row>
    <row r="51" spans="1:34" ht="16" customHeight="1" x14ac:dyDescent="0.35">
      <c r="A51" s="1133" t="str">
        <f>IF(TRIM(H51)="","",IF(Data!CX66&gt;0,IF(Data!CX66&lt;&gt;"", Data!CX66, " ")," "))</f>
        <v/>
      </c>
      <c r="B51" s="1126"/>
      <c r="C51" s="1799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799"/>
      <c r="E51" s="1799" t="str">
        <f>IF(Data!GK8&gt;0,IF(Data!GK8&lt;&gt;"",Data!GK8," ")," ")</f>
        <v xml:space="preserve"> </v>
      </c>
      <c r="F51" s="1799"/>
      <c r="G51" s="1799"/>
      <c r="H51" s="1799" t="str">
        <f>IF(Data!GG8&gt;0,IF(Data!GG8&lt;&gt;"",IF(Data!GG8&lt;&gt;"Add the cutter in list",Data!GG8," ")," "),"")</f>
        <v xml:space="preserve"> </v>
      </c>
      <c r="I51" s="1799"/>
      <c r="J51" s="1799"/>
      <c r="K51" s="1558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558"/>
      <c r="M51" s="1558"/>
      <c r="N51" s="1558"/>
      <c r="O51" s="1799" t="str">
        <f>IF(AND(Data!GR8&lt;&gt;"",Data!GR8&lt;&gt;0),Data!GR8,"")</f>
        <v/>
      </c>
      <c r="P51" s="1799"/>
      <c r="Q51" s="1799"/>
      <c r="R51" s="1799"/>
      <c r="S51" s="1799"/>
      <c r="T51" s="1800" t="str">
        <f>IF(Data!L18=0,"",Data!L18)</f>
        <v/>
      </c>
      <c r="U51" s="1800"/>
      <c r="V51" s="1800"/>
      <c r="W51" s="1800"/>
      <c r="X51" s="1800" t="str">
        <f>IF(Data!M18&lt;&gt;"",Data!M18,IF(IFERROR(C51-T51,C51)=0,"",IFERROR(C51-T51,C51)))</f>
        <v/>
      </c>
      <c r="Y51" s="1800"/>
      <c r="Z51" s="1800"/>
      <c r="AA51" s="1801"/>
    </row>
    <row r="52" spans="1:34" ht="16" customHeight="1" x14ac:dyDescent="0.35">
      <c r="A52" s="1802" t="str">
        <f>IF(TRIM(H52)="","",IF(Data!CX67&gt;0,IF(Data!CX67&lt;&gt;"", Data!CX67, " ")," "))</f>
        <v/>
      </c>
      <c r="B52" s="1803"/>
      <c r="C52" s="1799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799"/>
      <c r="E52" s="1799" t="str">
        <f>IF(Data!GK9&gt;0,IF(Data!GK9&lt;&gt;"",Data!GK9," ")," ")</f>
        <v xml:space="preserve"> </v>
      </c>
      <c r="F52" s="1799"/>
      <c r="G52" s="1799"/>
      <c r="H52" s="1799" t="str">
        <f>IF(Data!GG9&gt;0,IF(Data!GG9&lt;&gt;"",IF(Data!GG9&lt;&gt;"Add the cutter in list",Data!GG9," ")," "),"")</f>
        <v xml:space="preserve"> </v>
      </c>
      <c r="I52" s="1799"/>
      <c r="J52" s="1799"/>
      <c r="K52" s="1558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558"/>
      <c r="M52" s="1558"/>
      <c r="N52" s="1558"/>
      <c r="O52" s="1799" t="str">
        <f>IF(AND(Data!GR9&lt;&gt;"",Data!GR9&lt;&gt;0),Data!GR9,"")</f>
        <v/>
      </c>
      <c r="P52" s="1799"/>
      <c r="Q52" s="1799"/>
      <c r="R52" s="1799"/>
      <c r="S52" s="1799"/>
      <c r="T52" s="1800" t="str">
        <f>IF(Data!L19=0,"",Data!L19)</f>
        <v/>
      </c>
      <c r="U52" s="1800"/>
      <c r="V52" s="1800"/>
      <c r="W52" s="1800"/>
      <c r="X52" s="1800" t="str">
        <f>IF(Data!M19&lt;&gt;"",Data!M19,IF(IFERROR(C52-T52,C52)=0,"",IFERROR(C52-T52,C52)))</f>
        <v/>
      </c>
      <c r="Y52" s="1800"/>
      <c r="Z52" s="1800"/>
      <c r="AA52" s="1801"/>
    </row>
    <row r="53" spans="1:34" ht="15.75" customHeight="1" x14ac:dyDescent="0.35">
      <c r="A53" s="1804" t="str">
        <f>IF(TRIM(H53)="","",IF(Data!CX68&gt;0,IF(Data!CX68&lt;&gt;"", Data!CX68, " ")," "))</f>
        <v/>
      </c>
      <c r="B53" s="1805"/>
      <c r="C53" s="1799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799"/>
      <c r="E53" s="1799" t="str">
        <f>IF(Data!GK10&gt;0,IF(Data!GK10&lt;&gt;"",Data!GK10," ")," ")</f>
        <v xml:space="preserve"> </v>
      </c>
      <c r="F53" s="1799"/>
      <c r="G53" s="1799"/>
      <c r="H53" s="1799" t="str">
        <f>IF(Data!GG10&gt;0,IF(Data!GG10&lt;&gt;"",IF(Data!GG10&lt;&gt;"Add the cutter in list",Data!GG10," ")," "),"")</f>
        <v xml:space="preserve"> </v>
      </c>
      <c r="I53" s="1799"/>
      <c r="J53" s="1799"/>
      <c r="K53" s="1558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558"/>
      <c r="M53" s="1558"/>
      <c r="N53" s="1558"/>
      <c r="O53" s="1799" t="str">
        <f>IF(AND(Data!GR10&lt;&gt;"",Data!GR10&lt;&gt;0),Data!GR10,"")</f>
        <v/>
      </c>
      <c r="P53" s="1799"/>
      <c r="Q53" s="1799"/>
      <c r="R53" s="1799"/>
      <c r="S53" s="1799"/>
      <c r="T53" s="1800" t="str">
        <f>IF(Data!L20=0,"",Data!L20)</f>
        <v/>
      </c>
      <c r="U53" s="1800"/>
      <c r="V53" s="1800"/>
      <c r="W53" s="1800"/>
      <c r="X53" s="1800" t="str">
        <f>IF(Data!M20&lt;&gt;"",Data!M20,IF(IFERROR(C53-T53,C53)=0,"",IFERROR(C53-T53,C53)))</f>
        <v/>
      </c>
      <c r="Y53" s="1800"/>
      <c r="Z53" s="1800"/>
      <c r="AA53" s="1801"/>
    </row>
    <row r="54" spans="1:34" ht="15.75" customHeight="1" x14ac:dyDescent="0.35">
      <c r="A54" s="1797" t="str">
        <f>IF(TRIM(H54)="","",IF(Data!CX69&gt;0,IF(Data!CX69&lt;&gt;"", Data!CX69, " ")," "))</f>
        <v/>
      </c>
      <c r="B54" s="1798"/>
      <c r="C54" s="1799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799"/>
      <c r="E54" s="1799" t="str">
        <f>IF(Data!GK11&gt;0,IF(Data!GK11&lt;&gt;"",Data!GK11," ")," ")</f>
        <v xml:space="preserve"> </v>
      </c>
      <c r="F54" s="1799"/>
      <c r="G54" s="1799"/>
      <c r="H54" s="1799" t="str">
        <f>IF(Data!GG11&gt;0,IF(Data!GG11&lt;&gt;"",IF(Data!GG11&lt;&gt;"Add the cutter in list",Data!GG11," ")," "),"")</f>
        <v xml:space="preserve"> </v>
      </c>
      <c r="I54" s="1799"/>
      <c r="J54" s="1799"/>
      <c r="K54" s="1558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558"/>
      <c r="M54" s="1558"/>
      <c r="N54" s="1558"/>
      <c r="O54" s="1799" t="str">
        <f>IF(AND(Data!GR11&lt;&gt;"",Data!GR11&lt;&gt;0),Data!GR11,"")</f>
        <v/>
      </c>
      <c r="P54" s="1799"/>
      <c r="Q54" s="1799"/>
      <c r="R54" s="1799"/>
      <c r="S54" s="1799"/>
      <c r="T54" s="1800" t="str">
        <f>IF(Data!L21=0,"",Data!L21)</f>
        <v/>
      </c>
      <c r="U54" s="1800"/>
      <c r="V54" s="1800"/>
      <c r="W54" s="1800"/>
      <c r="X54" s="1800" t="str">
        <f>IF(Data!M21&lt;&gt;"",Data!M21,IF(IFERROR(C54-T54,C54)=0,"",IFERROR(C54-T54,C54)))</f>
        <v/>
      </c>
      <c r="Y54" s="1800"/>
      <c r="Z54" s="1800"/>
      <c r="AA54" s="1801"/>
    </row>
    <row r="55" spans="1:34" ht="15.75" customHeight="1" x14ac:dyDescent="0.35">
      <c r="A55" s="1797" t="str">
        <f>IF(TRIM(H55)="","",IF(Data!CX70&gt;0,IF(Data!CX70&lt;&gt;"", Data!CX70, " ")," "))</f>
        <v/>
      </c>
      <c r="B55" s="1798"/>
      <c r="C55" s="1799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799"/>
      <c r="E55" s="1799" t="str">
        <f>IF(Data!GK12&gt;0,IF(Data!GK12&lt;&gt;"",Data!GK12," ")," ")</f>
        <v xml:space="preserve"> </v>
      </c>
      <c r="F55" s="1799"/>
      <c r="G55" s="1799"/>
      <c r="H55" s="1799" t="str">
        <f>IF(Data!GG12&gt;0,IF(Data!GG12&lt;&gt;"",IF(Data!GG12&lt;&gt;"Add the cutter in list",Data!GG12," ")," "),"")</f>
        <v xml:space="preserve"> </v>
      </c>
      <c r="I55" s="1799"/>
      <c r="J55" s="1799"/>
      <c r="K55" s="1558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558"/>
      <c r="M55" s="1558"/>
      <c r="N55" s="1558"/>
      <c r="O55" s="1799" t="str">
        <f>IF(AND(Data!GR12&lt;&gt;"",Data!GR12&lt;&gt;0),Data!GR12,"")</f>
        <v/>
      </c>
      <c r="P55" s="1799"/>
      <c r="Q55" s="1799"/>
      <c r="R55" s="1799"/>
      <c r="S55" s="1799"/>
      <c r="T55" s="1800" t="str">
        <f>IF(Data!L22=0,"",Data!L22)</f>
        <v/>
      </c>
      <c r="U55" s="1800"/>
      <c r="V55" s="1800"/>
      <c r="W55" s="1800"/>
      <c r="X55" s="1800" t="str">
        <f>IF(Data!M22&lt;&gt;"",Data!M22,IF(IFERROR(C55-T55,C55)=0,"",IFERROR(C55-T55,C55)))</f>
        <v/>
      </c>
      <c r="Y55" s="1800"/>
      <c r="Z55" s="1800"/>
      <c r="AA55" s="1801"/>
    </row>
    <row r="56" spans="1:34" ht="15.75" customHeight="1" x14ac:dyDescent="0.35">
      <c r="A56" s="1797" t="str">
        <f>IF(TRIM(H56)="","",IF(Data!CX71&gt;0,IF(Data!CX71&lt;&gt;"", Data!CX71, " ")," "))</f>
        <v/>
      </c>
      <c r="B56" s="1798"/>
      <c r="C56" s="1799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799"/>
      <c r="E56" s="1799" t="str">
        <f>IF(Data!GK13&gt;0,IF(Data!GK13&lt;&gt;"",Data!GK13," ")," ")</f>
        <v xml:space="preserve"> </v>
      </c>
      <c r="F56" s="1799"/>
      <c r="G56" s="1799"/>
      <c r="H56" s="1799" t="str">
        <f>IF(Data!GG13&gt;0,IF(Data!GG13&lt;&gt;"",IF(Data!GG13&lt;&gt;"Add the cutter in list",Data!GG13," ")," "),"")</f>
        <v xml:space="preserve"> </v>
      </c>
      <c r="I56" s="1799"/>
      <c r="J56" s="1799"/>
      <c r="K56" s="1558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558"/>
      <c r="M56" s="1558"/>
      <c r="N56" s="1558"/>
      <c r="O56" s="1799" t="str">
        <f>IF(AND(Data!GR13&lt;&gt;"",Data!GR13&lt;&gt;0),Data!GR13,"")</f>
        <v/>
      </c>
      <c r="P56" s="1799"/>
      <c r="Q56" s="1799"/>
      <c r="R56" s="1799"/>
      <c r="S56" s="1799"/>
      <c r="T56" s="1800" t="str">
        <f>IF(Data!L23=0,"",Data!L23)</f>
        <v/>
      </c>
      <c r="U56" s="1800"/>
      <c r="V56" s="1800"/>
      <c r="W56" s="1800"/>
      <c r="X56" s="1800" t="str">
        <f>IF(Data!M23&lt;&gt;"",Data!M23,IF(IFERROR(C56-T56,C56)=0,"",IFERROR(C56-T56,C56)))</f>
        <v/>
      </c>
      <c r="Y56" s="1800"/>
      <c r="Z56" s="1800"/>
      <c r="AA56" s="1801"/>
    </row>
    <row r="57" spans="1:34" ht="15.75" customHeight="1" x14ac:dyDescent="0.35">
      <c r="A57" s="1797" t="str">
        <f>IF(TRIM(H57)="","",IF(Data!CX72&gt;0,IF(Data!CX72&lt;&gt;"", Data!CX72, " ")," "))</f>
        <v/>
      </c>
      <c r="B57" s="1798"/>
      <c r="C57" s="1799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799"/>
      <c r="E57" s="1799" t="str">
        <f>IF(Data!GK14&gt;0,IF(Data!GK14&lt;&gt;"",Data!GK14," ")," ")</f>
        <v xml:space="preserve"> </v>
      </c>
      <c r="F57" s="1799"/>
      <c r="G57" s="1799"/>
      <c r="H57" s="1799" t="str">
        <f>IF(Data!GG14&gt;0,IF(Data!GG14&lt;&gt;"",IF(Data!GG14&lt;&gt;"Add the cutter in list",Data!GG14," ")," "),"")</f>
        <v xml:space="preserve"> </v>
      </c>
      <c r="I57" s="1799"/>
      <c r="J57" s="1799"/>
      <c r="K57" s="1558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558"/>
      <c r="M57" s="1558"/>
      <c r="N57" s="1558"/>
      <c r="O57" s="1799" t="str">
        <f>IF(AND(Data!GR14&lt;&gt;"",Data!GR14&lt;&gt;0),Data!GR14,"")</f>
        <v/>
      </c>
      <c r="P57" s="1799"/>
      <c r="Q57" s="1799"/>
      <c r="R57" s="1799"/>
      <c r="S57" s="1799"/>
      <c r="T57" s="1800" t="str">
        <f>IF(Data!L24=0,"",Data!L24)</f>
        <v/>
      </c>
      <c r="U57" s="1800"/>
      <c r="V57" s="1800"/>
      <c r="W57" s="1800"/>
      <c r="X57" s="1800" t="str">
        <f>IF(Data!M24&lt;&gt;"",Data!M24,IF(IFERROR(C57-T57,C57)=0,"",IFERROR(C57-T57,C57)))</f>
        <v/>
      </c>
      <c r="Y57" s="1800"/>
      <c r="Z57" s="1800"/>
      <c r="AA57" s="1801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35">
      <c r="A58" s="1797" t="str">
        <f>IF(TRIM(H58)="","",IF(Data!CX73&gt;0,IF(Data!CX73&lt;&gt;"", Data!CX73, " ")," "))</f>
        <v/>
      </c>
      <c r="B58" s="1798"/>
      <c r="C58" s="1799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799"/>
      <c r="E58" s="1799" t="str">
        <f>IF(Data!GK15&gt;0,IF(Data!GK15&lt;&gt;"",Data!GK15," ")," ")</f>
        <v xml:space="preserve"> </v>
      </c>
      <c r="F58" s="1799"/>
      <c r="G58" s="1799"/>
      <c r="H58" s="1799" t="str">
        <f>IF(Data!GG15&gt;0,IF(Data!GG15&lt;&gt;"",IF(Data!GG15&lt;&gt;"Add the cutter in list",Data!GG15," ")," "),"")</f>
        <v xml:space="preserve"> </v>
      </c>
      <c r="I58" s="1799"/>
      <c r="J58" s="1799"/>
      <c r="K58" s="1558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558"/>
      <c r="M58" s="1558"/>
      <c r="N58" s="1558"/>
      <c r="O58" s="1799" t="str">
        <f>IF(AND(Data!GR15&lt;&gt;"",Data!GR15&lt;&gt;0),Data!GR15,"")</f>
        <v/>
      </c>
      <c r="P58" s="1799"/>
      <c r="Q58" s="1799"/>
      <c r="R58" s="1799"/>
      <c r="S58" s="1799"/>
      <c r="T58" s="1800" t="str">
        <f>IF(Data!L25=0,"",Data!L25)</f>
        <v/>
      </c>
      <c r="U58" s="1800"/>
      <c r="V58" s="1800"/>
      <c r="W58" s="1800"/>
      <c r="X58" s="1800" t="str">
        <f>IF(Data!M25&lt;&gt;"",Data!M25,IF(IFERROR(C58-T58,C58)=0,"",IFERROR(C58-T58,C58)))</f>
        <v/>
      </c>
      <c r="Y58" s="1800"/>
      <c r="Z58" s="1800"/>
      <c r="AA58" s="1801"/>
      <c r="AH58">
        <f>AF57*AG57</f>
        <v>13.004799999999999</v>
      </c>
    </row>
    <row r="59" spans="1:34" ht="15.75" customHeight="1" x14ac:dyDescent="0.35">
      <c r="A59" s="1797" t="str">
        <f>IF(TRIM(H59)="","",IF(Data!CX74&gt;0,IF(Data!CX74&lt;&gt;"", Data!CX74, " ")," "))</f>
        <v/>
      </c>
      <c r="B59" s="1798"/>
      <c r="C59" s="1799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799"/>
      <c r="E59" s="1799" t="str">
        <f>IF(Data!GK16&gt;0,IF(Data!GK16&lt;&gt;"",Data!GK16," ")," ")</f>
        <v xml:space="preserve"> </v>
      </c>
      <c r="F59" s="1799"/>
      <c r="G59" s="1799"/>
      <c r="H59" s="1799" t="str">
        <f>IF(Data!GG16&gt;0,IF(Data!GG16&lt;&gt;"",IF(Data!GG16&lt;&gt;"Add the cutter in list",Data!GG16," ")," "),"")</f>
        <v xml:space="preserve"> </v>
      </c>
      <c r="I59" s="1799"/>
      <c r="J59" s="1799"/>
      <c r="K59" s="1558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558"/>
      <c r="M59" s="1558"/>
      <c r="N59" s="1558"/>
      <c r="O59" s="1799" t="str">
        <f>IF(AND(Data!GR16&lt;&gt;"",Data!GR16&lt;&gt;0),Data!GR16,"")</f>
        <v/>
      </c>
      <c r="P59" s="1799"/>
      <c r="Q59" s="1799"/>
      <c r="R59" s="1799"/>
      <c r="S59" s="1799"/>
      <c r="T59" s="1800" t="str">
        <f>IF(Data!L26=0,"",Data!L26)</f>
        <v/>
      </c>
      <c r="U59" s="1800"/>
      <c r="V59" s="1800"/>
      <c r="W59" s="1800"/>
      <c r="X59" s="1800" t="str">
        <f>IF(Data!M26&lt;&gt;"",Data!M26,IF(IFERROR(C59-T59,C59)=0,"",IFERROR(C59-T59,C59)))</f>
        <v/>
      </c>
      <c r="Y59" s="1800"/>
      <c r="Z59" s="1800"/>
      <c r="AA59" s="1801"/>
      <c r="AH59">
        <f>7.75/3.75</f>
        <v>2.0666666666666669</v>
      </c>
    </row>
    <row r="60" spans="1:34" ht="15.75" customHeight="1" x14ac:dyDescent="0.35">
      <c r="A60" s="1797" t="str">
        <f>IF(TRIM(H60)="","",IF(Data!CX75&gt;0,IF(Data!CX75&lt;&gt;"", Data!CX75, " ")," "))</f>
        <v/>
      </c>
      <c r="B60" s="1798"/>
      <c r="C60" s="1799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799"/>
      <c r="E60" s="1799" t="str">
        <f>IF(Data!GK17&gt;0,IF(Data!GK17&lt;&gt;"",Data!GK17," ")," ")</f>
        <v xml:space="preserve"> </v>
      </c>
      <c r="F60" s="1799"/>
      <c r="G60" s="1799"/>
      <c r="H60" s="1799" t="str">
        <f>IF(Data!GG17&gt;0,IF(Data!GG17&lt;&gt;"",IF(Data!GG17&lt;&gt;"Add the cutter in list",Data!GG17," ")," "),"")</f>
        <v xml:space="preserve"> </v>
      </c>
      <c r="I60" s="1799"/>
      <c r="J60" s="1799"/>
      <c r="K60" s="1558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558"/>
      <c r="M60" s="1558"/>
      <c r="N60" s="1558"/>
      <c r="O60" s="1799" t="str">
        <f>IF(AND(Data!GR17&lt;&gt;"",Data!GR17&lt;&gt;0),Data!GR17,"")</f>
        <v/>
      </c>
      <c r="P60" s="1799"/>
      <c r="Q60" s="1799"/>
      <c r="R60" s="1799"/>
      <c r="S60" s="1799"/>
      <c r="T60" s="1800" t="str">
        <f>IF(Data!L27=0,"",Data!L27)</f>
        <v/>
      </c>
      <c r="U60" s="1800"/>
      <c r="V60" s="1800"/>
      <c r="W60" s="1800"/>
      <c r="X60" s="1800" t="str">
        <f>IF(Data!M27&lt;&gt;"",Data!M27,IF(IFERROR(C60-T60,C60)=0,"",IFERROR(C60-T60,C60)))</f>
        <v/>
      </c>
      <c r="Y60" s="1800"/>
      <c r="Z60" s="1800"/>
      <c r="AA60" s="1801"/>
    </row>
    <row r="61" spans="1:34" ht="15.75" customHeight="1" x14ac:dyDescent="0.35">
      <c r="A61" s="1797" t="str">
        <f>IF(TRIM(H61)="","",IF(Data!CX76&gt;0,IF(Data!CX76&lt;&gt;"", Data!CX76, " ")," "))</f>
        <v/>
      </c>
      <c r="B61" s="1798"/>
      <c r="C61" s="1799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799"/>
      <c r="E61" s="1799" t="str">
        <f>IF(Data!GK18&gt;0,IF(Data!GK18&lt;&gt;"",Data!GK18," ")," ")</f>
        <v xml:space="preserve"> </v>
      </c>
      <c r="F61" s="1799"/>
      <c r="G61" s="1799"/>
      <c r="H61" s="1799" t="str">
        <f>IF(Data!GG18&gt;0,IF(Data!GG18&lt;&gt;"",IF(Data!GG18&lt;&gt;"Add the cutter in list",Data!GG18," ")," "),"")</f>
        <v xml:space="preserve"> </v>
      </c>
      <c r="I61" s="1799"/>
      <c r="J61" s="1799"/>
      <c r="K61" s="1558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558"/>
      <c r="M61" s="1558"/>
      <c r="N61" s="1558"/>
      <c r="O61" s="1799" t="str">
        <f>IF(AND(Data!GR18&lt;&gt;"",Data!GR18&lt;&gt;0),Data!GR18,"")</f>
        <v/>
      </c>
      <c r="P61" s="1799"/>
      <c r="Q61" s="1799"/>
      <c r="R61" s="1799"/>
      <c r="S61" s="1799"/>
      <c r="T61" s="1800" t="str">
        <f>IF(Data!L28=0,"",Data!L28)</f>
        <v/>
      </c>
      <c r="U61" s="1800"/>
      <c r="V61" s="1800"/>
      <c r="W61" s="1800"/>
      <c r="X61" s="1800" t="str">
        <f>IF(Data!M28&lt;&gt;"",Data!M28,IF(IFERROR(C61-T61,C61)=0,"",IFERROR(C61-T61,C61)))</f>
        <v/>
      </c>
      <c r="Y61" s="1800"/>
      <c r="Z61" s="1800"/>
      <c r="AA61" s="1801"/>
    </row>
    <row r="62" spans="1:34" ht="16" customHeight="1" thickBot="1" x14ac:dyDescent="0.4">
      <c r="A62" s="1850" t="s">
        <v>21</v>
      </c>
      <c r="B62" s="1847"/>
      <c r="C62" s="1847">
        <f>SUM(C45:D54)</f>
        <v>17</v>
      </c>
      <c r="D62" s="1847"/>
      <c r="E62" s="1847"/>
      <c r="F62" s="1847"/>
      <c r="G62" s="1847"/>
      <c r="H62" s="1847"/>
      <c r="I62" s="1847"/>
      <c r="J62" s="1847"/>
      <c r="K62" s="1847"/>
      <c r="L62" s="1847"/>
      <c r="M62" s="1847"/>
      <c r="N62" s="1847"/>
      <c r="O62" s="1847"/>
      <c r="P62" s="1847"/>
      <c r="Q62" s="1847"/>
      <c r="R62" s="1847"/>
      <c r="S62" s="1847"/>
      <c r="T62" s="1848">
        <f>SUM(T45:W54)</f>
        <v>0</v>
      </c>
      <c r="U62" s="1848"/>
      <c r="V62" s="1848"/>
      <c r="W62" s="1848"/>
      <c r="X62" s="1848">
        <f>SUM(X45:AA54)</f>
        <v>6</v>
      </c>
      <c r="Y62" s="1848"/>
      <c r="Z62" s="1848"/>
      <c r="AA62" s="1849"/>
    </row>
    <row r="63" spans="1:34" ht="5.15" customHeight="1" thickBot="1" x14ac:dyDescent="0.4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49999999999999" customHeight="1" thickBot="1" x14ac:dyDescent="0.4">
      <c r="A64" s="1655" t="s">
        <v>847</v>
      </c>
      <c r="B64" s="1655"/>
      <c r="C64" s="1655"/>
      <c r="D64" s="464" t="str">
        <f>IF(Data!G32=1,"",IF(Data!B5&lt;&gt;"",IF(OR(D68="√",D66="√"),"","√"),""))</f>
        <v>√</v>
      </c>
      <c r="F64" s="1655" t="s">
        <v>733</v>
      </c>
      <c r="G64" s="1655"/>
      <c r="H64" s="1655"/>
      <c r="I64" s="1655"/>
      <c r="J64" s="1836" t="str">
        <f>IF(Data!B19&lt;&gt;"",Data!B19,"")</f>
        <v/>
      </c>
      <c r="K64" s="1836"/>
      <c r="L64" s="1836"/>
      <c r="M64" s="1836"/>
      <c r="N64" s="1836"/>
      <c r="O64" s="466"/>
      <c r="P64" s="1655" t="s">
        <v>1053</v>
      </c>
      <c r="Q64" s="1655"/>
      <c r="R64" s="1655"/>
      <c r="S64" s="1655"/>
      <c r="T64" s="1655"/>
      <c r="U64" s="1655"/>
      <c r="V64" s="1655"/>
      <c r="W64" s="1836" t="str">
        <f>IF(Data!B17&lt;&gt;"",Data!B17,"")</f>
        <v>Ramzi Kassab</v>
      </c>
      <c r="X64" s="1836"/>
      <c r="Y64" s="1836"/>
      <c r="Z64" s="1836"/>
      <c r="AA64" s="1836"/>
    </row>
    <row r="65" spans="1:27" ht="5.15" customHeight="1" thickBot="1" x14ac:dyDescent="0.4">
      <c r="A65" s="461"/>
      <c r="B65" s="461"/>
      <c r="C65" s="461"/>
      <c r="D65" s="461"/>
      <c r="F65" s="1655"/>
      <c r="G65" s="1655"/>
      <c r="H65" s="1655"/>
      <c r="I65" s="1655"/>
      <c r="J65" s="1851"/>
      <c r="K65" s="1851"/>
      <c r="L65" s="1851"/>
      <c r="M65" s="1851"/>
      <c r="N65" s="1851"/>
      <c r="O65" s="466"/>
      <c r="P65" s="1655"/>
      <c r="Q65" s="1655"/>
      <c r="R65" s="1655"/>
      <c r="S65" s="1655"/>
      <c r="T65" s="1655"/>
      <c r="U65" s="1655"/>
      <c r="V65" s="1655"/>
      <c r="W65" s="1851"/>
      <c r="X65" s="1851"/>
      <c r="Y65" s="1851"/>
      <c r="Z65" s="1851"/>
      <c r="AA65" s="1851"/>
    </row>
    <row r="66" spans="1:27" ht="20.149999999999999" customHeight="1" thickBot="1" x14ac:dyDescent="0.4">
      <c r="A66" s="1655" t="s">
        <v>848</v>
      </c>
      <c r="B66" s="1655"/>
      <c r="C66" s="1655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15" customHeight="1" thickBot="1" x14ac:dyDescent="0.4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49999999999999" customHeight="1" thickBot="1" x14ac:dyDescent="0.4">
      <c r="A68" s="1655" t="s">
        <v>849</v>
      </c>
      <c r="B68" s="1655"/>
      <c r="C68" s="1655"/>
      <c r="D68" s="464" t="str">
        <f>IF(OR(Data!L2=1,Data!L3=1),"√","")</f>
        <v/>
      </c>
      <c r="G68" s="468"/>
      <c r="H68" s="1655" t="s">
        <v>36</v>
      </c>
      <c r="I68" s="1655"/>
      <c r="J68" s="1852" t="str">
        <f>IF(Data!B20&lt;&gt;"",Data!B20,"")</f>
        <v/>
      </c>
      <c r="K68" s="1852"/>
      <c r="L68" s="1852"/>
      <c r="M68" s="1852"/>
      <c r="N68" s="1852"/>
      <c r="O68" s="462"/>
      <c r="P68" s="462"/>
      <c r="R68" s="468"/>
      <c r="S68" s="1655" t="s">
        <v>1045</v>
      </c>
      <c r="T68" s="1655"/>
      <c r="U68" s="1655"/>
      <c r="V68" s="1655"/>
      <c r="W68" s="1853"/>
      <c r="X68" s="1853"/>
      <c r="Y68" s="1853"/>
      <c r="Z68" s="1853"/>
      <c r="AA68" s="1853"/>
    </row>
    <row r="69" spans="1:27" ht="5.15" customHeight="1" x14ac:dyDescent="0.3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223"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</mergeCells>
  <conditionalFormatting sqref="A34">
    <cfRule type="cellIs" dxfId="366" priority="23285" operator="equal">
      <formula>0</formula>
    </cfRule>
  </conditionalFormatting>
  <conditionalFormatting sqref="A45">
    <cfRule type="expression" dxfId="365" priority="83">
      <formula>COUNTIF($A$45,"3")</formula>
    </cfRule>
    <cfRule type="expression" dxfId="364" priority="82">
      <formula>COUNTIF($A$45,"4")</formula>
    </cfRule>
    <cfRule type="expression" dxfId="363" priority="85">
      <formula>COUNTIF($A$45,"1")</formula>
    </cfRule>
    <cfRule type="expression" dxfId="362" priority="84">
      <formula>COUNTIF($A$45,"2")</formula>
    </cfRule>
    <cfRule type="expression" dxfId="361" priority="81">
      <formula>COUNTIF($A$45,"5")</formula>
    </cfRule>
    <cfRule type="expression" dxfId="360" priority="80">
      <formula>COUNTIF($A$45,"6")</formula>
    </cfRule>
    <cfRule type="expression" dxfId="359" priority="79">
      <formula>COUNTIF($A$45,"7")</formula>
    </cfRule>
  </conditionalFormatting>
  <conditionalFormatting sqref="A46">
    <cfRule type="expression" dxfId="358" priority="72">
      <formula>COUNTIF($A$46,"7")</formula>
    </cfRule>
    <cfRule type="expression" dxfId="357" priority="77">
      <formula>COUNTIF($A$46,"2")</formula>
    </cfRule>
    <cfRule type="expression" dxfId="356" priority="75">
      <formula>COUNTIF($A$46,"4")</formula>
    </cfRule>
    <cfRule type="expression" dxfId="355" priority="76">
      <formula>COUNTIF($A$46,"3")</formula>
    </cfRule>
    <cfRule type="expression" dxfId="354" priority="74">
      <formula>COUNTIF($A$46,"5")</formula>
    </cfRule>
    <cfRule type="expression" dxfId="353" priority="73">
      <formula>COUNTIF($A$46,"6")</formula>
    </cfRule>
    <cfRule type="expression" dxfId="352" priority="78">
      <formula>COUNTIF($A$46,"1")</formula>
    </cfRule>
  </conditionalFormatting>
  <conditionalFormatting sqref="A47">
    <cfRule type="expression" dxfId="351" priority="66">
      <formula>COUNTIF($A$47,"6")</formula>
    </cfRule>
    <cfRule type="expression" dxfId="350" priority="70">
      <formula>COUNTIF($A$47,"2")</formula>
    </cfRule>
    <cfRule type="expression" dxfId="349" priority="65">
      <formula>COUNTIF($A$47,"7")</formula>
    </cfRule>
    <cfRule type="expression" dxfId="348" priority="67">
      <formula>COUNTIF($A$47,"5")</formula>
    </cfRule>
    <cfRule type="expression" dxfId="347" priority="68">
      <formula>COUNTIF($A$47,"4")</formula>
    </cfRule>
    <cfRule type="expression" dxfId="346" priority="69">
      <formula>COUNTIF($A$47,"3")</formula>
    </cfRule>
    <cfRule type="expression" dxfId="345" priority="71">
      <formula>COUNTIF($A$47,"1")</formula>
    </cfRule>
  </conditionalFormatting>
  <conditionalFormatting sqref="A48">
    <cfRule type="expression" dxfId="344" priority="61">
      <formula>COUNTIF($A$48,"4")</formula>
    </cfRule>
    <cfRule type="expression" dxfId="343" priority="58">
      <formula>COUNTIF($A$48,"7")</formula>
    </cfRule>
    <cfRule type="expression" dxfId="342" priority="59">
      <formula>COUNTIF($A$48,"6")</formula>
    </cfRule>
    <cfRule type="expression" dxfId="341" priority="62">
      <formula>COUNTIF($A$48,"3")</formula>
    </cfRule>
    <cfRule type="expression" dxfId="340" priority="63">
      <formula>COUNTIF($A$48,"2")</formula>
    </cfRule>
    <cfRule type="expression" dxfId="339" priority="64">
      <formula>COUNTIF($A$48,"1")</formula>
    </cfRule>
    <cfRule type="expression" dxfId="338" priority="60">
      <formula>COUNTIF($A$48,"5")</formula>
    </cfRule>
  </conditionalFormatting>
  <conditionalFormatting sqref="A49">
    <cfRule type="expression" dxfId="337" priority="54">
      <formula>COUNTIF($A$49,"4")</formula>
    </cfRule>
    <cfRule type="expression" dxfId="336" priority="57">
      <formula>COUNTIF($A$49,"1")</formula>
    </cfRule>
    <cfRule type="expression" dxfId="335" priority="55">
      <formula>COUNTIF($A$49,"3")</formula>
    </cfRule>
    <cfRule type="expression" dxfId="334" priority="56">
      <formula>COUNTIF($A$49,"2")</formula>
    </cfRule>
    <cfRule type="expression" dxfId="333" priority="52">
      <formula>COUNTIF($A$49,"6")</formula>
    </cfRule>
    <cfRule type="expression" dxfId="332" priority="51">
      <formula>COUNTIF($A$49,"7")</formula>
    </cfRule>
    <cfRule type="expression" dxfId="331" priority="53">
      <formula>COUNTIF($A$49,"5")</formula>
    </cfRule>
  </conditionalFormatting>
  <conditionalFormatting sqref="A50">
    <cfRule type="expression" dxfId="330" priority="50">
      <formula>COUNTIF($A$50,"1")</formula>
    </cfRule>
    <cfRule type="expression" dxfId="329" priority="49">
      <formula>COUNTIF($A$50,"2")</formula>
    </cfRule>
    <cfRule type="expression" dxfId="328" priority="48">
      <formula>COUNTIF($A$50,"3")</formula>
    </cfRule>
    <cfRule type="expression" dxfId="327" priority="46">
      <formula>COUNTIF($A$50,"5")</formula>
    </cfRule>
    <cfRule type="expression" dxfId="326" priority="45">
      <formula>COUNTIF($A$50,"6")</formula>
    </cfRule>
    <cfRule type="expression" dxfId="325" priority="44">
      <formula>COUNTIF($A$50,"7")</formula>
    </cfRule>
    <cfRule type="expression" dxfId="324" priority="47">
      <formula>COUNTIF($A$50,"4")</formula>
    </cfRule>
  </conditionalFormatting>
  <conditionalFormatting sqref="A51">
    <cfRule type="expression" dxfId="323" priority="37">
      <formula>COUNTIF($A$51,"7")</formula>
    </cfRule>
    <cfRule type="expression" dxfId="322" priority="38">
      <formula>COUNTIF($A$51,"6")</formula>
    </cfRule>
    <cfRule type="expression" dxfId="321" priority="39">
      <formula>COUNTIF($A$51,"5")</formula>
    </cfRule>
    <cfRule type="expression" dxfId="320" priority="43">
      <formula>COUNTIF($A$51,"1")</formula>
    </cfRule>
    <cfRule type="expression" dxfId="319" priority="42">
      <formula>COUNTIF($A$51,"2")</formula>
    </cfRule>
    <cfRule type="expression" dxfId="318" priority="41">
      <formula>COUNTIF($A$51,"3")</formula>
    </cfRule>
    <cfRule type="expression" dxfId="317" priority="40">
      <formula>COUNTIF($A$51,"4")</formula>
    </cfRule>
  </conditionalFormatting>
  <conditionalFormatting sqref="A52:B52">
    <cfRule type="expression" dxfId="316" priority="6">
      <formula>$A$51&lt;&gt;8</formula>
    </cfRule>
  </conditionalFormatting>
  <conditionalFormatting sqref="A53:B53">
    <cfRule type="expression" dxfId="315" priority="5">
      <formula>$A$52&lt;&gt;9</formula>
    </cfRule>
  </conditionalFormatting>
  <conditionalFormatting sqref="A54:B61">
    <cfRule type="expression" dxfId="314" priority="4">
      <formula>$A$53&lt;&gt;10</formula>
    </cfRule>
  </conditionalFormatting>
  <conditionalFormatting sqref="A37:D38">
    <cfRule type="expression" dxfId="313" priority="2">
      <formula>$A$37&lt;&gt;""</formula>
    </cfRule>
  </conditionalFormatting>
  <conditionalFormatting sqref="C45:D62">
    <cfRule type="cellIs" dxfId="311" priority="23273" operator="equal">
      <formula>0</formula>
    </cfRule>
  </conditionalFormatting>
  <conditionalFormatting sqref="C15:AA15">
    <cfRule type="beginsWith" dxfId="310" priority="147" operator="beginsWith" text="0a">
      <formula>LEFT(C15,LEN("0a"))="0a"</formula>
    </cfRule>
    <cfRule type="cellIs" dxfId="309" priority="23221" operator="equal">
      <formula>0</formula>
    </cfRule>
  </conditionalFormatting>
  <conditionalFormatting sqref="C16:AA27">
    <cfRule type="expression" dxfId="308" priority="35">
      <formula>COUNTIF(C16,"*9*")</formula>
    </cfRule>
    <cfRule type="expression" dxfId="307" priority="36">
      <formula>COUNTIF(C16,"*8*")</formula>
    </cfRule>
    <cfRule type="expression" dxfId="305" priority="2540">
      <formula>AND(COUNTIF(C16,"*V*"),AND(NOT(COUNTIF(B16,"*V*")),NOT(COUNTIF(D16,"*V*"))))</formula>
    </cfRule>
    <cfRule type="expression" dxfId="304" priority="2541">
      <formula>COUNTIF(C16,"*7*")</formula>
    </cfRule>
    <cfRule type="expression" dxfId="302" priority="2543">
      <formula>COUNTIF(C16,"*5*")</formula>
    </cfRule>
    <cfRule type="expression" dxfId="301" priority="2544">
      <formula>COUNTIF(C16,"*4*")</formula>
    </cfRule>
    <cfRule type="expression" dxfId="300" priority="2545">
      <formula>COUNTIF(C16,"*3*")</formula>
    </cfRule>
    <cfRule type="expression" dxfId="299" priority="2546">
      <formula>COUNTIF(C16,"*2*")</formula>
    </cfRule>
    <cfRule type="expression" dxfId="298" priority="2547">
      <formula>COUNTIF(C16,"*1*")</formula>
    </cfRule>
    <cfRule type="expression" dxfId="292" priority="2542">
      <formula>COUNTIF(C16,"*6*")</formula>
    </cfRule>
    <cfRule type="expression" dxfId="288" priority="34">
      <formula>COUNTIF(C16,"*10*")</formula>
    </cfRule>
  </conditionalFormatting>
  <conditionalFormatting sqref="D34 F34 H34 J34 L34 N34">
    <cfRule type="cellIs" dxfId="286" priority="23263" operator="equal">
      <formula>0</formula>
    </cfRule>
  </conditionalFormatting>
  <conditionalFormatting sqref="E31:H31">
    <cfRule type="expression" dxfId="285" priority="97">
      <formula>$E$31=""</formula>
    </cfRule>
  </conditionalFormatting>
  <conditionalFormatting sqref="H40:L40">
    <cfRule type="expression" dxfId="284" priority="94">
      <formula>$H$40=""</formula>
    </cfRule>
  </conditionalFormatting>
  <conditionalFormatting sqref="K31:N31">
    <cfRule type="expression" dxfId="283" priority="96">
      <formula>$K$31=""</formula>
    </cfRule>
  </conditionalFormatting>
  <conditionalFormatting sqref="Q31:T31">
    <cfRule type="expression" dxfId="282" priority="95">
      <formula>$Q$31=""</formula>
    </cfRule>
  </conditionalFormatting>
  <conditionalFormatting sqref="Q40:T40">
    <cfRule type="expression" dxfId="281" priority="93">
      <formula>$Q$40=""</formula>
    </cfRule>
  </conditionalFormatting>
  <conditionalFormatting sqref="R34">
    <cfRule type="cellIs" dxfId="280" priority="23278" operator="equal">
      <formula>0</formula>
    </cfRule>
  </conditionalFormatting>
  <conditionalFormatting sqref="T45:W45">
    <cfRule type="cellIs" dxfId="279" priority="23260" operator="equal">
      <formula>0</formula>
    </cfRule>
  </conditionalFormatting>
  <conditionalFormatting sqref="T62:X62">
    <cfRule type="cellIs" dxfId="278" priority="23262" operator="equal">
      <formula>0</formula>
    </cfRule>
  </conditionalFormatting>
  <conditionalFormatting sqref="U34 X34">
    <cfRule type="cellIs" dxfId="277" priority="23264" operator="equal">
      <formula>0</formula>
    </cfRule>
  </conditionalFormatting>
  <conditionalFormatting sqref="W10:AA10">
    <cfRule type="cellIs" dxfId="276" priority="3" operator="equal">
      <formula>0</formula>
    </cfRule>
  </conditionalFormatting>
  <conditionalFormatting sqref="X45:AA62">
    <cfRule type="cellIs" dxfId="275" priority="23259" operator="equal">
      <formula>0</formula>
    </cfRule>
  </conditionalFormatting>
  <pageMargins left="0.5" right="0.5" top="0.5" bottom="0.5" header="0.3" footer="0.3"/>
  <pageSetup paperSize="9" scale="77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796875" defaultRowHeight="14.5" x14ac:dyDescent="0.35"/>
  <cols>
    <col min="1" max="31" width="4" customWidth="1"/>
    <col min="32" max="35" width="3.7265625" customWidth="1"/>
    <col min="128" max="128" width="9.1796875" customWidth="1"/>
  </cols>
  <sheetData>
    <row r="1" spans="1:35" ht="16.5" customHeight="1" x14ac:dyDescent="0.35">
      <c r="A1" s="1818"/>
      <c r="B1" s="1819"/>
      <c r="C1" s="1899" t="s">
        <v>22</v>
      </c>
      <c r="D1" s="1809"/>
      <c r="E1" s="1809"/>
      <c r="F1" s="1809"/>
      <c r="G1" s="1809"/>
      <c r="H1" s="1809"/>
      <c r="I1" s="1809"/>
      <c r="J1" s="1809"/>
      <c r="K1" s="1809"/>
      <c r="L1" s="1809"/>
      <c r="M1" s="1809"/>
      <c r="N1" s="1809"/>
      <c r="O1" s="1809"/>
      <c r="P1" s="1809"/>
      <c r="Q1" s="1809"/>
      <c r="R1" s="1809"/>
      <c r="S1" s="1810"/>
      <c r="T1" s="1896" t="s">
        <v>1040</v>
      </c>
      <c r="U1" s="1897"/>
      <c r="V1" s="1897"/>
      <c r="W1" s="1897"/>
      <c r="X1" s="1897"/>
      <c r="Y1" s="1897"/>
      <c r="Z1" s="1897"/>
      <c r="AA1" s="1897"/>
      <c r="AB1" s="1896" t="s">
        <v>1054</v>
      </c>
      <c r="AC1" s="1897"/>
      <c r="AD1" s="1897"/>
      <c r="AE1" s="1897"/>
      <c r="AF1" s="1897"/>
      <c r="AG1" s="1897"/>
      <c r="AH1" s="1897"/>
      <c r="AI1" s="1898"/>
    </row>
    <row r="2" spans="1:35" ht="16.5" customHeight="1" thickBot="1" x14ac:dyDescent="0.4">
      <c r="A2" s="1671"/>
      <c r="B2" s="1672"/>
      <c r="C2" s="1900"/>
      <c r="D2" s="1901"/>
      <c r="E2" s="1901"/>
      <c r="F2" s="1901"/>
      <c r="G2" s="1901"/>
      <c r="H2" s="1901"/>
      <c r="I2" s="1901"/>
      <c r="J2" s="1901"/>
      <c r="K2" s="1901"/>
      <c r="L2" s="1901"/>
      <c r="M2" s="1901"/>
      <c r="N2" s="1901"/>
      <c r="O2" s="1901"/>
      <c r="P2" s="1901"/>
      <c r="Q2" s="1901"/>
      <c r="R2" s="1901"/>
      <c r="S2" s="1902"/>
      <c r="T2" s="1890" t="s">
        <v>1041</v>
      </c>
      <c r="U2" s="1891"/>
      <c r="V2" s="1891"/>
      <c r="W2" s="1891"/>
      <c r="X2" s="1891"/>
      <c r="Y2" s="1891"/>
      <c r="Z2" s="1891"/>
      <c r="AA2" s="1891"/>
      <c r="AB2" s="1890" t="s">
        <v>1064</v>
      </c>
      <c r="AC2" s="1891"/>
      <c r="AD2" s="1891"/>
      <c r="AE2" s="1891"/>
      <c r="AF2" s="1891"/>
      <c r="AG2" s="1891"/>
      <c r="AH2" s="1891"/>
      <c r="AI2" s="1892"/>
    </row>
    <row r="3" spans="1:35" ht="12" customHeight="1" x14ac:dyDescent="0.35">
      <c r="A3" s="1601" t="s">
        <v>1122</v>
      </c>
      <c r="B3" s="1601"/>
      <c r="C3" s="1601"/>
      <c r="D3" s="1601"/>
      <c r="E3" s="1601"/>
      <c r="F3" s="1601"/>
      <c r="G3" s="1601"/>
      <c r="H3" s="1601"/>
      <c r="I3" s="1601"/>
      <c r="J3" s="1601"/>
      <c r="K3" s="1601"/>
      <c r="L3" s="1601"/>
      <c r="M3" s="1601"/>
      <c r="N3" s="1601"/>
      <c r="O3" s="1601"/>
      <c r="P3" s="1601"/>
      <c r="Q3" s="1601"/>
      <c r="R3" s="1601"/>
      <c r="S3" s="1601"/>
      <c r="T3" s="1601"/>
      <c r="U3" s="1601"/>
      <c r="V3" s="1601"/>
      <c r="W3" s="1601"/>
      <c r="X3" s="1601"/>
      <c r="Y3" s="1601"/>
      <c r="Z3" s="1601"/>
      <c r="AA3" s="1601"/>
      <c r="AB3" s="1601"/>
      <c r="AC3" s="1601"/>
      <c r="AD3" s="1601"/>
      <c r="AE3" s="1601"/>
      <c r="AF3" s="1601"/>
      <c r="AG3" s="1601"/>
      <c r="AH3" s="1601"/>
      <c r="AI3" s="1601"/>
    </row>
    <row r="4" spans="1:35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7" t="s">
        <v>1033</v>
      </c>
      <c r="AB4" s="1667"/>
      <c r="AC4" s="1667"/>
      <c r="AD4" s="1667"/>
      <c r="AE4" s="240"/>
      <c r="AF4" s="240"/>
      <c r="AG4" s="240"/>
      <c r="AH4" s="450"/>
      <c r="AI4" s="450"/>
    </row>
    <row r="5" spans="1:35" ht="15" customHeight="1" thickBot="1" x14ac:dyDescent="0.4">
      <c r="A5" s="240"/>
      <c r="B5" s="1668" t="s">
        <v>27</v>
      </c>
      <c r="C5" s="1668"/>
      <c r="D5" s="1668"/>
      <c r="E5" s="1669"/>
      <c r="F5" s="1556" t="str">
        <f>IF(Data!B1&lt;&gt;"", Data!B1, " ")</f>
        <v>2025-AR-109</v>
      </c>
      <c r="G5" s="1653"/>
      <c r="H5" s="1653"/>
      <c r="I5" s="1653"/>
      <c r="J5" s="1557"/>
      <c r="K5" s="1654" t="s">
        <v>28</v>
      </c>
      <c r="L5" s="1655"/>
      <c r="M5" s="1656"/>
      <c r="N5" s="1556">
        <f>IF(Data!B2&lt;&gt;"", Data!B2, " ")</f>
        <v>13845937</v>
      </c>
      <c r="O5" s="1653"/>
      <c r="P5" s="1653"/>
      <c r="Q5" s="1653"/>
      <c r="R5" s="1557"/>
      <c r="S5" s="1654" t="s">
        <v>1065</v>
      </c>
      <c r="T5" s="1655"/>
      <c r="U5" s="1656"/>
      <c r="V5" s="1556">
        <f>IF(Data!B5&lt;&gt;"",Data!B5," ")</f>
        <v>1080537</v>
      </c>
      <c r="W5" s="1653"/>
      <c r="X5" s="1653"/>
      <c r="Y5" s="1653"/>
      <c r="Z5" s="1557"/>
      <c r="AA5" s="1667"/>
      <c r="AB5" s="1667"/>
      <c r="AC5" s="1667"/>
      <c r="AD5" s="1667"/>
      <c r="AE5" s="1678">
        <f>IF(Data!B6&lt;&gt;"",Data!B6," ")</f>
        <v>46002</v>
      </c>
      <c r="AF5" s="1679"/>
      <c r="AG5" s="1679"/>
      <c r="AH5" s="1679"/>
      <c r="AI5" s="1680"/>
    </row>
    <row r="6" spans="1:35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7"/>
      <c r="AB6" s="1667"/>
      <c r="AC6" s="1667"/>
      <c r="AD6" s="1667"/>
      <c r="AE6" s="449"/>
      <c r="AF6" s="449"/>
      <c r="AG6" s="450"/>
      <c r="AH6" s="450"/>
      <c r="AI6" s="450"/>
    </row>
    <row r="7" spans="1:35" ht="15" customHeight="1" thickBot="1" x14ac:dyDescent="0.4">
      <c r="D7" s="1655" t="s">
        <v>29</v>
      </c>
      <c r="E7" s="1656"/>
      <c r="F7" s="1556" t="str">
        <f>IF(LEN(Data!B3)&gt;3,IF(AND(Data!B43&lt;&gt;"",Data!B43&lt;&gt;"0 0/1"""),Data!B43,""),IF(Data!B3&lt;&gt;"",Data!B3&amp;"""",""))</f>
        <v>8 3/8"</v>
      </c>
      <c r="G7" s="1653"/>
      <c r="H7" s="1653"/>
      <c r="I7" s="1653"/>
      <c r="J7" s="1557"/>
      <c r="L7" s="1655" t="s">
        <v>31</v>
      </c>
      <c r="M7" s="1656"/>
      <c r="N7" s="1556" t="str">
        <f>IF(Data!B4&lt;&gt;"",Data!B4," ")</f>
        <v>MM65DH-1</v>
      </c>
      <c r="O7" s="1653"/>
      <c r="P7" s="1653"/>
      <c r="Q7" s="1653"/>
      <c r="R7" s="1557"/>
      <c r="S7" s="1654" t="s">
        <v>32</v>
      </c>
      <c r="T7" s="1655"/>
      <c r="U7" s="1656"/>
      <c r="V7" s="1556" t="str">
        <f>IF(Data!B7&lt;&gt;"",Data!B7, " ")</f>
        <v>SAUDI ARAMCO</v>
      </c>
      <c r="W7" s="1653"/>
      <c r="X7" s="1653"/>
      <c r="Y7" s="1653"/>
      <c r="Z7" s="1557"/>
      <c r="AA7" s="1697" t="s">
        <v>33</v>
      </c>
      <c r="AB7" s="1668"/>
      <c r="AC7" s="1668"/>
      <c r="AD7" s="1669"/>
      <c r="AE7" s="1556">
        <f>IF(Data!B24&lt;&gt;"",Data!B24,IFERROR(VLOOKUP(Data!$B$7,Data!F63:G70,2,FALSE),""))</f>
        <v>6600048646</v>
      </c>
      <c r="AF7" s="1653"/>
      <c r="AG7" s="1653"/>
      <c r="AH7" s="1653"/>
      <c r="AI7" s="1557"/>
    </row>
    <row r="8" spans="1:35" ht="4.5" customHeight="1" x14ac:dyDescent="0.3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4">
      <c r="A9" s="1857" t="s">
        <v>1492</v>
      </c>
      <c r="B9" s="1857"/>
      <c r="C9" s="1857"/>
      <c r="D9" s="1857"/>
      <c r="E9" s="1857"/>
      <c r="F9" s="1857"/>
      <c r="G9" s="1857"/>
      <c r="H9" s="1857"/>
      <c r="I9" s="1857"/>
      <c r="J9" s="1857"/>
      <c r="K9" s="1857"/>
      <c r="L9" s="1857"/>
      <c r="M9" s="1857"/>
      <c r="N9" s="1857"/>
      <c r="O9" s="1857"/>
      <c r="P9" s="1857"/>
      <c r="Q9" s="1857"/>
      <c r="R9" s="1857"/>
      <c r="S9" s="1857"/>
      <c r="T9" s="1857"/>
      <c r="U9" s="1857"/>
      <c r="V9" s="1857"/>
      <c r="W9" s="1857"/>
      <c r="X9" s="1857"/>
      <c r="Y9" s="1857"/>
      <c r="Z9" s="1857"/>
      <c r="AA9" s="1857"/>
      <c r="AB9" s="1857"/>
      <c r="AC9" s="1857"/>
      <c r="AD9" s="1857"/>
      <c r="AE9" s="1857"/>
      <c r="AF9" s="1857"/>
      <c r="AG9" s="1857"/>
      <c r="AH9" s="1857"/>
      <c r="AI9" s="1857"/>
    </row>
    <row r="10" spans="1:35" ht="11.25" customHeight="1" thickBot="1" x14ac:dyDescent="0.4">
      <c r="A10" s="1840"/>
      <c r="B10" s="1841"/>
      <c r="C10" s="1880" t="s">
        <v>17</v>
      </c>
      <c r="D10" s="1881"/>
      <c r="E10" s="1881"/>
      <c r="F10" s="1881"/>
      <c r="G10" s="1881"/>
      <c r="H10" s="1881"/>
      <c r="I10" s="1881"/>
      <c r="J10" s="1881"/>
      <c r="K10" s="1881"/>
      <c r="L10" s="1881"/>
      <c r="M10" s="1881"/>
      <c r="N10" s="1881"/>
      <c r="O10" s="1881"/>
      <c r="P10" s="1881"/>
      <c r="Q10" s="1881"/>
      <c r="R10" s="1881"/>
      <c r="S10" s="1881"/>
      <c r="T10" s="1881"/>
      <c r="U10" s="1881"/>
      <c r="V10" s="1881"/>
      <c r="W10" s="1881"/>
      <c r="X10" s="1881"/>
      <c r="Y10" s="1881"/>
      <c r="Z10" s="1881"/>
      <c r="AA10" s="1881"/>
      <c r="AB10" s="1881"/>
      <c r="AC10" s="1881"/>
      <c r="AD10" s="1881"/>
      <c r="AE10" s="1881"/>
      <c r="AF10" s="1881"/>
      <c r="AG10" s="1881"/>
      <c r="AH10" s="1881"/>
      <c r="AI10" s="1882"/>
    </row>
    <row r="11" spans="1:35" ht="13.5" customHeight="1" thickBot="1" x14ac:dyDescent="0.4">
      <c r="A11" s="1842"/>
      <c r="B11" s="1843"/>
      <c r="C11" s="546" t="str">
        <f>IF(Data!BR42&lt;&gt;"",Data!BR42,"")</f>
        <v>1a</v>
      </c>
      <c r="D11" s="547" t="str">
        <f>IF(Data!BS42&lt;&gt;"",Data!BS42,"")</f>
        <v>2a</v>
      </c>
      <c r="E11" s="547" t="str">
        <f>IF(Data!BT42&lt;&gt;"",Data!BT42,"")</f>
        <v>3a</v>
      </c>
      <c r="F11" s="547" t="str">
        <f>IF(Data!BU42&lt;&gt;"",Data!BU42,"")</f>
        <v>4a</v>
      </c>
      <c r="G11" s="547" t="str">
        <f>IF(Data!BV42&lt;&gt;"",Data!BV42,"")</f>
        <v>5a</v>
      </c>
      <c r="H11" s="547" t="str">
        <f>IF(Data!BW42&lt;&gt;"",Data!BW42,"")</f>
        <v>6a</v>
      </c>
      <c r="I11" s="547" t="str">
        <f>IF(Data!BX42&lt;&gt;"",Data!BX42,"")</f>
        <v>7a</v>
      </c>
      <c r="J11" s="547" t="str">
        <f>IF(Data!BY42&lt;&gt;"",Data!BY42,"")</f>
        <v>8a</v>
      </c>
      <c r="K11" s="547" t="str">
        <f>IF(Data!BZ42&lt;&gt;"",Data!BZ42,"")</f>
        <v>0a</v>
      </c>
      <c r="L11" s="547" t="str">
        <f>IF(Data!CA42&lt;&gt;"",Data!CA42,"")</f>
        <v>1b</v>
      </c>
      <c r="M11" s="547" t="str">
        <f>IF(Data!CB42&lt;&gt;"",Data!CB42,"")</f>
        <v>2b</v>
      </c>
      <c r="N11" s="547" t="str">
        <f>IF(Data!CC42&lt;&gt;"",Data!CC42,"")</f>
        <v>3b</v>
      </c>
      <c r="O11" s="547" t="str">
        <f>IF(Data!CD42&lt;&gt;"",Data!CD42,"")</f>
        <v>4b</v>
      </c>
      <c r="P11" s="547" t="str">
        <f>IF(Data!CE42&lt;&gt;"",Data!CE42,"")</f>
        <v>0a</v>
      </c>
      <c r="Q11" s="547" t="str">
        <f>IF(Data!CF42&lt;&gt;"",Data!CF42,"")</f>
        <v>0a</v>
      </c>
      <c r="R11" s="547" t="str">
        <f>IF(Data!CG42&lt;&gt;"",Data!CG42,"")</f>
        <v>0a</v>
      </c>
      <c r="S11" s="547" t="str">
        <f>IF(Data!CH42&lt;&gt;"",Data!CH42,"")</f>
        <v>0a</v>
      </c>
      <c r="T11" s="547" t="str">
        <f>IF(Data!CI42&lt;&gt;"",Data!CI42,"")</f>
        <v>0a</v>
      </c>
      <c r="U11" s="547" t="str">
        <f>IF(Data!CJ42&lt;&gt;"",Data!CJ42,"")</f>
        <v>0a</v>
      </c>
      <c r="V11" s="547" t="str">
        <f>IF(Data!CK42&lt;&gt;"",Data!CK42,"")</f>
        <v>0a</v>
      </c>
      <c r="W11" s="547" t="str">
        <f>IF(Data!CL42&lt;&gt;"",Data!CL42,"")</f>
        <v>0a</v>
      </c>
      <c r="X11" s="547" t="str">
        <f>IF(Data!CM42&lt;&gt;"",Data!CM42,"")</f>
        <v>0a</v>
      </c>
      <c r="Y11" s="547" t="str">
        <f>IF(Data!CN42&lt;&gt;"",Data!CN42,"")</f>
        <v>0a</v>
      </c>
      <c r="Z11" s="547" t="str">
        <f>IF(Data!CO42&lt;&gt;"",Data!CO42,"")</f>
        <v>0a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5" customHeight="1" x14ac:dyDescent="0.35">
      <c r="A12" s="1893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>S1</v>
      </c>
      <c r="D12" s="262" t="str">
        <f>IF(OR(Data!$L$2=1,Data!$L$3=1),IF(OR(Data!BS46=0,Data!BS46=""),"","O"&amp;Data!BS46),IF('ARDT Cutter Entry'!$C$111&lt;&gt;"",'ARDT Cutter Entry'!D111,'ARDT Cutter Entry'!D43))</f>
        <v>S1</v>
      </c>
      <c r="E12" s="262" t="str">
        <f>IF(OR(Data!$L$2=1,Data!$L$3=1),IF(OR(Data!BT46=0,Data!BT46=""),"","O"&amp;Data!BT46),IF('ARDT Cutter Entry'!$C$111&lt;&gt;"",'ARDT Cutter Entry'!E111,'ARDT Cutter Entry'!E43))</f>
        <v>S1</v>
      </c>
      <c r="F12" s="262" t="str">
        <f>IF(OR(Data!$L$2=1,Data!$L$3=1),IF(OR(Data!BU46=0,Data!BU46=""),"","O"&amp;Data!BU46),IF('ARDT Cutter Entry'!$C$111&lt;&gt;"",'ARDT Cutter Entry'!F111,'ARDT Cutter Entry'!F43))</f>
        <v>S1</v>
      </c>
      <c r="G12" s="262" t="str">
        <f>IF(OR(Data!$L$2=1,Data!$L$3=1),IF(OR(Data!BV46=0,Data!BV46=""),"","O"&amp;Data!BV46),IF('ARDT Cutter Entry'!$C$111&lt;&gt;"",'ARDT Cutter Entry'!G111,'ARDT Cutter Entry'!G43))</f>
        <v>S1</v>
      </c>
      <c r="H12" s="262" t="str">
        <f>IF(OR(Data!$L$2=1,Data!$L$3=1),IF(OR(Data!BW46=0,Data!BW46=""),"","O"&amp;Data!BW46),IF('ARDT Cutter Entry'!$C$111&lt;&gt;"",'ARDT Cutter Entry'!H111,'ARDT Cutter Entry'!H43))</f>
        <v>X1</v>
      </c>
      <c r="I12" s="262" t="str">
        <f>IF(OR(Data!$L$2=1,Data!$L$3=1),IF(OR(Data!BX46=0,Data!BX46=""),"","O"&amp;Data!BX46),IF('ARDT Cutter Entry'!$C$111&lt;&gt;"",'ARDT Cutter Entry'!I111,'ARDT Cutter Entry'!I43))</f>
        <v>R1</v>
      </c>
      <c r="J12" s="262" t="str">
        <f>IF(OR(Data!$L$2=1,Data!$L$3=1),IF(OR(Data!BY46=0,Data!BY46=""),"","O"&amp;Data!BY46),IF('ARDT Cutter Entry'!$C$111&lt;&gt;"",'ARDT Cutter Entry'!J111,'ARDT Cutter Entry'!J43))</f>
        <v>X3</v>
      </c>
      <c r="K12" s="262" t="str">
        <f>IF(OR(Data!$L$2=1,Data!$L$3=1),IF(OR(Data!BZ46=0,Data!BZ46=""),"","O"&amp;Data!BZ46),IF('ARDT Cutter Entry'!$C$111&lt;&gt;"",'ARDT Cutter Entry'!K111,'ARDT Cutter Entry'!K43))</f>
        <v/>
      </c>
      <c r="L12" s="262" t="str">
        <f>IF(OR(Data!$L$2=1,Data!$L$3=1),IF(OR(Data!CA46=0,Data!CA46=""),"","O"&amp;Data!CA46),IF('ARDT Cutter Entry'!$C$111&lt;&gt;"",'ARDT Cutter Entry'!L111,'ARDT Cutter Entry'!L43))</f>
        <v>S2</v>
      </c>
      <c r="M12" s="262" t="str">
        <f>IF(OR(Data!$L$2=1,Data!$L$3=1),IF(OR(Data!CB46=0,Data!CB46=""),"","O"&amp;Data!CB46),IF('ARDT Cutter Entry'!$C$111&lt;&gt;"",'ARDT Cutter Entry'!M111,'ARDT Cutter Entry'!M43))</f>
        <v>S2</v>
      </c>
      <c r="N12" s="262" t="str">
        <f>IF(OR(Data!$L$2=1,Data!$L$3=1),IF(OR(Data!CC46=0,Data!CC46=""),"","O"&amp;Data!CC46),IF('ARDT Cutter Entry'!$C$111&lt;&gt;"",'ARDT Cutter Entry'!N111,'ARDT Cutter Entry'!N43))</f>
        <v>X2</v>
      </c>
      <c r="O12" s="262" t="str">
        <f>IF(OR(Data!$L$2=1,Data!$L$3=1),IF(OR(Data!CD46=0,Data!CD46=""),"","O"&amp;Data!CD46),IF('ARDT Cutter Entry'!$C$111&lt;&gt;"",'ARDT Cutter Entry'!O111,'ARDT Cutter Entry'!O43))</f>
        <v>X2</v>
      </c>
      <c r="P12" s="262" t="str">
        <f>IF(OR(Data!$L$2=1,Data!$L$3=1),IF(OR(Data!CE46=0,Data!CE46=""),"","O"&amp;Data!CE46),IF('ARDT Cutter Entry'!$C$111&lt;&gt;"",'ARDT Cutter Entry'!P111,'ARDT Cutter Entry'!P43))</f>
        <v/>
      </c>
      <c r="Q12" s="262" t="str">
        <f>IF(OR(Data!$L$2=1,Data!$L$3=1),IF(OR(Data!CF46=0,Data!CF46=""),"","O"&amp;Data!CF46),IF('ARDT Cutter Entry'!$C$111&lt;&gt;"",'ARDT Cutter Entry'!Q111,'ARDT Cutter Entry'!Q43))</f>
        <v/>
      </c>
      <c r="R12" s="262" t="str">
        <f>IF(OR(Data!$L$2=1,Data!$L$3=1),IF(OR(Data!CG46=0,Data!CG46=""),"","O"&amp;Data!CG46),IF('ARDT Cutter Entry'!$C$111&lt;&gt;"",'ARDT Cutter Entry'!R111,'ARDT Cutter Entry'!R43))</f>
        <v/>
      </c>
      <c r="S12" s="262" t="str">
        <f>IF(OR(Data!$L$2=1,Data!$L$3=1),IF(OR(Data!CH46=0,Data!CH46=""),"","O"&amp;Data!CH46),IF('ARDT Cutter Entry'!$C$111&lt;&gt;"",'ARDT Cutter Entry'!S111,'ARDT Cutter Entry'!S43))</f>
        <v/>
      </c>
      <c r="T12" s="262" t="str">
        <f>IF(OR(Data!$L$2=1,Data!$L$3=1),IF(OR(Data!CI46=0,Data!CI46=""),"","O"&amp;Data!CI46),IF('ARDT Cutter Entry'!$C$111&lt;&gt;"",'ARDT Cutter Entry'!T111,'ARDT Cutter Entry'!T43))</f>
        <v/>
      </c>
      <c r="U12" s="262" t="str">
        <f>IF(OR(Data!$L$2=1,Data!$L$3=1),IF(OR(Data!CJ46=0,Data!CJ46=""),"","O"&amp;Data!CJ46),IF('ARDT Cutter Entry'!$C$111&lt;&gt;"",'ARDT Cutter Entry'!U111,'ARDT Cutter Entry'!U43))</f>
        <v/>
      </c>
      <c r="V12" s="262" t="str">
        <f>IF(OR(Data!$L$2=1,Data!$L$3=1),IF(OR(Data!CK46=0,Data!CK46=""),"","O"&amp;Data!CK46),IF('ARDT Cutter Entry'!$C$111&lt;&gt;"",'ARDT Cutter Entry'!V111,'ARDT Cutter Entry'!V43))</f>
        <v/>
      </c>
      <c r="W12" s="262" t="str">
        <f>IF(OR(Data!$L$2=1,Data!$L$3=1),IF(OR(Data!CL46=0,Data!CL46=""),"","O"&amp;Data!CL46),IF('ARDT Cutter Entry'!$C$111&lt;&gt;"",'ARDT Cutter Entry'!W111,'ARDT Cutter Entry'!W43))</f>
        <v/>
      </c>
      <c r="X12" s="262" t="str">
        <f>IF(OR(Data!$L$2=1,Data!$L$3=1),IF(OR(Data!CM46=0,Data!CM46=""),"","O"&amp;Data!CM46),IF('ARDT Cutter Entry'!$C$111&lt;&gt;"",'ARDT Cutter Entry'!X111,'ARDT Cutter Entry'!X43))</f>
        <v/>
      </c>
      <c r="Y12" s="262" t="str">
        <f>IF(OR(Data!$L$2=1,Data!$L$3=1),IF(OR(Data!CN46=0,Data!CN46=""),"","O"&amp;Data!CN46),IF('ARDT Cutter Entry'!$C$111&lt;&gt;"",'ARDT Cutter Entry'!Y111,'ARDT Cutter Entry'!Y43))</f>
        <v/>
      </c>
      <c r="Z12" s="262" t="str">
        <f>IF(OR(Data!$L$2=1,Data!$L$3=1),IF(OR(Data!CO46=0,Data!CO46=""),"","O"&amp;Data!CO46),IF('ARDT Cutter Entry'!$C$111&lt;&gt;"",'ARDT Cutter Entry'!Z111,'ARDT Cutter Entry'!Z43))</f>
        <v/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5" customHeight="1" x14ac:dyDescent="0.35">
      <c r="A13" s="1894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>S1</v>
      </c>
      <c r="D13" s="167" t="str">
        <f>IF(OR(Data!$L$2=1,Data!$L$3=1),IF(OR(Data!BS47=0,Data!BS47=""),"","O"&amp;Data!BS47),IF('ARDT Cutter Entry'!$C$111&lt;&gt;"",'ARDT Cutter Entry'!D112,'ARDT Cutter Entry'!D44))</f>
        <v>S1</v>
      </c>
      <c r="E13" s="167" t="str">
        <f>IF(OR(Data!$L$2=1,Data!$L$3=1),IF(OR(Data!BT47=0,Data!BT47=""),"","O"&amp;Data!BT47),IF('ARDT Cutter Entry'!$C$111&lt;&gt;"",'ARDT Cutter Entry'!E112,'ARDT Cutter Entry'!E44))</f>
        <v>X1</v>
      </c>
      <c r="F13" s="167" t="str">
        <f>IF(OR(Data!$L$2=1,Data!$L$3=1),IF(OR(Data!BU47=0,Data!BU47=""),"","O"&amp;Data!BU47),IF('ARDT Cutter Entry'!$C$111&lt;&gt;"",'ARDT Cutter Entry'!F112,'ARDT Cutter Entry'!F44))</f>
        <v>R1</v>
      </c>
      <c r="G13" s="167" t="str">
        <f>IF(OR(Data!$L$2=1,Data!$L$3=1),IF(OR(Data!BV47=0,Data!BV47=""),"","O"&amp;Data!BV47),IF('ARDT Cutter Entry'!$C$111&lt;&gt;"",'ARDT Cutter Entry'!G112,'ARDT Cutter Entry'!G44))</f>
        <v>X3</v>
      </c>
      <c r="H13" s="167" t="str">
        <f>IF(OR(Data!$L$2=1,Data!$L$3=1),IF(OR(Data!BW47=0,Data!BW47=""),"","O"&amp;Data!BW47),IF('ARDT Cutter Entry'!$C$111&lt;&gt;"",'ARDT Cutter Entry'!H112,'ARDT Cutter Entry'!H44))</f>
        <v/>
      </c>
      <c r="I13" s="167" t="str">
        <f>IF(OR(Data!$L$2=1,Data!$L$3=1),IF(OR(Data!BX47=0,Data!BX47=""),"","O"&amp;Data!BX47),IF('ARDT Cutter Entry'!$C$111&lt;&gt;"",'ARDT Cutter Entry'!I112,'ARDT Cutter Entry'!I44))</f>
        <v/>
      </c>
      <c r="J13" s="167" t="str">
        <f>IF(OR(Data!$L$2=1,Data!$L$3=1),IF(OR(Data!BY47=0,Data!BY47=""),"","O"&amp;Data!BY47),IF('ARDT Cutter Entry'!$C$111&lt;&gt;"",'ARDT Cutter Entry'!J112,'ARDT Cutter Entry'!J44))</f>
        <v/>
      </c>
      <c r="K13" s="167" t="str">
        <f>IF(OR(Data!$L$2=1,Data!$L$3=1),IF(OR(Data!BZ47=0,Data!BZ47=""),"","O"&amp;Data!BZ47),IF('ARDT Cutter Entry'!$C$111&lt;&gt;"",'ARDT Cutter Entry'!K112,'ARDT Cutter Entry'!K44))</f>
        <v/>
      </c>
      <c r="L13" s="167" t="str">
        <f>IF(OR(Data!$L$2=1,Data!$L$3=1),IF(OR(Data!CA47=0,Data!CA47=""),"","O"&amp;Data!CA47),IF('ARDT Cutter Entry'!$C$111&lt;&gt;"",'ARDT Cutter Entry'!L112,'ARDT Cutter Entry'!L44))</f>
        <v>S2</v>
      </c>
      <c r="M13" s="167" t="str">
        <f>IF(OR(Data!$L$2=1,Data!$L$3=1),IF(OR(Data!CB47=0,Data!CB47=""),"","O"&amp;Data!CB47),IF('ARDT Cutter Entry'!$C$111&lt;&gt;"",'ARDT Cutter Entry'!M112,'ARDT Cutter Entry'!M44))</f>
        <v>S2</v>
      </c>
      <c r="N13" s="167" t="str">
        <f>IF(OR(Data!$L$2=1,Data!$L$3=1),IF(OR(Data!CC47=0,Data!CC47=""),"","O"&amp;Data!CC47),IF('ARDT Cutter Entry'!$C$111&lt;&gt;"",'ARDT Cutter Entry'!N112,'ARDT Cutter Entry'!N44))</f>
        <v>S2</v>
      </c>
      <c r="O13" s="167" t="str">
        <f>IF(OR(Data!$L$2=1,Data!$L$3=1),IF(OR(Data!CD47=0,Data!CD47=""),"","O"&amp;Data!CD47),IF('ARDT Cutter Entry'!$C$111&lt;&gt;"",'ARDT Cutter Entry'!O112,'ARDT Cutter Entry'!O44))</f>
        <v>R2</v>
      </c>
      <c r="P13" s="167" t="str">
        <f>IF(OR(Data!$L$2=1,Data!$L$3=1),IF(OR(Data!CE47=0,Data!CE47=""),"","O"&amp;Data!CE47),IF('ARDT Cutter Entry'!$C$111&lt;&gt;"",'ARDT Cutter Entry'!P112,'ARDT Cutter Entry'!P44))</f>
        <v/>
      </c>
      <c r="Q13" s="167" t="str">
        <f>IF(OR(Data!$L$2=1,Data!$L$3=1),IF(OR(Data!CF47=0,Data!CF47=""),"","O"&amp;Data!CF47),IF('ARDT Cutter Entry'!$C$111&lt;&gt;"",'ARDT Cutter Entry'!Q112,'ARDT Cutter Entry'!Q44))</f>
        <v/>
      </c>
      <c r="R13" s="167" t="str">
        <f>IF(OR(Data!$L$2=1,Data!$L$3=1),IF(OR(Data!CG47=0,Data!CG47=""),"","O"&amp;Data!CG47),IF('ARDT Cutter Entry'!$C$111&lt;&gt;"",'ARDT Cutter Entry'!R112,'ARDT Cutter Entry'!R44))</f>
        <v/>
      </c>
      <c r="S13" s="167" t="str">
        <f>IF(OR(Data!$L$2=1,Data!$L$3=1),IF(OR(Data!CH47=0,Data!CH47=""),"","O"&amp;Data!CH47),IF('ARDT Cutter Entry'!$C$111&lt;&gt;"",'ARDT Cutter Entry'!S112,'ARDT Cutter Entry'!S44))</f>
        <v/>
      </c>
      <c r="T13" s="167" t="str">
        <f>IF(OR(Data!$L$2=1,Data!$L$3=1),IF(OR(Data!CI47=0,Data!CI47=""),"","O"&amp;Data!CI47),IF('ARDT Cutter Entry'!$C$111&lt;&gt;"",'ARDT Cutter Entry'!T112,'ARDT Cutter Entry'!T44))</f>
        <v/>
      </c>
      <c r="U13" s="167" t="str">
        <f>IF(OR(Data!$L$2=1,Data!$L$3=1),IF(OR(Data!CJ47=0,Data!CJ47=""),"","O"&amp;Data!CJ47),IF('ARDT Cutter Entry'!$C$111&lt;&gt;"",'ARDT Cutter Entry'!U112,'ARDT Cutter Entry'!U44))</f>
        <v/>
      </c>
      <c r="V13" s="167" t="str">
        <f>IF(OR(Data!$L$2=1,Data!$L$3=1),IF(OR(Data!CK47=0,Data!CK47=""),"","O"&amp;Data!CK47),IF('ARDT Cutter Entry'!$C$111&lt;&gt;"",'ARDT Cutter Entry'!V112,'ARDT Cutter Entry'!V44))</f>
        <v/>
      </c>
      <c r="W13" s="167" t="str">
        <f>IF(OR(Data!$L$2=1,Data!$L$3=1),IF(OR(Data!CL47=0,Data!CL47=""),"","O"&amp;Data!CL47),IF('ARDT Cutter Entry'!$C$111&lt;&gt;"",'ARDT Cutter Entry'!W112,'ARDT Cutter Entry'!W44))</f>
        <v/>
      </c>
      <c r="X13" s="167" t="str">
        <f>IF(OR(Data!$L$2=1,Data!$L$3=1),IF(OR(Data!CM47=0,Data!CM47=""),"","O"&amp;Data!CM47),IF('ARDT Cutter Entry'!$C$111&lt;&gt;"",'ARDT Cutter Entry'!X112,'ARDT Cutter Entry'!X44))</f>
        <v/>
      </c>
      <c r="Y13" s="167" t="str">
        <f>IF(OR(Data!$L$2=1,Data!$L$3=1),IF(OR(Data!CN47=0,Data!CN47=""),"","O"&amp;Data!CN47),IF('ARDT Cutter Entry'!$C$111&lt;&gt;"",'ARDT Cutter Entry'!Y112,'ARDT Cutter Entry'!Y44))</f>
        <v/>
      </c>
      <c r="Z13" s="167" t="str">
        <f>IF(OR(Data!$L$2=1,Data!$L$3=1),IF(OR(Data!CO47=0,Data!CO47=""),"","O"&amp;Data!CO47),IF('ARDT Cutter Entry'!$C$111&lt;&gt;"",'ARDT Cutter Entry'!Z112,'ARDT Cutter Entry'!Z44))</f>
        <v/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5" customHeight="1" x14ac:dyDescent="0.35">
      <c r="A14" s="1894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>S1</v>
      </c>
      <c r="D14" s="167" t="str">
        <f>IF(OR(Data!$L$2=1,Data!$L$3=1),IF(OR(Data!BS48=0,Data!BS48=""),"","O"&amp;Data!BS48),IF('ARDT Cutter Entry'!$C$111&lt;&gt;"",'ARDT Cutter Entry'!D113,'ARDT Cutter Entry'!D45))</f>
        <v>S1</v>
      </c>
      <c r="E14" s="167" t="str">
        <f>IF(OR(Data!$L$2=1,Data!$L$3=1),IF(OR(Data!BT48=0,Data!BT48=""),"","O"&amp;Data!BT48),IF('ARDT Cutter Entry'!$C$111&lt;&gt;"",'ARDT Cutter Entry'!E113,'ARDT Cutter Entry'!E45))</f>
        <v>S1</v>
      </c>
      <c r="F14" s="167" t="str">
        <f>IF(OR(Data!$L$2=1,Data!$L$3=1),IF(OR(Data!BU48=0,Data!BU48=""),"","O"&amp;Data!BU48),IF('ARDT Cutter Entry'!$C$111&lt;&gt;"",'ARDT Cutter Entry'!F113,'ARDT Cutter Entry'!F45))</f>
        <v>S1</v>
      </c>
      <c r="G14" s="167" t="str">
        <f>IF(OR(Data!$L$2=1,Data!$L$3=1),IF(OR(Data!BV48=0,Data!BV48=""),"","O"&amp;Data!BV48),IF('ARDT Cutter Entry'!$C$111&lt;&gt;"",'ARDT Cutter Entry'!G113,'ARDT Cutter Entry'!G45))</f>
        <v>X1</v>
      </c>
      <c r="H14" s="167" t="str">
        <f>IF(OR(Data!$L$2=1,Data!$L$3=1),IF(OR(Data!BW48=0,Data!BW48=""),"","O"&amp;Data!BW48),IF('ARDT Cutter Entry'!$C$111&lt;&gt;"",'ARDT Cutter Entry'!H113,'ARDT Cutter Entry'!H45))</f>
        <v>R1</v>
      </c>
      <c r="I14" s="167" t="str">
        <f>IF(OR(Data!$L$2=1,Data!$L$3=1),IF(OR(Data!BX48=0,Data!BX48=""),"","O"&amp;Data!BX48),IF('ARDT Cutter Entry'!$C$111&lt;&gt;"",'ARDT Cutter Entry'!I113,'ARDT Cutter Entry'!I45))</f>
        <v>X3</v>
      </c>
      <c r="J14" s="167" t="str">
        <f>IF(OR(Data!$L$2=1,Data!$L$3=1),IF(OR(Data!BY48=0,Data!BY48=""),"","O"&amp;Data!BY48),IF('ARDT Cutter Entry'!$C$111&lt;&gt;"",'ARDT Cutter Entry'!J113,'ARDT Cutter Entry'!J45))</f>
        <v/>
      </c>
      <c r="K14" s="167" t="str">
        <f>IF(OR(Data!$L$2=1,Data!$L$3=1),IF(OR(Data!BZ48=0,Data!BZ48=""),"","O"&amp;Data!BZ48),IF('ARDT Cutter Entry'!$C$111&lt;&gt;"",'ARDT Cutter Entry'!K113,'ARDT Cutter Entry'!K45))</f>
        <v/>
      </c>
      <c r="L14" s="167" t="str">
        <f>IF(OR(Data!$L$2=1,Data!$L$3=1),IF(OR(Data!CA48=0,Data!CA48=""),"","O"&amp;Data!CA48),IF('ARDT Cutter Entry'!$C$111&lt;&gt;"",'ARDT Cutter Entry'!L113,'ARDT Cutter Entry'!L45))</f>
        <v>S2</v>
      </c>
      <c r="M14" s="167" t="str">
        <f>IF(OR(Data!$L$2=1,Data!$L$3=1),IF(OR(Data!CB48=0,Data!CB48=""),"","O"&amp;Data!CB48),IF('ARDT Cutter Entry'!$C$111&lt;&gt;"",'ARDT Cutter Entry'!M113,'ARDT Cutter Entry'!M45))</f>
        <v>S2</v>
      </c>
      <c r="N14" s="167" t="str">
        <f>IF(OR(Data!$L$2=1,Data!$L$3=1),IF(OR(Data!CC48=0,Data!CC48=""),"","O"&amp;Data!CC48),IF('ARDT Cutter Entry'!$C$111&lt;&gt;"",'ARDT Cutter Entry'!N113,'ARDT Cutter Entry'!N45))</f>
        <v>R2</v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/>
      </c>
      <c r="Q14" s="167" t="str">
        <f>IF(OR(Data!$L$2=1,Data!$L$3=1),IF(OR(Data!CF48=0,Data!CF48=""),"","O"&amp;Data!CF48),IF('ARDT Cutter Entry'!$C$111&lt;&gt;"",'ARDT Cutter Entry'!Q113,'ARDT Cutter Entry'!Q45))</f>
        <v/>
      </c>
      <c r="R14" s="167" t="str">
        <f>IF(OR(Data!$L$2=1,Data!$L$3=1),IF(OR(Data!CG48=0,Data!CG48=""),"","O"&amp;Data!CG48),IF('ARDT Cutter Entry'!$C$111&lt;&gt;"",'ARDT Cutter Entry'!R113,'ARDT Cutter Entry'!R45))</f>
        <v/>
      </c>
      <c r="S14" s="167" t="str">
        <f>IF(OR(Data!$L$2=1,Data!$L$3=1),IF(OR(Data!CH48=0,Data!CH48=""),"","O"&amp;Data!CH48),IF('ARDT Cutter Entry'!$C$111&lt;&gt;"",'ARDT Cutter Entry'!S113,'ARDT Cutter Entry'!S45))</f>
        <v/>
      </c>
      <c r="T14" s="167" t="str">
        <f>IF(OR(Data!$L$2=1,Data!$L$3=1),IF(OR(Data!CI48=0,Data!CI48=""),"","O"&amp;Data!CI48),IF('ARDT Cutter Entry'!$C$111&lt;&gt;"",'ARDT Cutter Entry'!T113,'ARDT Cutter Entry'!T45))</f>
        <v/>
      </c>
      <c r="U14" s="167" t="str">
        <f>IF(OR(Data!$L$2=1,Data!$L$3=1),IF(OR(Data!CJ48=0,Data!CJ48=""),"","O"&amp;Data!CJ48),IF('ARDT Cutter Entry'!$C$111&lt;&gt;"",'ARDT Cutter Entry'!U113,'ARDT Cutter Entry'!U45))</f>
        <v/>
      </c>
      <c r="V14" s="167" t="str">
        <f>IF(OR(Data!$L$2=1,Data!$L$3=1),IF(OR(Data!CK48=0,Data!CK48=""),"","O"&amp;Data!CK48),IF('ARDT Cutter Entry'!$C$111&lt;&gt;"",'ARDT Cutter Entry'!V113,'ARDT Cutter Entry'!V45))</f>
        <v/>
      </c>
      <c r="W14" s="167" t="str">
        <f>IF(OR(Data!$L$2=1,Data!$L$3=1),IF(OR(Data!CL48=0,Data!CL48=""),"","O"&amp;Data!CL48),IF('ARDT Cutter Entry'!$C$111&lt;&gt;"",'ARDT Cutter Entry'!W113,'ARDT Cutter Entry'!W45))</f>
        <v/>
      </c>
      <c r="X14" s="167" t="str">
        <f>IF(OR(Data!$L$2=1,Data!$L$3=1),IF(OR(Data!CM48=0,Data!CM48=""),"","O"&amp;Data!CM48),IF('ARDT Cutter Entry'!$C$111&lt;&gt;"",'ARDT Cutter Entry'!X113,'ARDT Cutter Entry'!X45))</f>
        <v/>
      </c>
      <c r="Y14" s="167" t="str">
        <f>IF(OR(Data!$L$2=1,Data!$L$3=1),IF(OR(Data!CN48=0,Data!CN48=""),"","O"&amp;Data!CN48),IF('ARDT Cutter Entry'!$C$111&lt;&gt;"",'ARDT Cutter Entry'!Y113,'ARDT Cutter Entry'!Y45))</f>
        <v/>
      </c>
      <c r="Z14" s="167" t="str">
        <f>IF(OR(Data!$L$2=1,Data!$L$3=1),IF(OR(Data!CO48=0,Data!CO48=""),"","O"&amp;Data!CO48),IF('ARDT Cutter Entry'!$C$111&lt;&gt;"",'ARDT Cutter Entry'!Z113,'ARDT Cutter Entry'!Z45))</f>
        <v/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5" customHeight="1" x14ac:dyDescent="0.35">
      <c r="A15" s="1894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>S1</v>
      </c>
      <c r="D15" s="167" t="str">
        <f>IF(OR(Data!$L$2=1,Data!$L$3=1),IF(OR(Data!BS49=0,Data!BS49=""),"","O"&amp;Data!BS49),IF('ARDT Cutter Entry'!$C$111&lt;&gt;"",'ARDT Cutter Entry'!D114,'ARDT Cutter Entry'!D46))</f>
        <v>S1</v>
      </c>
      <c r="E15" s="167" t="str">
        <f>IF(OR(Data!$L$2=1,Data!$L$3=1),IF(OR(Data!BT49=0,Data!BT49=""),"","O"&amp;Data!BT49),IF('ARDT Cutter Entry'!$C$111&lt;&gt;"",'ARDT Cutter Entry'!E114,'ARDT Cutter Entry'!E46))</f>
        <v>X1</v>
      </c>
      <c r="F15" s="167" t="str">
        <f>IF(OR(Data!$L$2=1,Data!$L$3=1),IF(OR(Data!BU49=0,Data!BU49=""),"","O"&amp;Data!BU49),IF('ARDT Cutter Entry'!$C$111&lt;&gt;"",'ARDT Cutter Entry'!F114,'ARDT Cutter Entry'!F46))</f>
        <v>R1</v>
      </c>
      <c r="G15" s="167" t="str">
        <f>IF(OR(Data!$L$2=1,Data!$L$3=1),IF(OR(Data!BV49=0,Data!BV49=""),"","O"&amp;Data!BV49),IF('ARDT Cutter Entry'!$C$111&lt;&gt;"",'ARDT Cutter Entry'!G114,'ARDT Cutter Entry'!G46))</f>
        <v>X1</v>
      </c>
      <c r="H15" s="167" t="str">
        <f>IF(OR(Data!$L$2=1,Data!$L$3=1),IF(OR(Data!BW49=0,Data!BW49=""),"","O"&amp;Data!BW49),IF('ARDT Cutter Entry'!$C$111&lt;&gt;"",'ARDT Cutter Entry'!H114,'ARDT Cutter Entry'!H46))</f>
        <v>X3</v>
      </c>
      <c r="I15" s="167" t="str">
        <f>IF(OR(Data!$L$2=1,Data!$L$3=1),IF(OR(Data!BX49=0,Data!BX49=""),"","O"&amp;Data!BX49),IF('ARDT Cutter Entry'!$C$111&lt;&gt;"",'ARDT Cutter Entry'!I114,'ARDT Cutter Entry'!I46))</f>
        <v/>
      </c>
      <c r="J15" s="167" t="str">
        <f>IF(OR(Data!$L$2=1,Data!$L$3=1),IF(OR(Data!BY49=0,Data!BY49=""),"","O"&amp;Data!BY49),IF('ARDT Cutter Entry'!$C$111&lt;&gt;"",'ARDT Cutter Entry'!J114,'ARDT Cutter Entry'!J46))</f>
        <v/>
      </c>
      <c r="K15" s="167" t="str">
        <f>IF(OR(Data!$L$2=1,Data!$L$3=1),IF(OR(Data!BZ49=0,Data!BZ49=""),"","O"&amp;Data!BZ49),IF('ARDT Cutter Entry'!$C$111&lt;&gt;"",'ARDT Cutter Entry'!K114,'ARDT Cutter Entry'!K46))</f>
        <v/>
      </c>
      <c r="L15" s="167" t="str">
        <f>IF(OR(Data!$L$2=1,Data!$L$3=1),IF(OR(Data!CA49=0,Data!CA49=""),"","O"&amp;Data!CA49),IF('ARDT Cutter Entry'!$C$111&lt;&gt;"",'ARDT Cutter Entry'!L114,'ARDT Cutter Entry'!L46))</f>
        <v>S2</v>
      </c>
      <c r="M15" s="167" t="str">
        <f>IF(OR(Data!$L$2=1,Data!$L$3=1),IF(OR(Data!CB49=0,Data!CB49=""),"","O"&amp;Data!CB49),IF('ARDT Cutter Entry'!$C$111&lt;&gt;"",'ARDT Cutter Entry'!M114,'ARDT Cutter Entry'!M46))</f>
        <v>S2</v>
      </c>
      <c r="N15" s="167" t="str">
        <f>IF(OR(Data!$L$2=1,Data!$L$3=1),IF(OR(Data!CC49=0,Data!CC49=""),"","O"&amp;Data!CC49),IF('ARDT Cutter Entry'!$C$111&lt;&gt;"",'ARDT Cutter Entry'!N114,'ARDT Cutter Entry'!N46))</f>
        <v>S2</v>
      </c>
      <c r="O15" s="167" t="str">
        <f>IF(OR(Data!$L$2=1,Data!$L$3=1),IF(OR(Data!CD49=0,Data!CD49=""),"","O"&amp;Data!CD49),IF('ARDT Cutter Entry'!$C$111&lt;&gt;"",'ARDT Cutter Entry'!O114,'ARDT Cutter Entry'!O46))</f>
        <v>R2</v>
      </c>
      <c r="P15" s="167" t="str">
        <f>IF(OR(Data!$L$2=1,Data!$L$3=1),IF(OR(Data!CE49=0,Data!CE49=""),"","O"&amp;Data!CE49),IF('ARDT Cutter Entry'!$C$111&lt;&gt;"",'ARDT Cutter Entry'!P114,'ARDT Cutter Entry'!P46))</f>
        <v/>
      </c>
      <c r="Q15" s="167" t="str">
        <f>IF(OR(Data!$L$2=1,Data!$L$3=1),IF(OR(Data!CF49=0,Data!CF49=""),"","O"&amp;Data!CF49),IF('ARDT Cutter Entry'!$C$111&lt;&gt;"",'ARDT Cutter Entry'!Q114,'ARDT Cutter Entry'!Q46))</f>
        <v/>
      </c>
      <c r="R15" s="167" t="str">
        <f>IF(OR(Data!$L$2=1,Data!$L$3=1),IF(OR(Data!CG49=0,Data!CG49=""),"","O"&amp;Data!CG49),IF('ARDT Cutter Entry'!$C$111&lt;&gt;"",'ARDT Cutter Entry'!R114,'ARDT Cutter Entry'!R46))</f>
        <v/>
      </c>
      <c r="S15" s="167" t="str">
        <f>IF(OR(Data!$L$2=1,Data!$L$3=1),IF(OR(Data!CH49=0,Data!CH49=""),"","O"&amp;Data!CH49),IF('ARDT Cutter Entry'!$C$111&lt;&gt;"",'ARDT Cutter Entry'!S114,'ARDT Cutter Entry'!S46))</f>
        <v/>
      </c>
      <c r="T15" s="167" t="str">
        <f>IF(OR(Data!$L$2=1,Data!$L$3=1),IF(OR(Data!CI49=0,Data!CI49=""),"","O"&amp;Data!CI49),IF('ARDT Cutter Entry'!$C$111&lt;&gt;"",'ARDT Cutter Entry'!T114,'ARDT Cutter Entry'!T46))</f>
        <v/>
      </c>
      <c r="U15" s="167" t="str">
        <f>IF(OR(Data!$L$2=1,Data!$L$3=1),IF(OR(Data!CJ49=0,Data!CJ49=""),"","O"&amp;Data!CJ49),IF('ARDT Cutter Entry'!$C$111&lt;&gt;"",'ARDT Cutter Entry'!U114,'ARDT Cutter Entry'!U46))</f>
        <v/>
      </c>
      <c r="V15" s="167" t="str">
        <f>IF(OR(Data!$L$2=1,Data!$L$3=1),IF(OR(Data!CK49=0,Data!CK49=""),"","O"&amp;Data!CK49),IF('ARDT Cutter Entry'!$C$111&lt;&gt;"",'ARDT Cutter Entry'!V114,'ARDT Cutter Entry'!V46))</f>
        <v/>
      </c>
      <c r="W15" s="167" t="str">
        <f>IF(OR(Data!$L$2=1,Data!$L$3=1),IF(OR(Data!CL49=0,Data!CL49=""),"","O"&amp;Data!CL49),IF('ARDT Cutter Entry'!$C$111&lt;&gt;"",'ARDT Cutter Entry'!W114,'ARDT Cutter Entry'!W46))</f>
        <v/>
      </c>
      <c r="X15" s="167" t="str">
        <f>IF(OR(Data!$L$2=1,Data!$L$3=1),IF(OR(Data!CM49=0,Data!CM49=""),"","O"&amp;Data!CM49),IF('ARDT Cutter Entry'!$C$111&lt;&gt;"",'ARDT Cutter Entry'!X114,'ARDT Cutter Entry'!X46))</f>
        <v/>
      </c>
      <c r="Y15" s="167" t="str">
        <f>IF(OR(Data!$L$2=1,Data!$L$3=1),IF(OR(Data!CN49=0,Data!CN49=""),"","O"&amp;Data!CN49),IF('ARDT Cutter Entry'!$C$111&lt;&gt;"",'ARDT Cutter Entry'!Y114,'ARDT Cutter Entry'!Y46))</f>
        <v/>
      </c>
      <c r="Z15" s="167" t="str">
        <f>IF(OR(Data!$L$2=1,Data!$L$3=1),IF(OR(Data!CO49=0,Data!CO49=""),"","O"&amp;Data!CO49),IF('ARDT Cutter Entry'!$C$111&lt;&gt;"",'ARDT Cutter Entry'!Z114,'ARDT Cutter Entry'!Z46))</f>
        <v/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5" customHeight="1" x14ac:dyDescent="0.35">
      <c r="A16" s="1894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>S1</v>
      </c>
      <c r="D16" s="167" t="str">
        <f>IF(OR(Data!$L$2=1,Data!$L$3=1),IF(OR(Data!BS50=0,Data!BS50=""),"","O"&amp;Data!BS50),IF('ARDT Cutter Entry'!$C$111&lt;&gt;"",'ARDT Cutter Entry'!D115,'ARDT Cutter Entry'!D47))</f>
        <v>S1</v>
      </c>
      <c r="E16" s="167" t="str">
        <f>IF(OR(Data!$L$2=1,Data!$L$3=1),IF(OR(Data!BT50=0,Data!BT50=""),"","O"&amp;Data!BT50),IF('ARDT Cutter Entry'!$C$111&lt;&gt;"",'ARDT Cutter Entry'!E115,'ARDT Cutter Entry'!E47))</f>
        <v>S1</v>
      </c>
      <c r="F16" s="167" t="str">
        <f>IF(OR(Data!$L$2=1,Data!$L$3=1),IF(OR(Data!BU50=0,Data!BU50=""),"","O"&amp;Data!BU50),IF('ARDT Cutter Entry'!$C$111&lt;&gt;"",'ARDT Cutter Entry'!F115,'ARDT Cutter Entry'!F47))</f>
        <v>S1</v>
      </c>
      <c r="G16" s="167" t="str">
        <f>IF(OR(Data!$L$2=1,Data!$L$3=1),IF(OR(Data!BV50=0,Data!BV50=""),"","O"&amp;Data!BV50),IF('ARDT Cutter Entry'!$C$111&lt;&gt;"",'ARDT Cutter Entry'!G115,'ARDT Cutter Entry'!G47))</f>
        <v>S1</v>
      </c>
      <c r="H16" s="167" t="str">
        <f>IF(OR(Data!$L$2=1,Data!$L$3=1),IF(OR(Data!BW50=0,Data!BW50=""),"","O"&amp;Data!BW50),IF('ARDT Cutter Entry'!$C$111&lt;&gt;"",'ARDT Cutter Entry'!H115,'ARDT Cutter Entry'!H47))</f>
        <v>X1</v>
      </c>
      <c r="I16" s="167" t="str">
        <f>IF(OR(Data!$L$2=1,Data!$L$3=1),IF(OR(Data!BX50=0,Data!BX50=""),"","O"&amp;Data!BX50),IF('ARDT Cutter Entry'!$C$111&lt;&gt;"",'ARDT Cutter Entry'!I115,'ARDT Cutter Entry'!I47))</f>
        <v>R1</v>
      </c>
      <c r="J16" s="167" t="str">
        <f>IF(OR(Data!$L$2=1,Data!$L$3=1),IF(OR(Data!BY50=0,Data!BY50=""),"","O"&amp;Data!BY50),IF('ARDT Cutter Entry'!$C$111&lt;&gt;"",'ARDT Cutter Entry'!J115,'ARDT Cutter Entry'!J47))</f>
        <v>X3</v>
      </c>
      <c r="K16" s="167" t="str">
        <f>IF(OR(Data!$L$2=1,Data!$L$3=1),IF(OR(Data!BZ50=0,Data!BZ50=""),"","O"&amp;Data!BZ50),IF('ARDT Cutter Entry'!$C$111&lt;&gt;"",'ARDT Cutter Entry'!K115,'ARDT Cutter Entry'!K47))</f>
        <v/>
      </c>
      <c r="L16" s="167" t="str">
        <f>IF(OR(Data!$L$2=1,Data!$L$3=1),IF(OR(Data!CA50=0,Data!CA50=""),"","O"&amp;Data!CA50),IF('ARDT Cutter Entry'!$C$111&lt;&gt;"",'ARDT Cutter Entry'!L115,'ARDT Cutter Entry'!L47))</f>
        <v>S2</v>
      </c>
      <c r="M16" s="167" t="str">
        <f>IF(OR(Data!$L$2=1,Data!$L$3=1),IF(OR(Data!CB50=0,Data!CB50=""),"","O"&amp;Data!CB50),IF('ARDT Cutter Entry'!$C$111&lt;&gt;"",'ARDT Cutter Entry'!M115,'ARDT Cutter Entry'!M47))</f>
        <v>S2</v>
      </c>
      <c r="N16" s="167" t="str">
        <f>IF(OR(Data!$L$2=1,Data!$L$3=1),IF(OR(Data!CC50=0,Data!CC50=""),"","O"&amp;Data!CC50),IF('ARDT Cutter Entry'!$C$111&lt;&gt;"",'ARDT Cutter Entry'!N115,'ARDT Cutter Entry'!N47))</f>
        <v>X2</v>
      </c>
      <c r="O16" s="167" t="str">
        <f>IF(OR(Data!$L$2=1,Data!$L$3=1),IF(OR(Data!CD50=0,Data!CD50=""),"","O"&amp;Data!CD50),IF('ARDT Cutter Entry'!$C$111&lt;&gt;"",'ARDT Cutter Entry'!O115,'ARDT Cutter Entry'!O47))</f>
        <v>R2</v>
      </c>
      <c r="P16" s="167" t="str">
        <f>IF(OR(Data!$L$2=1,Data!$L$3=1),IF(OR(Data!CE50=0,Data!CE50=""),"","O"&amp;Data!CE50),IF('ARDT Cutter Entry'!$C$111&lt;&gt;"",'ARDT Cutter Entry'!P115,'ARDT Cutter Entry'!P47))</f>
        <v/>
      </c>
      <c r="Q16" s="167" t="str">
        <f>IF(OR(Data!$L$2=1,Data!$L$3=1),IF(OR(Data!CF50=0,Data!CF50=""),"","O"&amp;Data!CF50),IF('ARDT Cutter Entry'!$C$111&lt;&gt;"",'ARDT Cutter Entry'!Q115,'ARDT Cutter Entry'!Q47))</f>
        <v/>
      </c>
      <c r="R16" s="167" t="str">
        <f>IF(OR(Data!$L$2=1,Data!$L$3=1),IF(OR(Data!CG50=0,Data!CG50=""),"","O"&amp;Data!CG50),IF('ARDT Cutter Entry'!$C$111&lt;&gt;"",'ARDT Cutter Entry'!R115,'ARDT Cutter Entry'!R47))</f>
        <v/>
      </c>
      <c r="S16" s="167" t="str">
        <f>IF(OR(Data!$L$2=1,Data!$L$3=1),IF(OR(Data!CH50=0,Data!CH50=""),"","O"&amp;Data!CH50),IF('ARDT Cutter Entry'!$C$111&lt;&gt;"",'ARDT Cutter Entry'!S115,'ARDT Cutter Entry'!S47))</f>
        <v/>
      </c>
      <c r="T16" s="167" t="str">
        <f>IF(OR(Data!$L$2=1,Data!$L$3=1),IF(OR(Data!CI50=0,Data!CI50=""),"","O"&amp;Data!CI50),IF('ARDT Cutter Entry'!$C$111&lt;&gt;"",'ARDT Cutter Entry'!T115,'ARDT Cutter Entry'!T47))</f>
        <v/>
      </c>
      <c r="U16" s="167" t="str">
        <f>IF(OR(Data!$L$2=1,Data!$L$3=1),IF(OR(Data!CJ50=0,Data!CJ50=""),"","O"&amp;Data!CJ50),IF('ARDT Cutter Entry'!$C$111&lt;&gt;"",'ARDT Cutter Entry'!U115,'ARDT Cutter Entry'!U47))</f>
        <v/>
      </c>
      <c r="V16" s="167" t="str">
        <f>IF(OR(Data!$L$2=1,Data!$L$3=1),IF(OR(Data!CK50=0,Data!CK50=""),"","O"&amp;Data!CK50),IF('ARDT Cutter Entry'!$C$111&lt;&gt;"",'ARDT Cutter Entry'!V115,'ARDT Cutter Entry'!V47))</f>
        <v/>
      </c>
      <c r="W16" s="167" t="str">
        <f>IF(OR(Data!$L$2=1,Data!$L$3=1),IF(OR(Data!CL50=0,Data!CL50=""),"","O"&amp;Data!CL50),IF('ARDT Cutter Entry'!$C$111&lt;&gt;"",'ARDT Cutter Entry'!W115,'ARDT Cutter Entry'!W47))</f>
        <v/>
      </c>
      <c r="X16" s="167" t="str">
        <f>IF(OR(Data!$L$2=1,Data!$L$3=1),IF(OR(Data!CM50=0,Data!CM50=""),"","O"&amp;Data!CM50),IF('ARDT Cutter Entry'!$C$111&lt;&gt;"",'ARDT Cutter Entry'!X115,'ARDT Cutter Entry'!X47))</f>
        <v/>
      </c>
      <c r="Y16" s="167" t="str">
        <f>IF(OR(Data!$L$2=1,Data!$L$3=1),IF(OR(Data!CN50=0,Data!CN50=""),"","O"&amp;Data!CN50),IF('ARDT Cutter Entry'!$C$111&lt;&gt;"",'ARDT Cutter Entry'!Y115,'ARDT Cutter Entry'!Y47))</f>
        <v/>
      </c>
      <c r="Z16" s="167" t="str">
        <f>IF(OR(Data!$L$2=1,Data!$L$3=1),IF(OR(Data!CO50=0,Data!CO50=""),"","O"&amp;Data!CO50),IF('ARDT Cutter Entry'!$C$111&lt;&gt;"",'ARDT Cutter Entry'!Z115,'ARDT Cutter Entry'!Z47))</f>
        <v/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5" customHeight="1" x14ac:dyDescent="0.35">
      <c r="A17" s="1894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>S1</v>
      </c>
      <c r="D17" s="167" t="str">
        <f>IF(OR(Data!$L$2=1,Data!$L$3=1),IF(OR(Data!BS51=0,Data!BS51=""),"","O"&amp;Data!BS51),IF('ARDT Cutter Entry'!$C$111&lt;&gt;"",'ARDT Cutter Entry'!D116,'ARDT Cutter Entry'!D48))</f>
        <v>X1</v>
      </c>
      <c r="E17" s="167" t="str">
        <f>IF(OR(Data!$L$2=1,Data!$L$3=1),IF(OR(Data!BT51=0,Data!BT51=""),"","O"&amp;Data!BT51),IF('ARDT Cutter Entry'!$C$111&lt;&gt;"",'ARDT Cutter Entry'!E116,'ARDT Cutter Entry'!E48))</f>
        <v>S1</v>
      </c>
      <c r="F17" s="167" t="str">
        <f>IF(OR(Data!$L$2=1,Data!$L$3=1),IF(OR(Data!BU51=0,Data!BU51=""),"","O"&amp;Data!BU51),IF('ARDT Cutter Entry'!$C$111&lt;&gt;"",'ARDT Cutter Entry'!F116,'ARDT Cutter Entry'!F48))</f>
        <v>X1</v>
      </c>
      <c r="G17" s="167" t="str">
        <f>IF(OR(Data!$L$2=1,Data!$L$3=1),IF(OR(Data!BV51=0,Data!BV51=""),"","O"&amp;Data!BV51),IF('ARDT Cutter Entry'!$C$111&lt;&gt;"",'ARDT Cutter Entry'!G116,'ARDT Cutter Entry'!G48))</f>
        <v>X3</v>
      </c>
      <c r="H17" s="167" t="str">
        <f>IF(OR(Data!$L$2=1,Data!$L$3=1),IF(OR(Data!BW51=0,Data!BW51=""),"","O"&amp;Data!BW51),IF('ARDT Cutter Entry'!$C$111&lt;&gt;"",'ARDT Cutter Entry'!H116,'ARDT Cutter Entry'!H48))</f>
        <v/>
      </c>
      <c r="I17" s="167" t="str">
        <f>IF(OR(Data!$L$2=1,Data!$L$3=1),IF(OR(Data!BX51=0,Data!BX51=""),"","O"&amp;Data!BX51),IF('ARDT Cutter Entry'!$C$111&lt;&gt;"",'ARDT Cutter Entry'!I116,'ARDT Cutter Entry'!I48))</f>
        <v/>
      </c>
      <c r="J17" s="167" t="str">
        <f>IF(OR(Data!$L$2=1,Data!$L$3=1),IF(OR(Data!BY51=0,Data!BY51=""),"","O"&amp;Data!BY51),IF('ARDT Cutter Entry'!$C$111&lt;&gt;"",'ARDT Cutter Entry'!J116,'ARDT Cutter Entry'!J48))</f>
        <v/>
      </c>
      <c r="K17" s="167" t="str">
        <f>IF(OR(Data!$L$2=1,Data!$L$3=1),IF(OR(Data!BZ51=0,Data!BZ51=""),"","O"&amp;Data!BZ51),IF('ARDT Cutter Entry'!$C$111&lt;&gt;"",'ARDT Cutter Entry'!K116,'ARDT Cutter Entry'!K48))</f>
        <v/>
      </c>
      <c r="L17" s="167" t="str">
        <f>IF(OR(Data!$L$2=1,Data!$L$3=1),IF(OR(Data!CA51=0,Data!CA51=""),"","O"&amp;Data!CA51),IF('ARDT Cutter Entry'!$C$111&lt;&gt;"",'ARDT Cutter Entry'!L116,'ARDT Cutter Entry'!L48))</f>
        <v>S2</v>
      </c>
      <c r="M17" s="167" t="str">
        <f>IF(OR(Data!$L$2=1,Data!$L$3=1),IF(OR(Data!CB51=0,Data!CB51=""),"","O"&amp;Data!CB51),IF('ARDT Cutter Entry'!$C$111&lt;&gt;"",'ARDT Cutter Entry'!M116,'ARDT Cutter Entry'!M48))</f>
        <v>S2</v>
      </c>
      <c r="N17" s="167" t="str">
        <f>IF(OR(Data!$L$2=1,Data!$L$3=1),IF(OR(Data!CC51=0,Data!CC51=""),"","O"&amp;Data!CC51),IF('ARDT Cutter Entry'!$C$111&lt;&gt;"",'ARDT Cutter Entry'!N116,'ARDT Cutter Entry'!N48))</f>
        <v>S2</v>
      </c>
      <c r="O17" s="167" t="str">
        <f>IF(OR(Data!$L$2=1,Data!$L$3=1),IF(OR(Data!CD51=0,Data!CD51=""),"","O"&amp;Data!CD51),IF('ARDT Cutter Entry'!$C$111&lt;&gt;"",'ARDT Cutter Entry'!O116,'ARDT Cutter Entry'!O48))</f>
        <v>R2</v>
      </c>
      <c r="P17" s="167" t="str">
        <f>IF(OR(Data!$L$2=1,Data!$L$3=1),IF(OR(Data!CE51=0,Data!CE51=""),"","O"&amp;Data!CE51),IF('ARDT Cutter Entry'!$C$111&lt;&gt;"",'ARDT Cutter Entry'!P116,'ARDT Cutter Entry'!P48))</f>
        <v/>
      </c>
      <c r="Q17" s="167" t="str">
        <f>IF(OR(Data!$L$2=1,Data!$L$3=1),IF(OR(Data!CF51=0,Data!CF51=""),"","O"&amp;Data!CF51),IF('ARDT Cutter Entry'!$C$111&lt;&gt;"",'ARDT Cutter Entry'!Q116,'ARDT Cutter Entry'!Q48))</f>
        <v/>
      </c>
      <c r="R17" s="167" t="str">
        <f>IF(OR(Data!$L$2=1,Data!$L$3=1),IF(OR(Data!CG51=0,Data!CG51=""),"","O"&amp;Data!CG51),IF('ARDT Cutter Entry'!$C$111&lt;&gt;"",'ARDT Cutter Entry'!R116,'ARDT Cutter Entry'!R48))</f>
        <v/>
      </c>
      <c r="S17" s="167" t="str">
        <f>IF(OR(Data!$L$2=1,Data!$L$3=1),IF(OR(Data!CH51=0,Data!CH51=""),"","O"&amp;Data!CH51),IF('ARDT Cutter Entry'!$C$111&lt;&gt;"",'ARDT Cutter Entry'!S116,'ARDT Cutter Entry'!S48))</f>
        <v/>
      </c>
      <c r="T17" s="167" t="str">
        <f>IF(OR(Data!$L$2=1,Data!$L$3=1),IF(OR(Data!CI51=0,Data!CI51=""),"","O"&amp;Data!CI51),IF('ARDT Cutter Entry'!$C$111&lt;&gt;"",'ARDT Cutter Entry'!T116,'ARDT Cutter Entry'!T48))</f>
        <v/>
      </c>
      <c r="U17" s="167" t="str">
        <f>IF(OR(Data!$L$2=1,Data!$L$3=1),IF(OR(Data!CJ51=0,Data!CJ51=""),"","O"&amp;Data!CJ51),IF('ARDT Cutter Entry'!$C$111&lt;&gt;"",'ARDT Cutter Entry'!U116,'ARDT Cutter Entry'!U48))</f>
        <v/>
      </c>
      <c r="V17" s="167" t="str">
        <f>IF(OR(Data!$L$2=1,Data!$L$3=1),IF(OR(Data!CK51=0,Data!CK51=""),"","O"&amp;Data!CK51),IF('ARDT Cutter Entry'!$C$111&lt;&gt;"",'ARDT Cutter Entry'!V116,'ARDT Cutter Entry'!V48))</f>
        <v/>
      </c>
      <c r="W17" s="167" t="str">
        <f>IF(OR(Data!$L$2=1,Data!$L$3=1),IF(OR(Data!CL51=0,Data!CL51=""),"","O"&amp;Data!CL51),IF('ARDT Cutter Entry'!$C$111&lt;&gt;"",'ARDT Cutter Entry'!W116,'ARDT Cutter Entry'!W48))</f>
        <v/>
      </c>
      <c r="X17" s="167" t="str">
        <f>IF(OR(Data!$L$2=1,Data!$L$3=1),IF(OR(Data!CM51=0,Data!CM51=""),"","O"&amp;Data!CM51),IF('ARDT Cutter Entry'!$C$111&lt;&gt;"",'ARDT Cutter Entry'!X116,'ARDT Cutter Entry'!X48))</f>
        <v/>
      </c>
      <c r="Y17" s="167" t="str">
        <f>IF(OR(Data!$L$2=1,Data!$L$3=1),IF(OR(Data!CN51=0,Data!CN51=""),"","O"&amp;Data!CN51),IF('ARDT Cutter Entry'!$C$111&lt;&gt;"",'ARDT Cutter Entry'!Y116,'ARDT Cutter Entry'!Y48))</f>
        <v/>
      </c>
      <c r="Z17" s="167" t="str">
        <f>IF(OR(Data!$L$2=1,Data!$L$3=1),IF(OR(Data!CO51=0,Data!CO51=""),"","O"&amp;Data!CO51),IF('ARDT Cutter Entry'!$C$111&lt;&gt;"",'ARDT Cutter Entry'!Z116,'ARDT Cutter Entry'!Z48))</f>
        <v/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5" customHeight="1" x14ac:dyDescent="0.35">
      <c r="A18" s="1894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/>
      </c>
      <c r="D18" s="167" t="str">
        <f>IF(OR(Data!$L$2=1,Data!$L$3=1),IF(OR(Data!BS52=0,Data!BS52=""),"","O"&amp;Data!BS52),IF('ARDT Cutter Entry'!$C$111&lt;&gt;"",'ARDT Cutter Entry'!D117,'ARDT Cutter Entry'!D49))</f>
        <v/>
      </c>
      <c r="E18" s="167" t="str">
        <f>IF(OR(Data!$L$2=1,Data!$L$3=1),IF(OR(Data!BT52=0,Data!BT52=""),"","O"&amp;Data!BT52),IF('ARDT Cutter Entry'!$C$111&lt;&gt;"",'ARDT Cutter Entry'!E117,'ARDT Cutter Entry'!E49))</f>
        <v/>
      </c>
      <c r="F18" s="167" t="str">
        <f>IF(OR(Data!$L$2=1,Data!$L$3=1),IF(OR(Data!BU52=0,Data!BU52=""),"","O"&amp;Data!BU52),IF('ARDT Cutter Entry'!$C$111&lt;&gt;"",'ARDT Cutter Entry'!F117,'ARDT Cutter Entry'!F49))</f>
        <v/>
      </c>
      <c r="G18" s="167" t="str">
        <f>IF(OR(Data!$L$2=1,Data!$L$3=1),IF(OR(Data!BV52=0,Data!BV52=""),"","O"&amp;Data!BV52),IF('ARDT Cutter Entry'!$C$111&lt;&gt;"",'ARDT Cutter Entry'!G117,'ARDT Cutter Entry'!G49))</f>
        <v/>
      </c>
      <c r="H18" s="167" t="str">
        <f>IF(OR(Data!$L$2=1,Data!$L$3=1),IF(OR(Data!BW52=0,Data!BW52=""),"","O"&amp;Data!BW52),IF('ARDT Cutter Entry'!$C$111&lt;&gt;"",'ARDT Cutter Entry'!H117,'ARDT Cutter Entry'!H49))</f>
        <v/>
      </c>
      <c r="I18" s="167" t="str">
        <f>IF(OR(Data!$L$2=1,Data!$L$3=1),IF(OR(Data!BX52=0,Data!BX52=""),"","O"&amp;Data!BX52),IF('ARDT Cutter Entry'!$C$111&lt;&gt;"",'ARDT Cutter Entry'!I117,'ARDT Cutter Entry'!I49))</f>
        <v/>
      </c>
      <c r="J18" s="167" t="str">
        <f>IF(OR(Data!$L$2=1,Data!$L$3=1),IF(OR(Data!BY52=0,Data!BY52=""),"","O"&amp;Data!BY52),IF('ARDT Cutter Entry'!$C$111&lt;&gt;"",'ARDT Cutter Entry'!J117,'ARDT Cutter Entry'!J49))</f>
        <v/>
      </c>
      <c r="K18" s="167" t="str">
        <f>IF(OR(Data!$L$2=1,Data!$L$3=1),IF(OR(Data!BZ52=0,Data!BZ52=""),"","O"&amp;Data!BZ52),IF('ARDT Cutter Entry'!$C$111&lt;&gt;"",'ARDT Cutter Entry'!K117,'ARDT Cutter Entry'!K49))</f>
        <v/>
      </c>
      <c r="L18" s="167" t="str">
        <f>IF(OR(Data!$L$2=1,Data!$L$3=1),IF(OR(Data!CA52=0,Data!CA52=""),"","O"&amp;Data!CA52),IF('ARDT Cutter Entry'!$C$111&lt;&gt;"",'ARDT Cutter Entry'!L117,'ARDT Cutter Entry'!L49))</f>
        <v/>
      </c>
      <c r="M18" s="167" t="str">
        <f>IF(OR(Data!$L$2=1,Data!$L$3=1),IF(OR(Data!CB52=0,Data!CB52=""),"","O"&amp;Data!CB52),IF('ARDT Cutter Entry'!$C$111&lt;&gt;"",'ARDT Cutter Entry'!M117,'ARDT Cutter Entry'!M49))</f>
        <v/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/>
      </c>
      <c r="U18" s="167" t="str">
        <f>IF(OR(Data!$L$2=1,Data!$L$3=1),IF(OR(Data!CJ52=0,Data!CJ52=""),"","O"&amp;Data!CJ52),IF('ARDT Cutter Entry'!$C$111&lt;&gt;"",'ARDT Cutter Entry'!U117,'ARDT Cutter Entry'!U49))</f>
        <v/>
      </c>
      <c r="V18" s="167" t="str">
        <f>IF(OR(Data!$L$2=1,Data!$L$3=1),IF(OR(Data!CK52=0,Data!CK52=""),"","O"&amp;Data!CK52),IF('ARDT Cutter Entry'!$C$111&lt;&gt;"",'ARDT Cutter Entry'!V117,'ARDT Cutter Entry'!V49))</f>
        <v/>
      </c>
      <c r="W18" s="167" t="str">
        <f>IF(OR(Data!$L$2=1,Data!$L$3=1),IF(OR(Data!CL52=0,Data!CL52=""),"","O"&amp;Data!CL52),IF('ARDT Cutter Entry'!$C$111&lt;&gt;"",'ARDT Cutter Entry'!W117,'ARDT Cutter Entry'!W49))</f>
        <v/>
      </c>
      <c r="X18" s="167" t="str">
        <f>IF(OR(Data!$L$2=1,Data!$L$3=1),IF(OR(Data!CM52=0,Data!CM52=""),"","O"&amp;Data!CM52),IF('ARDT Cutter Entry'!$C$111&lt;&gt;"",'ARDT Cutter Entry'!X117,'ARDT Cutter Entry'!X49))</f>
        <v/>
      </c>
      <c r="Y18" s="167" t="str">
        <f>IF(OR(Data!$L$2=1,Data!$L$3=1),IF(OR(Data!CN52=0,Data!CN52=""),"","O"&amp;Data!CN52),IF('ARDT Cutter Entry'!$C$111&lt;&gt;"",'ARDT Cutter Entry'!Y117,'ARDT Cutter Entry'!Y49))</f>
        <v/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5" customHeight="1" x14ac:dyDescent="0.35">
      <c r="A19" s="1894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/>
      </c>
      <c r="D19" s="167" t="str">
        <f>IF(OR(Data!$L$2=1,Data!$L$3=1),IF(OR(Data!BS53=0,Data!BS53=""),"","O"&amp;Data!BS53),IF('ARDT Cutter Entry'!$C$111&lt;&gt;"",'ARDT Cutter Entry'!D118,'ARDT Cutter Entry'!D50))</f>
        <v/>
      </c>
      <c r="E19" s="167" t="str">
        <f>IF(OR(Data!$L$2=1,Data!$L$3=1),IF(OR(Data!BT53=0,Data!BT53=""),"","O"&amp;Data!BT53),IF('ARDT Cutter Entry'!$C$111&lt;&gt;"",'ARDT Cutter Entry'!E118,'ARDT Cutter Entry'!E50))</f>
        <v/>
      </c>
      <c r="F19" s="167" t="str">
        <f>IF(OR(Data!$L$2=1,Data!$L$3=1),IF(OR(Data!BU53=0,Data!BU53=""),"","O"&amp;Data!BU53),IF('ARDT Cutter Entry'!$C$111&lt;&gt;"",'ARDT Cutter Entry'!F118,'ARDT Cutter Entry'!F50))</f>
        <v/>
      </c>
      <c r="G19" s="167" t="str">
        <f>IF(OR(Data!$L$2=1,Data!$L$3=1),IF(OR(Data!BV53=0,Data!BV53=""),"","O"&amp;Data!BV53),IF('ARDT Cutter Entry'!$C$111&lt;&gt;"",'ARDT Cutter Entry'!G118,'ARDT Cutter Entry'!G50))</f>
        <v/>
      </c>
      <c r="H19" s="167" t="str">
        <f>IF(OR(Data!$L$2=1,Data!$L$3=1),IF(OR(Data!BW53=0,Data!BW53=""),"","O"&amp;Data!BW53),IF('ARDT Cutter Entry'!$C$111&lt;&gt;"",'ARDT Cutter Entry'!H118,'ARDT Cutter Entry'!H50))</f>
        <v/>
      </c>
      <c r="I19" s="167" t="str">
        <f>IF(OR(Data!$L$2=1,Data!$L$3=1),IF(OR(Data!BX53=0,Data!BX53=""),"","O"&amp;Data!BX53),IF('ARDT Cutter Entry'!$C$111&lt;&gt;"",'ARDT Cutter Entry'!I118,'ARDT Cutter Entry'!I50))</f>
        <v/>
      </c>
      <c r="J19" s="167" t="str">
        <f>IF(OR(Data!$L$2=1,Data!$L$3=1),IF(OR(Data!BY53=0,Data!BY53=""),"","O"&amp;Data!BY53),IF('ARDT Cutter Entry'!$C$111&lt;&gt;"",'ARDT Cutter Entry'!J118,'ARDT Cutter Entry'!J50))</f>
        <v/>
      </c>
      <c r="K19" s="167" t="str">
        <f>IF(OR(Data!$L$2=1,Data!$L$3=1),IF(OR(Data!BZ53=0,Data!BZ53=""),"","O"&amp;Data!BZ53),IF('ARDT Cutter Entry'!$C$111&lt;&gt;"",'ARDT Cutter Entry'!K118,'ARDT Cutter Entry'!K50))</f>
        <v/>
      </c>
      <c r="L19" s="167" t="str">
        <f>IF(OR(Data!$L$2=1,Data!$L$3=1),IF(OR(Data!CA53=0,Data!CA53=""),"","O"&amp;Data!CA53),IF('ARDT Cutter Entry'!$C$111&lt;&gt;"",'ARDT Cutter Entry'!L118,'ARDT Cutter Entry'!L50))</f>
        <v/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/>
      </c>
      <c r="U19" s="167" t="str">
        <f>IF(OR(Data!$L$2=1,Data!$L$3=1),IF(OR(Data!CJ53=0,Data!CJ53=""),"","O"&amp;Data!CJ53),IF('ARDT Cutter Entry'!$C$111&lt;&gt;"",'ARDT Cutter Entry'!U118,'ARDT Cutter Entry'!U50))</f>
        <v/>
      </c>
      <c r="V19" s="167" t="str">
        <f>IF(OR(Data!$L$2=1,Data!$L$3=1),IF(OR(Data!CK53=0,Data!CK53=""),"","O"&amp;Data!CK53),IF('ARDT Cutter Entry'!$C$111&lt;&gt;"",'ARDT Cutter Entry'!V118,'ARDT Cutter Entry'!V50))</f>
        <v/>
      </c>
      <c r="W19" s="167" t="str">
        <f>IF(OR(Data!$L$2=1,Data!$L$3=1),IF(OR(Data!CL53=0,Data!CL53=""),"","O"&amp;Data!CL53),IF('ARDT Cutter Entry'!$C$111&lt;&gt;"",'ARDT Cutter Entry'!W118,'ARDT Cutter Entry'!W50))</f>
        <v/>
      </c>
      <c r="X19" s="167" t="str">
        <f>IF(OR(Data!$L$2=1,Data!$L$3=1),IF(OR(Data!CM53=0,Data!CM53=""),"","O"&amp;Data!CM53),IF('ARDT Cutter Entry'!$C$111&lt;&gt;"",'ARDT Cutter Entry'!X118,'ARDT Cutter Entry'!X50))</f>
        <v/>
      </c>
      <c r="Y19" s="167" t="str">
        <f>IF(OR(Data!$L$2=1,Data!$L$3=1),IF(OR(Data!CN53=0,Data!CN53=""),"","O"&amp;Data!CN53),IF('ARDT Cutter Entry'!$C$111&lt;&gt;"",'ARDT Cutter Entry'!Y118,'ARDT Cutter Entry'!Y50))</f>
        <v/>
      </c>
      <c r="Z19" s="167" t="str">
        <f>IF(OR(Data!$L$2=1,Data!$L$3=1),IF(OR(Data!CO53=0,Data!CO53=""),"","O"&amp;Data!CO53),IF('ARDT Cutter Entry'!$C$111&lt;&gt;"",'ARDT Cutter Entry'!Z118,'ARDT Cutter Entry'!Z50))</f>
        <v/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5" customHeight="1" x14ac:dyDescent="0.35">
      <c r="A20" s="1894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5" customHeight="1" x14ac:dyDescent="0.35">
      <c r="A21" s="1894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5" customHeight="1" x14ac:dyDescent="0.35">
      <c r="A22" s="1894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5" customHeight="1" thickBot="1" x14ac:dyDescent="0.4">
      <c r="A23" s="1895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15" customHeight="1" thickBot="1" x14ac:dyDescent="0.4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4">
      <c r="A25" s="1830" t="s">
        <v>795</v>
      </c>
      <c r="B25" s="1830"/>
      <c r="C25" s="1830"/>
      <c r="D25" s="1830"/>
      <c r="E25" s="1838" t="str">
        <f>IF(Data!B11&lt;&gt;"",Data!B11," ")</f>
        <v>Ali Alhammad</v>
      </c>
      <c r="F25" s="1838"/>
      <c r="G25" s="1838"/>
      <c r="H25" s="1838"/>
      <c r="I25" s="1830" t="s">
        <v>796</v>
      </c>
      <c r="J25" s="1830"/>
      <c r="K25" s="1829" t="str">
        <f>IF(Data!B12&lt;&gt;"",Data!B12," ")</f>
        <v>Habeeb Radi</v>
      </c>
      <c r="L25" s="1829"/>
      <c r="M25" s="1829"/>
      <c r="N25" s="1829"/>
      <c r="O25" s="1839" t="s">
        <v>36</v>
      </c>
      <c r="P25" s="1839"/>
      <c r="Q25" s="1831">
        <f>IF(Data!B13&lt;&gt;"",Data!B13," ")</f>
        <v>46029</v>
      </c>
      <c r="R25" s="1831"/>
      <c r="S25" s="1831"/>
      <c r="T25" s="1831"/>
      <c r="U25" s="451"/>
      <c r="V25" s="1655" t="s">
        <v>847</v>
      </c>
      <c r="W25" s="1655"/>
      <c r="X25" s="1655"/>
      <c r="Y25" s="464" t="str">
        <f>IF(Data!G32=1,"",IF(Data!B5&lt;&gt;"",IF(OR(AG25="√",AC25="√"),"","√"),""))</f>
        <v>√</v>
      </c>
      <c r="Z25" s="1655" t="s">
        <v>848</v>
      </c>
      <c r="AA25" s="1655"/>
      <c r="AB25" s="1656"/>
      <c r="AC25" s="464" t="str">
        <f>IF(OR(Data!L4=1,Data!L5=1), "√", "")</f>
        <v/>
      </c>
      <c r="AD25" s="1655" t="s">
        <v>849</v>
      </c>
      <c r="AE25" s="1655"/>
      <c r="AF25" s="1655"/>
      <c r="AG25" s="464" t="str">
        <f>IF(OR(Data!L2=1,Data!L3=1),"√","")</f>
        <v/>
      </c>
      <c r="AH25" s="450"/>
      <c r="AI25" s="452"/>
    </row>
    <row r="26" spans="1:35" ht="5.15" customHeight="1" thickBot="1" x14ac:dyDescent="0.4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35">
      <c r="A27" s="1832" t="s">
        <v>1047</v>
      </c>
      <c r="B27" s="1825"/>
      <c r="C27" s="1825"/>
      <c r="D27" s="1825" t="s">
        <v>1048</v>
      </c>
      <c r="E27" s="1825"/>
      <c r="F27" s="1825" t="s">
        <v>1049</v>
      </c>
      <c r="G27" s="1825"/>
      <c r="H27" s="1825" t="s">
        <v>1050</v>
      </c>
      <c r="I27" s="1825"/>
      <c r="J27" s="1685" t="s">
        <v>1051</v>
      </c>
      <c r="K27" s="1685"/>
      <c r="L27" s="1825" t="s">
        <v>1052</v>
      </c>
      <c r="M27" s="1825"/>
      <c r="N27" s="1825" t="s">
        <v>21</v>
      </c>
      <c r="O27" s="1826"/>
      <c r="R27" s="1832" t="str">
        <f>IF(COUNTIF(N7,"S*"),"P.H.F.-P","P.B.U.-P")</f>
        <v>P.B.U.-P</v>
      </c>
      <c r="S27" s="1825"/>
      <c r="T27" s="1825"/>
      <c r="U27" s="1825" t="str">
        <f>IF(COUNTIF(N7,"S*"),"F.H.F.-V","F.B.U.-V")</f>
        <v>F.B.U.-V</v>
      </c>
      <c r="V27" s="1825"/>
      <c r="W27" s="1825"/>
      <c r="X27" s="1825" t="str">
        <f>IF(COUNTIF(N7,"S*"),"IA.H.F.-I","IA.B.U.-I")</f>
        <v>IA.B.U.-I</v>
      </c>
      <c r="Y27" s="1825"/>
      <c r="Z27" s="1826"/>
    </row>
    <row r="28" spans="1:35" ht="12.75" customHeight="1" thickBot="1" x14ac:dyDescent="0.4">
      <c r="A28" s="1837">
        <f>IF(OR(Data!L2=1,Data!L3=1),0,IF('Eng. Cutter Entry'!C4&lt;&gt;"",'ARDT Cutter Entry'!BI62,'ARDT Cutter Entry'!BI6))</f>
        <v>10</v>
      </c>
      <c r="B28" s="1827"/>
      <c r="C28" s="1827"/>
      <c r="D28" s="1827">
        <f>IF(OR(Data!L2=1,Data!L3=1),0,IF('Eng. Cutter Entry'!C4&lt;&gt;"",'ARDT Cutter Entry'!BI63,'ARDT Cutter Entry'!BI7))</f>
        <v>35</v>
      </c>
      <c r="E28" s="1827"/>
      <c r="F28" s="1827">
        <f>IF(OR(Data!L2=1,Data!L3=1),Data!BO63,IF('Eng. Cutter Entry'!C4&lt;&gt;"",'ARDT Cutter Entry'!BI65,'ARDT Cutter Entry'!BI9))</f>
        <v>0</v>
      </c>
      <c r="G28" s="1827"/>
      <c r="H28" s="1827">
        <f>IF(OR(Data!L2=1,Data!L3=1),0,IF('Eng. Cutter Entry'!C4&lt;&gt;"",'ARDT Cutter Entry'!BI64,'ARDT Cutter Entry'!BI8))</f>
        <v>0</v>
      </c>
      <c r="I28" s="1827"/>
      <c r="J28" s="1827">
        <f>IF(OR(Data!L2=1,Data!L3=1),0,IF('Eng. Cutter Entry'!C4&lt;&gt;"",'ARDT Cutter Entry'!BI58+'ARDT Cutter Entry'!BI59,'ARDT Cutter Entry'!BI2+'ARDT Cutter Entry'!BI3))</f>
        <v>17</v>
      </c>
      <c r="K28" s="1827"/>
      <c r="L28" s="1827">
        <f>IF(OR(Data!L2=1,Data!L3=1),0,IF('Eng. Cutter Entry'!C4&lt;&gt;"",'ARDT Cutter Entry'!BI60+'ARDT Cutter Entry'!BI61,'ARDT Cutter Entry'!BI4+'ARDT Cutter Entry'!BI5))</f>
        <v>0</v>
      </c>
      <c r="M28" s="1827"/>
      <c r="N28" s="1827">
        <f>IF(Data!BO63&lt;&gt;"",Data!BO63," ")</f>
        <v>62</v>
      </c>
      <c r="O28" s="1828"/>
      <c r="R28" s="1837">
        <f>IF(OR(Data!L2=1,Data!L3=1),0,IF('Eng. Cutter Entry'!C4&lt;&gt;"",'ARDT Cutter Entry'!AL62,'ARDT Cutter Entry'!AL2))</f>
        <v>4</v>
      </c>
      <c r="S28" s="1827"/>
      <c r="T28" s="1827"/>
      <c r="U28" s="1827">
        <f>IF(OR(Data!L2=1,Data!L3=1),0,IF('Eng. Cutter Entry'!C4&lt;&gt;"",'ARDT Cutter Entry'!AL64,'ARDT Cutter Entry'!AL4))</f>
        <v>0</v>
      </c>
      <c r="V28" s="1827"/>
      <c r="W28" s="1827"/>
      <c r="X28" s="1827">
        <f>IF(OR(Data!L2=1,Data!L3=1),0,IF('Eng. Cutter Entry'!C4&lt;&gt;"",'ARDT Cutter Entry'!AL63,'ARDT Cutter Entry'!AL3))</f>
        <v>0</v>
      </c>
      <c r="Y28" s="1827"/>
      <c r="Z28" s="1828"/>
    </row>
    <row r="29" spans="1:35" ht="7.5" customHeight="1" x14ac:dyDescent="0.35">
      <c r="A29" s="1878" t="s">
        <v>19</v>
      </c>
      <c r="B29" s="1878"/>
      <c r="C29" s="1878"/>
      <c r="D29" s="1667" t="str">
        <f>IF(Data!L2=1,"The bit is Rerunable, No need for repair. ",IF('ARDT Cutter Entry'!Y57=1,"Accepted as rerun by LSTK engineer",IF('ARDT Cutter Entry'!D21&lt;&gt;"",'ARDT Cutter Entry'!D21," ")))</f>
        <v>Shank need machining, Breaker slot needs cleaning. Build up the following: pockets B1P6, B1P11, B3P7 and B4P6.</v>
      </c>
      <c r="E29" s="1667"/>
      <c r="F29" s="1667"/>
      <c r="G29" s="1667"/>
      <c r="H29" s="1667"/>
      <c r="I29" s="1667"/>
      <c r="J29" s="1667"/>
      <c r="K29" s="1667"/>
      <c r="L29" s="1667"/>
      <c r="M29" s="1667"/>
      <c r="N29" s="1667"/>
      <c r="O29" s="1667"/>
      <c r="P29" s="1667"/>
      <c r="Q29" s="1667"/>
      <c r="R29" s="1667"/>
      <c r="S29" s="1667"/>
      <c r="T29" s="1667"/>
      <c r="U29" s="1667"/>
      <c r="V29" s="1667"/>
      <c r="W29" s="1667"/>
      <c r="X29" s="1667"/>
      <c r="Y29" s="1667"/>
      <c r="Z29" s="1667"/>
      <c r="AA29" s="1667"/>
      <c r="AB29" s="1667"/>
      <c r="AC29" s="1667"/>
      <c r="AD29" s="1667"/>
      <c r="AE29" s="1667"/>
      <c r="AF29" s="1667"/>
      <c r="AG29" s="1667"/>
      <c r="AH29" s="1667"/>
      <c r="AI29" s="1667"/>
    </row>
    <row r="30" spans="1:35" ht="7.5" customHeight="1" x14ac:dyDescent="0.35">
      <c r="A30" s="1854" t="str">
        <f>IF(Instructions!$L$1&lt;&gt;"",Instructions!$L$1,"")</f>
        <v/>
      </c>
      <c r="B30" s="1854"/>
      <c r="C30" s="1854"/>
      <c r="D30" s="1667"/>
      <c r="E30" s="1667"/>
      <c r="F30" s="1667"/>
      <c r="G30" s="1667"/>
      <c r="H30" s="1667"/>
      <c r="I30" s="1667"/>
      <c r="J30" s="1667"/>
      <c r="K30" s="1667"/>
      <c r="L30" s="1667"/>
      <c r="M30" s="1667"/>
      <c r="N30" s="1667"/>
      <c r="O30" s="1667"/>
      <c r="P30" s="1667"/>
      <c r="Q30" s="1667"/>
      <c r="R30" s="1667"/>
      <c r="S30" s="1667"/>
      <c r="T30" s="1667"/>
      <c r="U30" s="1667"/>
      <c r="V30" s="1667"/>
      <c r="W30" s="1667"/>
      <c r="X30" s="1667"/>
      <c r="Y30" s="1667"/>
      <c r="Z30" s="1667"/>
      <c r="AA30" s="1667"/>
      <c r="AB30" s="1667"/>
      <c r="AC30" s="1667"/>
      <c r="AD30" s="1667"/>
      <c r="AE30" s="1667"/>
      <c r="AF30" s="1667"/>
      <c r="AG30" s="1667"/>
      <c r="AH30" s="1667"/>
      <c r="AI30" s="1667"/>
    </row>
    <row r="31" spans="1:35" ht="7.5" customHeight="1" x14ac:dyDescent="0.35">
      <c r="A31" s="1854"/>
      <c r="B31" s="1854"/>
      <c r="C31" s="1854"/>
      <c r="D31" s="1667"/>
      <c r="E31" s="1667"/>
      <c r="F31" s="1667"/>
      <c r="G31" s="1667"/>
      <c r="H31" s="1667"/>
      <c r="I31" s="1667"/>
      <c r="J31" s="1667"/>
      <c r="K31" s="1667"/>
      <c r="L31" s="1667"/>
      <c r="M31" s="1667"/>
      <c r="N31" s="1667"/>
      <c r="O31" s="1667"/>
      <c r="P31" s="1667"/>
      <c r="Q31" s="1667"/>
      <c r="R31" s="1667"/>
      <c r="S31" s="1667"/>
      <c r="T31" s="1667"/>
      <c r="U31" s="1667"/>
      <c r="V31" s="1667"/>
      <c r="W31" s="1667"/>
      <c r="X31" s="1667"/>
      <c r="Y31" s="1667"/>
      <c r="Z31" s="1667"/>
      <c r="AA31" s="1667"/>
      <c r="AB31" s="1667"/>
      <c r="AC31" s="1667"/>
      <c r="AD31" s="1667"/>
      <c r="AE31" s="1667"/>
      <c r="AF31" s="1667"/>
      <c r="AG31" s="1667"/>
      <c r="AH31" s="1667"/>
      <c r="AI31" s="1667"/>
    </row>
    <row r="32" spans="1:35" ht="4.5" customHeight="1" x14ac:dyDescent="0.3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35">
      <c r="B33" s="1668" t="s">
        <v>729</v>
      </c>
      <c r="C33" s="1668"/>
      <c r="D33" s="1668"/>
      <c r="E33" s="1668"/>
      <c r="F33" s="1668"/>
      <c r="G33" s="1668"/>
      <c r="H33" s="1829" t="str">
        <f>IF(Data!B14&lt;&gt;"",Data!B14," ")</f>
        <v xml:space="preserve"> </v>
      </c>
      <c r="I33" s="1829"/>
      <c r="J33" s="1829"/>
      <c r="K33" s="1829"/>
      <c r="L33" s="1829"/>
      <c r="O33" s="1830" t="s">
        <v>36</v>
      </c>
      <c r="P33" s="1830"/>
      <c r="Q33" s="1831" t="str">
        <f>IF(Data!B15&lt;&gt;"",Data!B15," ")</f>
        <v xml:space="preserve"> </v>
      </c>
      <c r="R33" s="1831"/>
      <c r="S33" s="1831"/>
      <c r="T33" s="1831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4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4">
      <c r="A35" s="1880" t="s">
        <v>39</v>
      </c>
      <c r="B35" s="1881"/>
      <c r="C35" s="1881"/>
      <c r="D35" s="1881"/>
      <c r="E35" s="1881"/>
      <c r="F35" s="1881"/>
      <c r="G35" s="1881"/>
      <c r="H35" s="1881"/>
      <c r="I35" s="1881"/>
      <c r="J35" s="1881"/>
      <c r="K35" s="1881"/>
      <c r="L35" s="1881"/>
      <c r="M35" s="1881"/>
      <c r="N35" s="1881"/>
      <c r="O35" s="1881"/>
      <c r="P35" s="1881"/>
      <c r="Q35" s="1881"/>
      <c r="R35" s="1881"/>
      <c r="S35" s="1881"/>
      <c r="T35" s="1881"/>
      <c r="U35" s="1881"/>
      <c r="V35" s="1881"/>
      <c r="W35" s="1881"/>
      <c r="X35" s="1881"/>
      <c r="Y35" s="1881"/>
      <c r="Z35" s="1881"/>
      <c r="AA35" s="1881"/>
      <c r="AB35" s="1881"/>
      <c r="AC35" s="1881"/>
      <c r="AD35" s="1881"/>
      <c r="AE35" s="1881"/>
      <c r="AF35" s="1881"/>
      <c r="AG35" s="1881"/>
      <c r="AH35" s="1881"/>
      <c r="AI35" s="1882"/>
    </row>
    <row r="36" spans="1:35" ht="6.75" customHeight="1" x14ac:dyDescent="0.35">
      <c r="A36" s="1858" t="s">
        <v>108</v>
      </c>
      <c r="B36" s="1859"/>
      <c r="C36" s="1683" t="s">
        <v>40</v>
      </c>
      <c r="D36" s="1681"/>
      <c r="E36" s="1862"/>
      <c r="F36" s="1866" t="s">
        <v>41</v>
      </c>
      <c r="G36" s="1867"/>
      <c r="H36" s="1867"/>
      <c r="I36" s="1868"/>
      <c r="J36" s="1866" t="s">
        <v>730</v>
      </c>
      <c r="K36" s="1867"/>
      <c r="L36" s="1867"/>
      <c r="M36" s="1868"/>
      <c r="N36" s="1872" t="s">
        <v>43</v>
      </c>
      <c r="O36" s="1873"/>
      <c r="P36" s="1873"/>
      <c r="Q36" s="1873"/>
      <c r="R36" s="1873"/>
      <c r="S36" s="1873"/>
      <c r="T36" s="1873"/>
      <c r="U36" s="1873"/>
      <c r="V36" s="1873"/>
      <c r="W36" s="1873"/>
      <c r="X36" s="1873"/>
      <c r="Y36" s="1874"/>
      <c r="Z36" s="1885" t="s">
        <v>727</v>
      </c>
      <c r="AA36" s="1878"/>
      <c r="AB36" s="1878"/>
      <c r="AC36" s="1878"/>
      <c r="AD36" s="1886"/>
      <c r="AE36" s="1885" t="s">
        <v>728</v>
      </c>
      <c r="AF36" s="1878"/>
      <c r="AG36" s="1878"/>
      <c r="AH36" s="1878"/>
      <c r="AI36" s="1886"/>
    </row>
    <row r="37" spans="1:35" ht="6.75" customHeight="1" thickBot="1" x14ac:dyDescent="0.4">
      <c r="A37" s="1860"/>
      <c r="B37" s="1861"/>
      <c r="C37" s="1863"/>
      <c r="D37" s="1864"/>
      <c r="E37" s="1865"/>
      <c r="F37" s="1869"/>
      <c r="G37" s="1870"/>
      <c r="H37" s="1870"/>
      <c r="I37" s="1871"/>
      <c r="J37" s="1869"/>
      <c r="K37" s="1870"/>
      <c r="L37" s="1870"/>
      <c r="M37" s="1871"/>
      <c r="N37" s="1875"/>
      <c r="O37" s="1876"/>
      <c r="P37" s="1876"/>
      <c r="Q37" s="1876"/>
      <c r="R37" s="1876"/>
      <c r="S37" s="1876"/>
      <c r="T37" s="1876"/>
      <c r="U37" s="1876"/>
      <c r="V37" s="1876"/>
      <c r="W37" s="1876"/>
      <c r="X37" s="1876"/>
      <c r="Y37" s="1877"/>
      <c r="Z37" s="1887"/>
      <c r="AA37" s="1888"/>
      <c r="AB37" s="1888"/>
      <c r="AC37" s="1888"/>
      <c r="AD37" s="1889"/>
      <c r="AE37" s="1887"/>
      <c r="AF37" s="1888"/>
      <c r="AG37" s="1888"/>
      <c r="AH37" s="1888"/>
      <c r="AI37" s="1889"/>
    </row>
    <row r="38" spans="1:35" ht="11.5" customHeight="1" x14ac:dyDescent="0.35">
      <c r="A38" s="1133">
        <f>IF(TRIM(J38)="","",IF(Data!CX60&gt;0,IF(Data!CX60&lt;&gt;"", Data!CX60, " ")," "))</f>
        <v>1</v>
      </c>
      <c r="B38" s="1126"/>
      <c r="C38" s="1879">
        <f>IF(Quotation!$W$27=550,0,IF('Eng. Cutter Entry'!C4&lt;&gt;"",IF(Data!E12&gt;0,IF(Data!E12&lt;&gt;"", Data!E12,0),0),'ARDT Cutter Entry'!AQ2+'ARDT Cutter Entry'!AQ3+'ARDT Cutter Entry'!AQ4+'ARDT Cutter Entry'!AQ5))</f>
        <v>8</v>
      </c>
      <c r="D38" s="1879"/>
      <c r="E38" s="1879"/>
      <c r="F38" s="1879">
        <f>IF(Data!GK2&gt;0,IF(Data!GK2&lt;&gt;"",Data!GK2," ")," ")</f>
        <v>1613</v>
      </c>
      <c r="G38" s="1879"/>
      <c r="H38" s="1879"/>
      <c r="I38" s="1879"/>
      <c r="J38" s="1879">
        <f>IF(Data!GG2&gt;0,IF(Data!GG2&lt;&gt;"",IF(Data!GG2&lt;&gt;"Add the cutter in list",Data!GG2," ")," "),"")</f>
        <v>1130198</v>
      </c>
      <c r="K38" s="1879"/>
      <c r="L38" s="1879"/>
      <c r="M38" s="1879"/>
      <c r="N38" s="187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O38" s="1879"/>
      <c r="P38" s="1879"/>
      <c r="Q38" s="1879"/>
      <c r="R38" s="1879"/>
      <c r="S38" s="1879" t="str">
        <f>IF(AND(Data!GR2&lt;&gt;"",Data!GR2&lt;&gt;0),Data!GR2,"")</f>
        <v/>
      </c>
      <c r="T38" s="1879"/>
      <c r="U38" s="1879"/>
      <c r="V38" s="1879"/>
      <c r="W38" s="1879"/>
      <c r="X38" s="1879"/>
      <c r="Y38" s="1879"/>
      <c r="Z38" s="1883" t="str">
        <f>IF(Data!L12=0,"",Data!L12)</f>
        <v/>
      </c>
      <c r="AA38" s="1883"/>
      <c r="AB38" s="1883"/>
      <c r="AC38" s="1883"/>
      <c r="AD38" s="1883"/>
      <c r="AE38" s="1883">
        <f t="shared" ref="AE38:AE44" si="0">IF(IFERROR(C38-Z38,C38)=0,"",IFERROR(C38-Z38,C38))</f>
        <v>8</v>
      </c>
      <c r="AF38" s="1883"/>
      <c r="AG38" s="1883"/>
      <c r="AH38" s="1883"/>
      <c r="AI38" s="1884"/>
    </row>
    <row r="39" spans="1:35" ht="11.5" customHeight="1" x14ac:dyDescent="0.35">
      <c r="A39" s="1133">
        <f>IF(TRIM(J39)="","",IF(Data!CX61&gt;0,IF(Data!CX61&lt;&gt;"", Data!CX61, " ")," "))</f>
        <v>2</v>
      </c>
      <c r="B39" s="1126"/>
      <c r="C39" s="1799">
        <f>IF(Quotation!$W$27=550,0,IF('Eng. Cutter Entry'!C4&lt;&gt;"",IF(Data!E13&gt;0,IF(Data!E13&lt;&gt;"", Data!E13, 0),0),'ARDT Cutter Entry'!AR2+'ARDT Cutter Entry'!AR3+'ARDT Cutter Entry'!AR4+'ARDT Cutter Entry'!AR5))</f>
        <v>3</v>
      </c>
      <c r="D39" s="1799"/>
      <c r="E39" s="1799"/>
      <c r="F39" s="1799">
        <f>IF(Data!GK3&gt;0,IF(Data!GK3&lt;&gt;"",Data!GK3," ")," ")</f>
        <v>1608</v>
      </c>
      <c r="G39" s="1799"/>
      <c r="H39" s="1799"/>
      <c r="I39" s="1799"/>
      <c r="J39" s="1799">
        <f>IF(Data!GG3&gt;0,IF(Data!GG3&lt;&gt;"",IF(Data!GG3&lt;&gt;"Add the cutter in list",Data!GG3," ")," "),"")</f>
        <v>647435</v>
      </c>
      <c r="K39" s="1799"/>
      <c r="L39" s="1799"/>
      <c r="M39" s="1799"/>
      <c r="N39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O39" s="1799"/>
      <c r="P39" s="1799"/>
      <c r="Q39" s="1799"/>
      <c r="R39" s="1799"/>
      <c r="S39" s="1799" t="str">
        <f>IF(AND(Data!GR3&lt;&gt;"",Data!GR3&lt;&gt;0),Data!GR3,"")</f>
        <v/>
      </c>
      <c r="T39" s="1799"/>
      <c r="U39" s="1799"/>
      <c r="V39" s="1799"/>
      <c r="W39" s="1799"/>
      <c r="X39" s="1799"/>
      <c r="Y39" s="1799"/>
      <c r="Z39" s="1800" t="str">
        <f>IF(Data!L13=0,"",Data!L13)</f>
        <v/>
      </c>
      <c r="AA39" s="1800"/>
      <c r="AB39" s="1800"/>
      <c r="AC39" s="1800"/>
      <c r="AD39" s="1800"/>
      <c r="AE39" s="1800">
        <f t="shared" si="0"/>
        <v>3</v>
      </c>
      <c r="AF39" s="1800"/>
      <c r="AG39" s="1800"/>
      <c r="AH39" s="1800"/>
      <c r="AI39" s="1801"/>
    </row>
    <row r="40" spans="1:35" ht="11.5" customHeight="1" x14ac:dyDescent="0.35">
      <c r="A40" s="1133">
        <f>IF(TRIM(J40)="","",IF(Data!CX62&gt;0,IF(Data!CX62&lt;&gt;"", Data!CX62, " ")," "))</f>
        <v>3</v>
      </c>
      <c r="B40" s="1126"/>
      <c r="C40" s="1799">
        <f>IF(Quotation!$W$27=550,0,IF('Eng. Cutter Entry'!C4&lt;&gt;"",IF(Data!E14&gt;0,IF(Data!E14&lt;&gt;"", Data!E14, 0),0),'ARDT Cutter Entry'!AS2+'ARDT Cutter Entry'!AS3+'ARDT Cutter Entry'!AS4+'ARDT Cutter Entry'!AS5))</f>
        <v>6</v>
      </c>
      <c r="D40" s="1799"/>
      <c r="E40" s="1799"/>
      <c r="F40" s="1799">
        <f>IF(Data!GK4&gt;0,IF(Data!GK4&lt;&gt;"",Data!GK4," ")," ")</f>
        <v>1308</v>
      </c>
      <c r="G40" s="1799"/>
      <c r="H40" s="1799"/>
      <c r="I40" s="1799"/>
      <c r="J40" s="1799">
        <f>IF(Data!GG4&gt;0,IF(Data!GG4&lt;&gt;"",IF(Data!GG4&lt;&gt;"Add the cutter in list",Data!GG4," ")," "),"")</f>
        <v>418525</v>
      </c>
      <c r="K40" s="1799"/>
      <c r="L40" s="1799"/>
      <c r="M40" s="1799"/>
      <c r="N40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O40" s="1799"/>
      <c r="P40" s="1799"/>
      <c r="Q40" s="1799"/>
      <c r="R40" s="1799"/>
      <c r="S40" s="1799" t="str">
        <f>IF(AND(Data!GR4&lt;&gt;"",Data!GR4&lt;&gt;0),Data!GR4,"")</f>
        <v/>
      </c>
      <c r="T40" s="1799"/>
      <c r="U40" s="1799"/>
      <c r="V40" s="1799"/>
      <c r="W40" s="1799"/>
      <c r="X40" s="1799"/>
      <c r="Y40" s="1799"/>
      <c r="Z40" s="1800" t="str">
        <f>IF(Data!L14=0,"",Data!L14)</f>
        <v/>
      </c>
      <c r="AA40" s="1800"/>
      <c r="AB40" s="1800"/>
      <c r="AC40" s="1800"/>
      <c r="AD40" s="1800"/>
      <c r="AE40" s="1800">
        <f t="shared" si="0"/>
        <v>6</v>
      </c>
      <c r="AF40" s="1800"/>
      <c r="AG40" s="1800"/>
      <c r="AH40" s="1800"/>
      <c r="AI40" s="1801"/>
    </row>
    <row r="41" spans="1:35" ht="11.5" customHeight="1" x14ac:dyDescent="0.35">
      <c r="A41" s="1133" t="str">
        <f>IF(TRIM(J41)="","",IF(Data!CX63&gt;0,IF(Data!CX63&lt;&gt;"", Data!CX63, " ")," "))</f>
        <v/>
      </c>
      <c r="B41" s="1126"/>
      <c r="C41" s="1799">
        <f>IF(Quotation!$W$27=550,0,IF('Eng. Cutter Entry'!C4&lt;&gt;"",IF(Data!E15&gt;0,IF(Data!E15&lt;&gt;"", Data!E15, 0),0),'ARDT Cutter Entry'!AT2+'ARDT Cutter Entry'!AT3+'ARDT Cutter Entry'!AT4+'ARDT Cutter Entry'!AT5))</f>
        <v>0</v>
      </c>
      <c r="D41" s="1799"/>
      <c r="E41" s="1799"/>
      <c r="F41" s="1799" t="str">
        <f>IF(Data!GK5&gt;0,IF(Data!GK5&lt;&gt;"",Data!GK5," ")," ")</f>
        <v xml:space="preserve"> </v>
      </c>
      <c r="G41" s="1799"/>
      <c r="H41" s="1799"/>
      <c r="I41" s="1799"/>
      <c r="J41" s="1799" t="str">
        <f>IF(Data!GG5&gt;0,IF(Data!GG5&lt;&gt;"",IF(Data!GG5&lt;&gt;"Add the cutter in list",Data!GG5," ")," "),"")</f>
        <v xml:space="preserve"> </v>
      </c>
      <c r="K41" s="1799"/>
      <c r="L41" s="1799"/>
      <c r="M41" s="1799"/>
      <c r="N41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O41" s="1799"/>
      <c r="P41" s="1799"/>
      <c r="Q41" s="1799"/>
      <c r="R41" s="1799"/>
      <c r="S41" s="1799" t="str">
        <f>IF(AND(Data!GR5&lt;&gt;"",Data!GR5&lt;&gt;0),Data!GR5,"")</f>
        <v/>
      </c>
      <c r="T41" s="1799"/>
      <c r="U41" s="1799"/>
      <c r="V41" s="1799"/>
      <c r="W41" s="1799"/>
      <c r="X41" s="1799"/>
      <c r="Y41" s="1799"/>
      <c r="Z41" s="1800" t="str">
        <f>IF(Data!L15=0,"",Data!L15)</f>
        <v/>
      </c>
      <c r="AA41" s="1800"/>
      <c r="AB41" s="1800"/>
      <c r="AC41" s="1800"/>
      <c r="AD41" s="1800"/>
      <c r="AE41" s="1800" t="str">
        <f t="shared" si="0"/>
        <v/>
      </c>
      <c r="AF41" s="1800"/>
      <c r="AG41" s="1800"/>
      <c r="AH41" s="1800"/>
      <c r="AI41" s="1801"/>
    </row>
    <row r="42" spans="1:35" ht="11.5" customHeight="1" x14ac:dyDescent="0.35">
      <c r="A42" s="1133" t="str">
        <f>IF(TRIM(J42)="","",IF(Data!CX64&gt;0,IF(Data!CX64&lt;&gt;"", Data!CX64, " ")," "))</f>
        <v/>
      </c>
      <c r="B42" s="1126"/>
      <c r="C42" s="1799">
        <f>IF(Quotation!$W$27=550,0,IF('Eng. Cutter Entry'!C4&lt;&gt;"",IF(Data!E16&gt;0,IF(Data!E16&lt;&gt;"", Data!E16, 0),0),'ARDT Cutter Entry'!AU2+'ARDT Cutter Entry'!AU3+'ARDT Cutter Entry'!AU4+'ARDT Cutter Entry'!AU5))</f>
        <v>0</v>
      </c>
      <c r="D42" s="1799"/>
      <c r="E42" s="1799"/>
      <c r="F42" s="1799" t="str">
        <f>IF(Data!GK6&gt;0,IF(Data!GK6&lt;&gt;"",Data!GK6," ")," ")</f>
        <v xml:space="preserve"> </v>
      </c>
      <c r="G42" s="1799"/>
      <c r="H42" s="1799"/>
      <c r="I42" s="1799"/>
      <c r="J42" s="1799" t="str">
        <f>IF(Data!GG6&gt;0,IF(Data!GG6&lt;&gt;"",IF(Data!GG6&lt;&gt;"Add the cutter in list",Data!GG6," ")," "),"")</f>
        <v xml:space="preserve"> </v>
      </c>
      <c r="K42" s="1799"/>
      <c r="L42" s="1799"/>
      <c r="M42" s="1799"/>
      <c r="N42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O42" s="1799"/>
      <c r="P42" s="1799"/>
      <c r="Q42" s="1799"/>
      <c r="R42" s="1799"/>
      <c r="S42" s="1799" t="str">
        <f>IF(AND(Data!GR6&lt;&gt;"",Data!GR6&lt;&gt;0),Data!GR6,"")</f>
        <v/>
      </c>
      <c r="T42" s="1799"/>
      <c r="U42" s="1799"/>
      <c r="V42" s="1799"/>
      <c r="W42" s="1799"/>
      <c r="X42" s="1799"/>
      <c r="Y42" s="1799"/>
      <c r="Z42" s="1800" t="str">
        <f>IF(Data!L16=0,"",Data!L16)</f>
        <v/>
      </c>
      <c r="AA42" s="1800"/>
      <c r="AB42" s="1800"/>
      <c r="AC42" s="1800"/>
      <c r="AD42" s="1800"/>
      <c r="AE42" s="1800" t="str">
        <f t="shared" si="0"/>
        <v/>
      </c>
      <c r="AF42" s="1800"/>
      <c r="AG42" s="1800"/>
      <c r="AH42" s="1800"/>
      <c r="AI42" s="1801"/>
    </row>
    <row r="43" spans="1:35" ht="11.5" customHeight="1" x14ac:dyDescent="0.35">
      <c r="A43" s="1133" t="str">
        <f>IF(TRIM(J43)="","",IF(Data!CX65&gt;0,IF(Data!CX65&lt;&gt;"", Data!CX65, " ")," "))</f>
        <v/>
      </c>
      <c r="B43" s="1126"/>
      <c r="C43" s="1799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799"/>
      <c r="E43" s="1799"/>
      <c r="F43" s="1799" t="str">
        <f>IF(Data!GK7&gt;0,IF(Data!GK7&lt;&gt;"",Data!GK7," ")," ")</f>
        <v xml:space="preserve"> </v>
      </c>
      <c r="G43" s="1799"/>
      <c r="H43" s="1799"/>
      <c r="I43" s="1799"/>
      <c r="J43" s="1799" t="str">
        <f>IF(Data!GG7&gt;0,IF(Data!GG7&lt;&gt;"",IF(Data!GG7&lt;&gt;"Add the cutter in list",Data!GG7," ")," "),"")</f>
        <v xml:space="preserve"> </v>
      </c>
      <c r="K43" s="1799"/>
      <c r="L43" s="1799"/>
      <c r="M43" s="1799"/>
      <c r="N43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799"/>
      <c r="P43" s="1799"/>
      <c r="Q43" s="1799"/>
      <c r="R43" s="1799"/>
      <c r="S43" s="1799" t="str">
        <f>IF(AND(Data!GR7&lt;&gt;"",Data!GR7&lt;&gt;0),Data!GR7,"")</f>
        <v/>
      </c>
      <c r="T43" s="1799"/>
      <c r="U43" s="1799"/>
      <c r="V43" s="1799"/>
      <c r="W43" s="1799"/>
      <c r="X43" s="1799"/>
      <c r="Y43" s="1799"/>
      <c r="Z43" s="1800" t="str">
        <f>IF(Data!L17=0,"",Data!L17)</f>
        <v/>
      </c>
      <c r="AA43" s="1800"/>
      <c r="AB43" s="1800"/>
      <c r="AC43" s="1800"/>
      <c r="AD43" s="1800"/>
      <c r="AE43" s="1800" t="str">
        <f t="shared" si="0"/>
        <v/>
      </c>
      <c r="AF43" s="1800"/>
      <c r="AG43" s="1800"/>
      <c r="AH43" s="1800"/>
      <c r="AI43" s="1801"/>
    </row>
    <row r="44" spans="1:35" ht="11.5" customHeight="1" x14ac:dyDescent="0.35">
      <c r="A44" s="1133" t="str">
        <f>IF(TRIM(J44)="","",IF(Data!CX66&gt;0,IF(Data!CX66&lt;&gt;"", Data!CX66, " ")," "))</f>
        <v/>
      </c>
      <c r="B44" s="1126"/>
      <c r="C44" s="1799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799"/>
      <c r="E44" s="1799"/>
      <c r="F44" s="1799" t="str">
        <f>IF(Data!GK8&gt;0,IF(Data!GK8&lt;&gt;"",Data!GK8," ")," ")</f>
        <v xml:space="preserve"> </v>
      </c>
      <c r="G44" s="1799"/>
      <c r="H44" s="1799"/>
      <c r="I44" s="1799"/>
      <c r="J44" s="1799" t="str">
        <f>IF(Data!GG8&gt;0,IF(Data!GG8&lt;&gt;"",IF(Data!GG8&lt;&gt;"Add the cutter in list",Data!GG8," ")," "),"")</f>
        <v xml:space="preserve"> </v>
      </c>
      <c r="K44" s="1799"/>
      <c r="L44" s="1799"/>
      <c r="M44" s="1799"/>
      <c r="N44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799"/>
      <c r="P44" s="1799"/>
      <c r="Q44" s="1799"/>
      <c r="R44" s="1799"/>
      <c r="S44" s="1799" t="str">
        <f>IF(AND(Data!GR8&lt;&gt;"",Data!GR8&lt;&gt;0),Data!GR8,"")</f>
        <v/>
      </c>
      <c r="T44" s="1799"/>
      <c r="U44" s="1799"/>
      <c r="V44" s="1799"/>
      <c r="W44" s="1799"/>
      <c r="X44" s="1799"/>
      <c r="Y44" s="1799"/>
      <c r="Z44" s="1800" t="str">
        <f>IF(Data!L18=0,"",Data!L18)</f>
        <v/>
      </c>
      <c r="AA44" s="1800"/>
      <c r="AB44" s="1800"/>
      <c r="AC44" s="1800"/>
      <c r="AD44" s="1800"/>
      <c r="AE44" s="1800" t="str">
        <f t="shared" si="0"/>
        <v/>
      </c>
      <c r="AF44" s="1800"/>
      <c r="AG44" s="1800"/>
      <c r="AH44" s="1800"/>
      <c r="AI44" s="1801"/>
    </row>
    <row r="45" spans="1:35" ht="11.5" customHeight="1" x14ac:dyDescent="0.35">
      <c r="A45" s="1133" t="str">
        <f>IF(TRIM(J45)="","",IF(Data!CX67&gt;0,IF(Data!CX67&lt;&gt;"", Data!CX67, " ")," "))</f>
        <v/>
      </c>
      <c r="B45" s="1126"/>
      <c r="C45" s="1799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799"/>
      <c r="E45" s="1799"/>
      <c r="F45" s="1799" t="str">
        <f>IF(Data!GK9&gt;0,IF(Data!GK9&lt;&gt;"",Data!GK9," ")," ")</f>
        <v xml:space="preserve"> </v>
      </c>
      <c r="G45" s="1799"/>
      <c r="H45" s="1799"/>
      <c r="I45" s="1799"/>
      <c r="J45" s="1799" t="str">
        <f>IF(Data!GG9&gt;0,IF(Data!GG9&lt;&gt;"",IF(Data!GG9&lt;&gt;"Add the cutter in list",Data!GG9," ")," "),"")</f>
        <v xml:space="preserve"> </v>
      </c>
      <c r="K45" s="1799"/>
      <c r="L45" s="1799"/>
      <c r="M45" s="1799"/>
      <c r="N45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799"/>
      <c r="P45" s="1799"/>
      <c r="Q45" s="1799"/>
      <c r="R45" s="1799"/>
      <c r="S45" s="1799" t="str">
        <f>IF(AND(Data!GR9&lt;&gt;"",Data!GR9&lt;&gt;0),Data!GR9,"")</f>
        <v/>
      </c>
      <c r="T45" s="1799"/>
      <c r="U45" s="1799"/>
      <c r="V45" s="1799"/>
      <c r="W45" s="1799"/>
      <c r="X45" s="1799"/>
      <c r="Y45" s="1799"/>
      <c r="Z45" s="1800" t="str">
        <f>IF(Data!L19=0,"",Data!L19)</f>
        <v/>
      </c>
      <c r="AA45" s="1800"/>
      <c r="AB45" s="1800"/>
      <c r="AC45" s="1800"/>
      <c r="AD45" s="1800"/>
      <c r="AE45" s="1800" t="str">
        <f>IF(IFERROR(C45-Z45,C45)=0,"",IFERROR(C45-Z45,C45))</f>
        <v/>
      </c>
      <c r="AF45" s="1800"/>
      <c r="AG45" s="1800"/>
      <c r="AH45" s="1800"/>
      <c r="AI45" s="1801"/>
    </row>
    <row r="46" spans="1:35" ht="11.5" customHeight="1" x14ac:dyDescent="0.35">
      <c r="A46" s="1133" t="str">
        <f>IF(TRIM(J46)="","",IF(Data!CX68&gt;0,IF(Data!CX68&lt;&gt;"", Data!CX68, " ")," "))</f>
        <v/>
      </c>
      <c r="B46" s="1126"/>
      <c r="C46" s="1799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799"/>
      <c r="E46" s="1799"/>
      <c r="F46" s="1799" t="str">
        <f>IF(Data!GK10&gt;0,IF(Data!GK10&lt;&gt;"",Data!GK10," ")," ")</f>
        <v xml:space="preserve"> </v>
      </c>
      <c r="G46" s="1799"/>
      <c r="H46" s="1799"/>
      <c r="I46" s="1799"/>
      <c r="J46" s="1799" t="str">
        <f>IF(Data!GG10&gt;0,IF(Data!GG10&lt;&gt;"",IF(Data!GG10&lt;&gt;"Add the cutter in list",Data!GG10," ")," "),"")</f>
        <v xml:space="preserve"> </v>
      </c>
      <c r="K46" s="1799"/>
      <c r="L46" s="1799"/>
      <c r="M46" s="1799"/>
      <c r="N46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799"/>
      <c r="P46" s="1799"/>
      <c r="Q46" s="1799"/>
      <c r="R46" s="1799"/>
      <c r="S46" s="1799" t="str">
        <f>IF(AND(Data!GR10&lt;&gt;"",Data!GR10&lt;&gt;0),Data!GR10,"")</f>
        <v/>
      </c>
      <c r="T46" s="1799"/>
      <c r="U46" s="1799"/>
      <c r="V46" s="1799"/>
      <c r="W46" s="1799"/>
      <c r="X46" s="1799"/>
      <c r="Y46" s="1799"/>
      <c r="Z46" s="1800" t="str">
        <f>IF(Data!L20=0,"",Data!L20)</f>
        <v/>
      </c>
      <c r="AA46" s="1800"/>
      <c r="AB46" s="1800"/>
      <c r="AC46" s="1800"/>
      <c r="AD46" s="1800"/>
      <c r="AE46" s="1800" t="str">
        <f>IF(IFERROR(C46-Z46,C46)=0,"",IFERROR(C46-Z46,C46))</f>
        <v/>
      </c>
      <c r="AF46" s="1800"/>
      <c r="AG46" s="1800"/>
      <c r="AH46" s="1800"/>
      <c r="AI46" s="1801"/>
    </row>
    <row r="47" spans="1:35" ht="11.5" customHeight="1" x14ac:dyDescent="0.35">
      <c r="A47" s="1133" t="str">
        <f>IF(TRIM(J47)="","",IF(Data!CX69&gt;0,IF(Data!CX69&lt;&gt;"", Data!CX69, " ")," "))</f>
        <v/>
      </c>
      <c r="B47" s="1126"/>
      <c r="C47" s="1799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799"/>
      <c r="E47" s="1799"/>
      <c r="F47" s="1799" t="str">
        <f>IF(Data!GK11&gt;0,IF(Data!GK11&lt;&gt;"",Data!GK11," ")," ")</f>
        <v xml:space="preserve"> </v>
      </c>
      <c r="G47" s="1799"/>
      <c r="H47" s="1799"/>
      <c r="I47" s="1799"/>
      <c r="J47" s="1799" t="str">
        <f>IF(Data!GG11&gt;0,IF(Data!GG11&lt;&gt;"",IF(Data!GG11&lt;&gt;"Add the cutter in list",Data!GG11," ")," "),"")</f>
        <v xml:space="preserve"> </v>
      </c>
      <c r="K47" s="1799"/>
      <c r="L47" s="1799"/>
      <c r="M47" s="1799"/>
      <c r="N47" s="17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799"/>
      <c r="P47" s="1799"/>
      <c r="Q47" s="1799"/>
      <c r="R47" s="1799"/>
      <c r="S47" s="1799" t="str">
        <f>IF(AND(Data!GR11&lt;&gt;"",Data!GR11&lt;&gt;0),Data!GR11,"")</f>
        <v/>
      </c>
      <c r="T47" s="1799"/>
      <c r="U47" s="1799"/>
      <c r="V47" s="1799"/>
      <c r="W47" s="1799"/>
      <c r="X47" s="1799"/>
      <c r="Y47" s="1799"/>
      <c r="Z47" s="1800" t="str">
        <f>IF(Data!L21=0,"",Data!L21)</f>
        <v/>
      </c>
      <c r="AA47" s="1800"/>
      <c r="AB47" s="1800"/>
      <c r="AC47" s="1800"/>
      <c r="AD47" s="1800"/>
      <c r="AE47" s="1800" t="str">
        <f>IF(IFERROR(C47-Z47,C47)=0,"",IFERROR(C47-Z47,C47))</f>
        <v/>
      </c>
      <c r="AF47" s="1800"/>
      <c r="AG47" s="1800"/>
      <c r="AH47" s="1800"/>
      <c r="AI47" s="1801"/>
    </row>
    <row r="48" spans="1:35" ht="11.5" customHeight="1" thickBot="1" x14ac:dyDescent="0.4">
      <c r="A48" s="1850" t="s">
        <v>21</v>
      </c>
      <c r="B48" s="1847"/>
      <c r="C48" s="1847">
        <f>SUM(C38:E47)</f>
        <v>17</v>
      </c>
      <c r="D48" s="1847"/>
      <c r="E48" s="1847"/>
      <c r="F48" s="1847"/>
      <c r="G48" s="1847"/>
      <c r="H48" s="1847"/>
      <c r="I48" s="1847"/>
      <c r="J48" s="1847"/>
      <c r="K48" s="1847"/>
      <c r="L48" s="1847"/>
      <c r="M48" s="1847"/>
      <c r="N48" s="1847"/>
      <c r="O48" s="1847"/>
      <c r="P48" s="1847"/>
      <c r="Q48" s="1847"/>
      <c r="R48" s="1847"/>
      <c r="S48" s="1847"/>
      <c r="T48" s="1847"/>
      <c r="U48" s="1847"/>
      <c r="V48" s="1847"/>
      <c r="W48" s="1847"/>
      <c r="X48" s="1847"/>
      <c r="Y48" s="1847"/>
      <c r="Z48" s="1848">
        <f>SUM(Z38:AD47)</f>
        <v>0</v>
      </c>
      <c r="AA48" s="1848"/>
      <c r="AB48" s="1848"/>
      <c r="AC48" s="1848"/>
      <c r="AD48" s="1848"/>
      <c r="AE48" s="1848">
        <f>SUM(AE38:AI47)</f>
        <v>17</v>
      </c>
      <c r="AF48" s="1848"/>
      <c r="AG48" s="1848"/>
      <c r="AH48" s="1848"/>
      <c r="AI48" s="1849"/>
    </row>
    <row r="49" spans="1:35" ht="3.75" customHeight="1" x14ac:dyDescent="0.3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35">
      <c r="A50" s="1655" t="s">
        <v>733</v>
      </c>
      <c r="B50" s="1655"/>
      <c r="C50" s="1655"/>
      <c r="D50" s="1655"/>
      <c r="E50" s="1836"/>
      <c r="F50" s="1836"/>
      <c r="G50" s="1836"/>
      <c r="H50" s="1836"/>
      <c r="I50" s="1856" t="s">
        <v>1079</v>
      </c>
      <c r="J50" s="1856"/>
      <c r="K50" s="1248"/>
      <c r="L50" s="1248"/>
      <c r="M50" s="1248"/>
      <c r="N50" s="1248"/>
      <c r="O50" s="1248"/>
      <c r="P50" s="1248"/>
      <c r="Q50" s="1668" t="s">
        <v>1053</v>
      </c>
      <c r="R50" s="1668"/>
      <c r="S50" s="1668"/>
      <c r="T50" s="1668"/>
      <c r="U50" s="1668"/>
      <c r="V50" s="1668"/>
      <c r="W50" s="1855"/>
      <c r="X50" s="1855"/>
      <c r="Y50" s="1855"/>
      <c r="Z50" s="1855"/>
      <c r="AA50" s="1668" t="s">
        <v>1045</v>
      </c>
      <c r="AB50" s="1668"/>
      <c r="AC50" s="1668"/>
      <c r="AD50" s="1668"/>
      <c r="AE50" s="1855"/>
      <c r="AF50" s="1855"/>
      <c r="AG50" s="1855"/>
      <c r="AH50" s="1855"/>
      <c r="AI50" s="1855"/>
    </row>
    <row r="51" spans="1:35" ht="5.15" customHeight="1" x14ac:dyDescent="0.35">
      <c r="A51" s="1655"/>
      <c r="B51" s="1655"/>
      <c r="C51" s="1655"/>
      <c r="D51" s="1655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49999999999999" customHeight="1" x14ac:dyDescent="0.3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15" customHeight="1" x14ac:dyDescent="0.3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49999999999999" customHeight="1" x14ac:dyDescent="0.35">
      <c r="G54" s="468"/>
      <c r="H54" s="462"/>
      <c r="I54" s="462"/>
      <c r="K54" s="468"/>
      <c r="U54" s="1655"/>
      <c r="V54" s="1655"/>
      <c r="W54" s="1655"/>
      <c r="X54" s="1655"/>
    </row>
    <row r="55" spans="1:35" ht="5.15" customHeight="1" x14ac:dyDescent="0.3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165"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</mergeCells>
  <conditionalFormatting sqref="A28">
    <cfRule type="cellIs" dxfId="274" priority="5067" operator="equal">
      <formula>0</formula>
    </cfRule>
  </conditionalFormatting>
  <conditionalFormatting sqref="A38:A47">
    <cfRule type="expression" dxfId="273" priority="4">
      <formula>COUNTIF($A38,"7")</formula>
    </cfRule>
    <cfRule type="expression" dxfId="272" priority="5">
      <formula>COUNTIF($A38,"6")</formula>
    </cfRule>
    <cfRule type="expression" dxfId="271" priority="6">
      <formula>COUNTIF($A38,"5")</formula>
    </cfRule>
    <cfRule type="expression" dxfId="270" priority="7">
      <formula>COUNTIF($A38,"4")</formula>
    </cfRule>
    <cfRule type="expression" dxfId="269" priority="8">
      <formula>COUNTIF($A38,"3")</formula>
    </cfRule>
    <cfRule type="expression" dxfId="268" priority="9">
      <formula>COUNTIF($A38,"2")</formula>
    </cfRule>
    <cfRule type="expression" dxfId="267" priority="10">
      <formula>COUNTIF($A38,"1")</formula>
    </cfRule>
  </conditionalFormatting>
  <conditionalFormatting sqref="A30:C31">
    <cfRule type="expression" dxfId="266" priority="2">
      <formula>$A$30&lt;&gt;""</formula>
    </cfRule>
  </conditionalFormatting>
  <conditionalFormatting sqref="C38:C48">
    <cfRule type="cellIs" dxfId="264" priority="11" operator="equal">
      <formula>0</formula>
    </cfRule>
  </conditionalFormatting>
  <conditionalFormatting sqref="C11:AI11">
    <cfRule type="cellIs" dxfId="263" priority="5044" operator="equal">
      <formula>0</formula>
    </cfRule>
    <cfRule type="beginsWith" dxfId="262" priority="2633" operator="beginsWith" text="0a">
      <formula>LEFT(C11,LEN("0a"))="0a"</formula>
    </cfRule>
  </conditionalFormatting>
  <conditionalFormatting sqref="C12:AI23">
    <cfRule type="expression" dxfId="255" priority="40">
      <formula>AND(COUNTIF(C12,"*V*"),AND(NOT(COUNTIF(B12,"*V*")),NOT(COUNTIF(D12,"*V*"))))</formula>
    </cfRule>
  </conditionalFormatting>
  <conditionalFormatting sqref="D28 F28 H28 J28 L28 N28">
    <cfRule type="cellIs" dxfId="239" priority="5062" operator="equal">
      <formula>0</formula>
    </cfRule>
  </conditionalFormatting>
  <conditionalFormatting sqref="R28">
    <cfRule type="cellIs" dxfId="238" priority="5066" operator="equal">
      <formula>0</formula>
    </cfRule>
  </conditionalFormatting>
  <conditionalFormatting sqref="U28 X28">
    <cfRule type="cellIs" dxfId="237" priority="5063" operator="equal">
      <formula>0</formula>
    </cfRule>
  </conditionalFormatting>
  <conditionalFormatting sqref="Z38:Z48">
    <cfRule type="cellIs" dxfId="236" priority="12" operator="equal">
      <formula>0</formula>
    </cfRule>
  </conditionalFormatting>
  <conditionalFormatting sqref="AE38:AE48">
    <cfRule type="cellIs" dxfId="235" priority="13" operator="equal">
      <formula>0</formula>
    </cfRule>
  </conditionalFormatting>
  <conditionalFormatting sqref="AE7:AI7">
    <cfRule type="cellIs" dxfId="23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796875" defaultRowHeight="14.5" x14ac:dyDescent="0.35"/>
  <cols>
    <col min="1" max="35" width="3.26953125" customWidth="1"/>
    <col min="36" max="36" width="10.26953125" customWidth="1"/>
    <col min="37" max="37" width="3" customWidth="1"/>
    <col min="38" max="38" width="9.81640625" customWidth="1"/>
    <col min="39" max="39" width="9.1796875" customWidth="1"/>
    <col min="40" max="40" width="15.7265625" customWidth="1"/>
  </cols>
  <sheetData>
    <row r="1" spans="1:37" ht="22" customHeight="1" x14ac:dyDescent="0.35">
      <c r="A1" s="450"/>
      <c r="B1" s="450"/>
      <c r="C1" s="450"/>
      <c r="D1" s="450"/>
      <c r="E1" s="1939" t="s">
        <v>22</v>
      </c>
      <c r="F1" s="1939"/>
      <c r="G1" s="1939"/>
      <c r="H1" s="1939"/>
      <c r="I1" s="1939"/>
      <c r="J1" s="1939"/>
      <c r="K1" s="1939"/>
      <c r="L1" s="1939"/>
      <c r="M1" s="1939"/>
      <c r="N1" s="1939"/>
      <c r="O1" s="1939"/>
      <c r="P1" s="1939"/>
      <c r="Q1" s="1939"/>
      <c r="R1" s="1939"/>
      <c r="S1" s="1939"/>
      <c r="T1" s="1939"/>
      <c r="U1" s="1939"/>
      <c r="V1" s="1939"/>
      <c r="W1" s="1939"/>
      <c r="X1" s="1939"/>
      <c r="Y1" s="1939"/>
      <c r="Z1" s="1939"/>
      <c r="AA1" s="1939"/>
      <c r="AB1" s="450"/>
      <c r="AC1" s="450"/>
      <c r="AD1" s="450"/>
      <c r="AE1" s="450"/>
      <c r="AF1" s="450"/>
      <c r="AG1" s="450"/>
      <c r="AH1" s="450"/>
      <c r="AI1" s="450"/>
    </row>
    <row r="2" spans="1:37" ht="5.15" customHeight="1" thickBot="1" x14ac:dyDescent="0.4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951"/>
      <c r="AA2" s="1951"/>
    </row>
    <row r="3" spans="1:37" ht="18" customHeight="1" thickBot="1" x14ac:dyDescent="0.4">
      <c r="A3" s="450"/>
      <c r="B3" s="450"/>
      <c r="C3" s="450"/>
      <c r="D3" s="450"/>
      <c r="E3" s="1952" t="s">
        <v>70</v>
      </c>
      <c r="F3" s="1953"/>
      <c r="G3" s="1953"/>
      <c r="H3" s="1953"/>
      <c r="I3" s="1953"/>
      <c r="J3" s="1953"/>
      <c r="K3" s="1953"/>
      <c r="L3" s="1953"/>
      <c r="M3" s="1953"/>
      <c r="N3" s="1953"/>
      <c r="O3" s="1953"/>
      <c r="P3" s="1953"/>
      <c r="Q3" s="1954"/>
      <c r="R3" s="1932" t="s">
        <v>33</v>
      </c>
      <c r="S3" s="1932"/>
      <c r="T3" s="1932"/>
      <c r="U3" s="1932"/>
      <c r="V3" s="1932"/>
      <c r="W3" s="1946">
        <f>IF(Data!B24&lt;&gt;"",Data!B24,IFERROR(VLOOKUP(Data!$B$7,Data!F63:G70,2,FALSE),""))</f>
        <v>6600048646</v>
      </c>
      <c r="X3" s="1947"/>
      <c r="Y3" s="1947"/>
      <c r="Z3" s="1947"/>
      <c r="AA3" s="1948"/>
    </row>
    <row r="4" spans="1:37" ht="5.15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4">
      <c r="E5" s="1655" t="s">
        <v>735</v>
      </c>
      <c r="F5" s="1655"/>
      <c r="G5" s="1655"/>
      <c r="H5" s="1655"/>
      <c r="I5" s="1655"/>
      <c r="J5" s="1655"/>
      <c r="K5" s="1556" t="str">
        <f>IF(Data!B1&lt;&gt;"", Data!B1, " ")</f>
        <v>2025-AR-109</v>
      </c>
      <c r="L5" s="1653"/>
      <c r="M5" s="1653"/>
      <c r="N5" s="1653"/>
      <c r="O5" s="1653"/>
      <c r="P5" s="1653"/>
      <c r="Q5" s="1557"/>
      <c r="R5" s="1668" t="s">
        <v>832</v>
      </c>
      <c r="S5" s="1668"/>
      <c r="T5" s="1668"/>
      <c r="U5" s="1668"/>
      <c r="V5" s="1668"/>
      <c r="W5" s="1943">
        <f>IF(Data!B6&lt;&gt;"",Data!B6," ")</f>
        <v>46002</v>
      </c>
      <c r="X5" s="1944"/>
      <c r="Y5" s="1944"/>
      <c r="Z5" s="1944"/>
      <c r="AA5" s="1945"/>
    </row>
    <row r="6" spans="1:37" ht="5.15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4">
      <c r="A7" s="450"/>
      <c r="B7" s="1655" t="s">
        <v>28</v>
      </c>
      <c r="C7" s="1655"/>
      <c r="D7" s="1655"/>
      <c r="E7" s="1556">
        <f>IF(Data!B2&lt;&gt;"",IFERROR(LEFT(Data!B2,FIND("R",Data!B2)),Data!B2),"")</f>
        <v>13845937</v>
      </c>
      <c r="F7" s="1653"/>
      <c r="G7" s="1653"/>
      <c r="H7" s="1653"/>
      <c r="I7" s="1653"/>
      <c r="J7" s="1557"/>
      <c r="K7" s="1655" t="str">
        <f>IF('Eval-LSTK'!D66="√","Material No: ","Size: ")</f>
        <v xml:space="preserve">Size: </v>
      </c>
      <c r="L7" s="1655"/>
      <c r="M7" s="1656"/>
      <c r="N7" s="1556" t="str">
        <f>IF('Eval-LSTK'!D66="√",IF(Data!B5&lt;&gt;"",Data!B5," "),IF(Data!B3&lt;&gt;"",Data!B3&amp;""""," "))</f>
        <v>8 3/8""</v>
      </c>
      <c r="O7" s="1653"/>
      <c r="P7" s="1653"/>
      <c r="Q7" s="1557"/>
      <c r="R7" s="1655" t="str">
        <f>IF('Eval-LSTK'!D66="√","Size &amp; Type:","Type: ")</f>
        <v xml:space="preserve">Type: </v>
      </c>
      <c r="S7" s="1655"/>
      <c r="T7" s="1655"/>
      <c r="U7" s="1655"/>
      <c r="V7" s="1656"/>
      <c r="W7" s="1946" t="str">
        <f>IF('Eval-LSTK'!D66="√",IF(AND(Data!B43&lt;&gt;"",Data!B43&lt;&gt;"0 0/1"""),Data!B43,"")&amp;" "&amp;IF(Data!B4&lt;&gt;"",Data!B4," "),IF(Data!B4&lt;&gt;"",Data!B4," "))</f>
        <v>MM65DH-1</v>
      </c>
      <c r="X7" s="1947"/>
      <c r="Y7" s="1947"/>
      <c r="Z7" s="1947"/>
      <c r="AA7" s="1948"/>
      <c r="AC7" s="1938"/>
      <c r="AD7" s="1938"/>
      <c r="AE7" s="1938"/>
      <c r="AF7" s="1938"/>
      <c r="AG7" s="1938"/>
    </row>
    <row r="8" spans="1:37" ht="5.15" customHeight="1" thickBot="1" x14ac:dyDescent="0.4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4">
      <c r="A9" s="1940" t="str">
        <f>IF(Data!L5=1,"Scrap Quotation",IF('Eval-LSTK'!D64="√","Repair Quotation",IF(OR('Eval-LSTK'!D68="√",Data!L4=1),"Inspection Charge Quotation","Quotation")))</f>
        <v>Repair Quotation</v>
      </c>
      <c r="B9" s="1941"/>
      <c r="C9" s="1941"/>
      <c r="D9" s="1941"/>
      <c r="E9" s="1941"/>
      <c r="F9" s="1941"/>
      <c r="G9" s="1941"/>
      <c r="H9" s="1941"/>
      <c r="I9" s="1941"/>
      <c r="J9" s="1941"/>
      <c r="K9" s="1941"/>
      <c r="L9" s="1941"/>
      <c r="M9" s="1941"/>
      <c r="N9" s="1941"/>
      <c r="O9" s="1941"/>
      <c r="P9" s="1941"/>
      <c r="Q9" s="1941"/>
      <c r="R9" s="1941"/>
      <c r="S9" s="1941"/>
      <c r="T9" s="1941"/>
      <c r="U9" s="1941"/>
      <c r="V9" s="1941"/>
      <c r="W9" s="1941"/>
      <c r="X9" s="1941"/>
      <c r="Y9" s="1941"/>
      <c r="Z9" s="1941"/>
      <c r="AA9" s="1942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15" customHeight="1" x14ac:dyDescent="0.3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35">
      <c r="A11" s="1949"/>
      <c r="B11" s="1950"/>
      <c r="C11" s="1800" t="s">
        <v>17</v>
      </c>
      <c r="D11" s="1800"/>
      <c r="E11" s="1800"/>
      <c r="F11" s="1800"/>
      <c r="G11" s="1800"/>
      <c r="H11" s="1800"/>
      <c r="I11" s="1800"/>
      <c r="J11" s="1800"/>
      <c r="K11" s="1800"/>
      <c r="L11" s="1800"/>
      <c r="M11" s="1800"/>
      <c r="N11" s="1800"/>
      <c r="O11" s="1800"/>
      <c r="P11" s="1800"/>
      <c r="Q11" s="1800"/>
      <c r="R11" s="1800"/>
      <c r="S11" s="1800"/>
      <c r="T11" s="1800"/>
      <c r="U11" s="1800"/>
      <c r="V11" s="1800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35">
      <c r="A12" s="1949"/>
      <c r="B12" s="1950"/>
      <c r="C12" s="437" t="str">
        <f>IF(Data!BR42&lt;&gt;"",Data!BR42,"")</f>
        <v>1a</v>
      </c>
      <c r="D12" s="437" t="str">
        <f>IF(Data!BS42&lt;&gt;"",Data!BS42,"")</f>
        <v>2a</v>
      </c>
      <c r="E12" s="437" t="str">
        <f>IF(Data!BT42&lt;&gt;"",Data!BT42,"")</f>
        <v>3a</v>
      </c>
      <c r="F12" s="437" t="str">
        <f>IF(Data!BU42&lt;&gt;"",Data!BU42,"")</f>
        <v>4a</v>
      </c>
      <c r="G12" s="437" t="str">
        <f>IF(Data!BV42&lt;&gt;"",Data!BV42,"")</f>
        <v>5a</v>
      </c>
      <c r="H12" s="437" t="str">
        <f>IF(Data!BW42&lt;&gt;"",Data!BW42,"")</f>
        <v>6a</v>
      </c>
      <c r="I12" s="437" t="str">
        <f>IF(Data!BX42&lt;&gt;"",Data!BX42,"")</f>
        <v>7a</v>
      </c>
      <c r="J12" s="437" t="str">
        <f>IF(Data!BY42&lt;&gt;"",Data!BY42,"")</f>
        <v>8a</v>
      </c>
      <c r="K12" s="437" t="str">
        <f>IF(Data!BZ42&lt;&gt;"",Data!BZ42,"")</f>
        <v>0a</v>
      </c>
      <c r="L12" s="437" t="str">
        <f>IF(Data!CA42&lt;&gt;"",Data!CA42,"")</f>
        <v>1b</v>
      </c>
      <c r="M12" s="437" t="str">
        <f>IF(Data!CB42&lt;&gt;"",Data!CB42,"")</f>
        <v>2b</v>
      </c>
      <c r="N12" s="437" t="str">
        <f>IF(Data!CC42&lt;&gt;"",Data!CC42,"")</f>
        <v>3b</v>
      </c>
      <c r="O12" s="437" t="str">
        <f>IF(Data!CD42&lt;&gt;"",Data!CD42,"")</f>
        <v>4b</v>
      </c>
      <c r="P12" s="437" t="str">
        <f>IF(Data!CE42&lt;&gt;"",Data!CE42,"")</f>
        <v>0a</v>
      </c>
      <c r="Q12" s="437" t="str">
        <f>IF(Data!CF42&lt;&gt;"",Data!CF42,"")</f>
        <v>0a</v>
      </c>
      <c r="R12" s="437" t="str">
        <f>IF(Data!CG42&lt;&gt;"",Data!CG42,"")</f>
        <v>0a</v>
      </c>
      <c r="S12" s="437" t="str">
        <f>IF(Data!CH42&lt;&gt;"",Data!CH42,"")</f>
        <v>0a</v>
      </c>
      <c r="T12" s="437" t="str">
        <f>IF(Data!CI42&lt;&gt;"",Data!CI42,"")</f>
        <v>0a</v>
      </c>
      <c r="U12" s="437" t="str">
        <f>IF(Data!CJ42&lt;&gt;"",Data!CJ42,"")</f>
        <v>0a</v>
      </c>
      <c r="V12" s="437" t="str">
        <f>IF(Data!CK42&lt;&gt;"",Data!CK42,"")</f>
        <v>0a</v>
      </c>
      <c r="W12" s="437" t="str">
        <f>IF(Data!CL42&lt;&gt;"",Data!CL42,"")</f>
        <v>0a</v>
      </c>
      <c r="X12" s="437" t="str">
        <f>IF(Data!CM42&lt;&gt;"",Data!CM42,"")</f>
        <v>0a</v>
      </c>
      <c r="Y12" s="437" t="str">
        <f>IF(Data!CN42&lt;&gt;"",Data!CN42,"")</f>
        <v>0a</v>
      </c>
      <c r="Z12" s="437" t="str">
        <f>IF(Data!CO42&lt;&gt;"",Data!CO42,"")</f>
        <v>0a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35">
      <c r="A13" s="1845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>S1</v>
      </c>
      <c r="D13" s="167" t="str">
        <f>IF(OR(Data!$L$2=1,Data!$L$3=1),IF(OR(Data!BS46=0,Data!BS46=""),"","O"&amp;Data!BS46),IF('ARDT Cutter Entry'!$C$111&lt;&gt;"",'ARDT Cutter Entry'!D111,'ARDT Cutter Entry'!D43))</f>
        <v>S1</v>
      </c>
      <c r="E13" s="167" t="str">
        <f>IF(OR(Data!$L$2=1,Data!$L$3=1),IF(OR(Data!BT46=0,Data!BT46=""),"","O"&amp;Data!BT46),IF('ARDT Cutter Entry'!$C$111&lt;&gt;"",'ARDT Cutter Entry'!E111,'ARDT Cutter Entry'!E43))</f>
        <v>S1</v>
      </c>
      <c r="F13" s="167" t="str">
        <f>IF(OR(Data!$L$2=1,Data!$L$3=1),IF(OR(Data!BU46=0,Data!BU46=""),"","O"&amp;Data!BU46),IF('ARDT Cutter Entry'!$C$111&lt;&gt;"",'ARDT Cutter Entry'!F111,'ARDT Cutter Entry'!F43))</f>
        <v>S1</v>
      </c>
      <c r="G13" s="167" t="str">
        <f>IF(OR(Data!$L$2=1,Data!$L$3=1),IF(OR(Data!BV46=0,Data!BV46=""),"","O"&amp;Data!BV46),IF('ARDT Cutter Entry'!$C$111&lt;&gt;"",'ARDT Cutter Entry'!G111,'ARDT Cutter Entry'!G43))</f>
        <v>S1</v>
      </c>
      <c r="H13" s="167" t="str">
        <f>IF(OR(Data!$L$2=1,Data!$L$3=1),IF(OR(Data!BW46=0,Data!BW46=""),"","O"&amp;Data!BW46),IF('ARDT Cutter Entry'!$C$111&lt;&gt;"",'ARDT Cutter Entry'!H111,'ARDT Cutter Entry'!H43))</f>
        <v>X1</v>
      </c>
      <c r="I13" s="167" t="str">
        <f>IF(OR(Data!$L$2=1,Data!$L$3=1),IF(OR(Data!BX46=0,Data!BX46=""),"","O"&amp;Data!BX46),IF('ARDT Cutter Entry'!$C$111&lt;&gt;"",'ARDT Cutter Entry'!I111,'ARDT Cutter Entry'!I43))</f>
        <v>R1</v>
      </c>
      <c r="J13" s="167" t="str">
        <f>IF(OR(Data!$L$2=1,Data!$L$3=1),IF(OR(Data!BY46=0,Data!BY46=""),"","O"&amp;Data!BY46),IF('ARDT Cutter Entry'!$C$111&lt;&gt;"",'ARDT Cutter Entry'!J111,'ARDT Cutter Entry'!J43))</f>
        <v>X3</v>
      </c>
      <c r="K13" s="167" t="str">
        <f>IF(OR(Data!$L$2=1,Data!$L$3=1),IF(OR(Data!BZ46=0,Data!BZ46=""),"","O"&amp;Data!BZ46),IF('ARDT Cutter Entry'!$C$111&lt;&gt;"",'ARDT Cutter Entry'!K111,'ARDT Cutter Entry'!K43))</f>
        <v/>
      </c>
      <c r="L13" s="167" t="str">
        <f>IF(OR(Data!$L$2=1,Data!$L$3=1),IF(OR(Data!CA46=0,Data!CA46=""),"","O"&amp;Data!CA46),IF('ARDT Cutter Entry'!$C$111&lt;&gt;"",'ARDT Cutter Entry'!L111,'ARDT Cutter Entry'!L43))</f>
        <v>S2</v>
      </c>
      <c r="M13" s="167" t="str">
        <f>IF(OR(Data!$L$2=1,Data!$L$3=1),IF(OR(Data!CB46=0,Data!CB46=""),"","O"&amp;Data!CB46),IF('ARDT Cutter Entry'!$C$111&lt;&gt;"",'ARDT Cutter Entry'!M111,'ARDT Cutter Entry'!M43))</f>
        <v>S2</v>
      </c>
      <c r="N13" s="167" t="str">
        <f>IF(OR(Data!$L$2=1,Data!$L$3=1),IF(OR(Data!CC46=0,Data!CC46=""),"","O"&amp;Data!CC46),IF('ARDT Cutter Entry'!$C$111&lt;&gt;"",'ARDT Cutter Entry'!N111,'ARDT Cutter Entry'!N43))</f>
        <v>X2</v>
      </c>
      <c r="O13" s="167" t="str">
        <f>IF(OR(Data!$L$2=1,Data!$L$3=1),IF(OR(Data!CD46=0,Data!CD46=""),"","O"&amp;Data!CD46),IF('ARDT Cutter Entry'!$C$111&lt;&gt;"",'ARDT Cutter Entry'!O111,'ARDT Cutter Entry'!O43))</f>
        <v>X2</v>
      </c>
      <c r="P13" s="167" t="str">
        <f>IF(OR(Data!$L$2=1,Data!$L$3=1),IF(OR(Data!CE46=0,Data!CE46=""),"","O"&amp;Data!CE46),IF('ARDT Cutter Entry'!$C$111&lt;&gt;"",'ARDT Cutter Entry'!P111,'ARDT Cutter Entry'!P43))</f>
        <v/>
      </c>
      <c r="Q13" s="167" t="str">
        <f>IF(OR(Data!$L$2=1,Data!$L$3=1),IF(OR(Data!CF46=0,Data!CF46=""),"","O"&amp;Data!CF46),IF('ARDT Cutter Entry'!$C$111&lt;&gt;"",'ARDT Cutter Entry'!Q111,'ARDT Cutter Entry'!Q43))</f>
        <v/>
      </c>
      <c r="R13" s="167" t="str">
        <f>IF(OR(Data!$L$2=1,Data!$L$3=1),IF(OR(Data!CG46=0,Data!CG46=""),"","O"&amp;Data!CG46),IF('ARDT Cutter Entry'!$C$111&lt;&gt;"",'ARDT Cutter Entry'!R111,'ARDT Cutter Entry'!R43))</f>
        <v/>
      </c>
      <c r="S13" s="167" t="str">
        <f>IF(OR(Data!$L$2=1,Data!$L$3=1),IF(OR(Data!CH46=0,Data!CH46=""),"","O"&amp;Data!CH46),IF('ARDT Cutter Entry'!$C$111&lt;&gt;"",'ARDT Cutter Entry'!S111,'ARDT Cutter Entry'!S43))</f>
        <v/>
      </c>
      <c r="T13" s="167" t="str">
        <f>IF(OR(Data!$L$2=1,Data!$L$3=1),IF(OR(Data!CI46=0,Data!CI46=""),"","O"&amp;Data!CI46),IF('ARDT Cutter Entry'!$C$111&lt;&gt;"",'ARDT Cutter Entry'!T111,'ARDT Cutter Entry'!T43))</f>
        <v/>
      </c>
      <c r="U13" s="167" t="str">
        <f>IF(OR(Data!$L$2=1,Data!$L$3=1),IF(OR(Data!CJ46=0,Data!CJ46=""),"","O"&amp;Data!CJ46),IF('ARDT Cutter Entry'!$C$111&lt;&gt;"",'ARDT Cutter Entry'!U111,'ARDT Cutter Entry'!U43))</f>
        <v/>
      </c>
      <c r="V13" s="167" t="str">
        <f>IF(OR(Data!$L$2=1,Data!$L$3=1),IF(OR(Data!CK46=0,Data!CK46=""),"","O"&amp;Data!CK46),IF('ARDT Cutter Entry'!$C$111&lt;&gt;"",'ARDT Cutter Entry'!V111,'ARDT Cutter Entry'!V43))</f>
        <v/>
      </c>
      <c r="W13" s="167" t="str">
        <f>IF(OR(Data!$L$2=1,Data!$L$3=1),IF(OR(Data!CL46=0,Data!CL46=""),"","O"&amp;Data!CL46),IF('ARDT Cutter Entry'!$C$111&lt;&gt;"",'ARDT Cutter Entry'!W111,'ARDT Cutter Entry'!W43))</f>
        <v/>
      </c>
      <c r="X13" s="167" t="str">
        <f>IF(OR(Data!$L$2=1,Data!$L$3=1),IF(OR(Data!CM46=0,Data!CM46=""),"","O"&amp;Data!CM46),IF('ARDT Cutter Entry'!$C$111&lt;&gt;"",'ARDT Cutter Entry'!X111,'ARDT Cutter Entry'!X43))</f>
        <v/>
      </c>
      <c r="Y13" s="167" t="str">
        <f>IF(OR(Data!$L$2=1,Data!$L$3=1),IF(OR(Data!CN46=0,Data!CN46=""),"","O"&amp;Data!CN46),IF('ARDT Cutter Entry'!$C$111&lt;&gt;"",'ARDT Cutter Entry'!Y111,'ARDT Cutter Entry'!Y43))</f>
        <v/>
      </c>
      <c r="Z13" s="167" t="str">
        <f>IF(OR(Data!$L$2=1,Data!$L$3=1),IF(OR(Data!CO46=0,Data!CO46=""),"","O"&amp;Data!CO46),IF('ARDT Cutter Entry'!$C$111&lt;&gt;"",'ARDT Cutter Entry'!Z111,'ARDT Cutter Entry'!Z43))</f>
        <v/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35">
      <c r="A14" s="1845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>S1</v>
      </c>
      <c r="D14" s="167" t="str">
        <f>IF(OR(Data!$L$2=1,Data!$L$3=1),IF(OR(Data!BS47=0,Data!BS47=""),"","O"&amp;Data!BS47),IF('ARDT Cutter Entry'!$C$111&lt;&gt;"",'ARDT Cutter Entry'!D112,'ARDT Cutter Entry'!D44))</f>
        <v>S1</v>
      </c>
      <c r="E14" s="167" t="str">
        <f>IF(OR(Data!$L$2=1,Data!$L$3=1),IF(OR(Data!BT47=0,Data!BT47=""),"","O"&amp;Data!BT47),IF('ARDT Cutter Entry'!$C$111&lt;&gt;"",'ARDT Cutter Entry'!E112,'ARDT Cutter Entry'!E44))</f>
        <v>X1</v>
      </c>
      <c r="F14" s="167" t="str">
        <f>IF(OR(Data!$L$2=1,Data!$L$3=1),IF(OR(Data!BU47=0,Data!BU47=""),"","O"&amp;Data!BU47),IF('ARDT Cutter Entry'!$C$111&lt;&gt;"",'ARDT Cutter Entry'!F112,'ARDT Cutter Entry'!F44))</f>
        <v>R1</v>
      </c>
      <c r="G14" s="167" t="str">
        <f>IF(OR(Data!$L$2=1,Data!$L$3=1),IF(OR(Data!BV47=0,Data!BV47=""),"","O"&amp;Data!BV47),IF('ARDT Cutter Entry'!$C$111&lt;&gt;"",'ARDT Cutter Entry'!G112,'ARDT Cutter Entry'!G44))</f>
        <v>X3</v>
      </c>
      <c r="H14" s="167" t="str">
        <f>IF(OR(Data!$L$2=1,Data!$L$3=1),IF(OR(Data!BW47=0,Data!BW47=""),"","O"&amp;Data!BW47),IF('ARDT Cutter Entry'!$C$111&lt;&gt;"",'ARDT Cutter Entry'!H112,'ARDT Cutter Entry'!H44))</f>
        <v/>
      </c>
      <c r="I14" s="167" t="str">
        <f>IF(OR(Data!$L$2=1,Data!$L$3=1),IF(OR(Data!BX47=0,Data!BX47=""),"","O"&amp;Data!BX47),IF('ARDT Cutter Entry'!$C$111&lt;&gt;"",'ARDT Cutter Entry'!I112,'ARDT Cutter Entry'!I44))</f>
        <v/>
      </c>
      <c r="J14" s="167" t="str">
        <f>IF(OR(Data!$L$2=1,Data!$L$3=1),IF(OR(Data!BY47=0,Data!BY47=""),"","O"&amp;Data!BY47),IF('ARDT Cutter Entry'!$C$111&lt;&gt;"",'ARDT Cutter Entry'!J112,'ARDT Cutter Entry'!J44))</f>
        <v/>
      </c>
      <c r="K14" s="167" t="str">
        <f>IF(OR(Data!$L$2=1,Data!$L$3=1),IF(OR(Data!BZ47=0,Data!BZ47=""),"","O"&amp;Data!BZ47),IF('ARDT Cutter Entry'!$C$111&lt;&gt;"",'ARDT Cutter Entry'!K112,'ARDT Cutter Entry'!K44))</f>
        <v/>
      </c>
      <c r="L14" s="167" t="str">
        <f>IF(OR(Data!$L$2=1,Data!$L$3=1),IF(OR(Data!CA47=0,Data!CA47=""),"","O"&amp;Data!CA47),IF('ARDT Cutter Entry'!$C$111&lt;&gt;"",'ARDT Cutter Entry'!L112,'ARDT Cutter Entry'!L44))</f>
        <v>S2</v>
      </c>
      <c r="M14" s="167" t="str">
        <f>IF(OR(Data!$L$2=1,Data!$L$3=1),IF(OR(Data!CB47=0,Data!CB47=""),"","O"&amp;Data!CB47),IF('ARDT Cutter Entry'!$C$111&lt;&gt;"",'ARDT Cutter Entry'!M112,'ARDT Cutter Entry'!M44))</f>
        <v>S2</v>
      </c>
      <c r="N14" s="167" t="str">
        <f>IF(OR(Data!$L$2=1,Data!$L$3=1),IF(OR(Data!CC47=0,Data!CC47=""),"","O"&amp;Data!CC47),IF('ARDT Cutter Entry'!$C$111&lt;&gt;"",'ARDT Cutter Entry'!N112,'ARDT Cutter Entry'!N44))</f>
        <v>S2</v>
      </c>
      <c r="O14" s="167" t="str">
        <f>IF(OR(Data!$L$2=1,Data!$L$3=1),IF(OR(Data!CD47=0,Data!CD47=""),"","O"&amp;Data!CD47),IF('ARDT Cutter Entry'!$C$111&lt;&gt;"",'ARDT Cutter Entry'!O112,'ARDT Cutter Entry'!O44))</f>
        <v>R2</v>
      </c>
      <c r="P14" s="167" t="str">
        <f>IF(OR(Data!$L$2=1,Data!$L$3=1),IF(OR(Data!CE47=0,Data!CE47=""),"","O"&amp;Data!CE47),IF('ARDT Cutter Entry'!$C$111&lt;&gt;"",'ARDT Cutter Entry'!P112,'ARDT Cutter Entry'!P44))</f>
        <v/>
      </c>
      <c r="Q14" s="167" t="str">
        <f>IF(OR(Data!$L$2=1,Data!$L$3=1),IF(OR(Data!CF47=0,Data!CF47=""),"","O"&amp;Data!CF47),IF('ARDT Cutter Entry'!$C$111&lt;&gt;"",'ARDT Cutter Entry'!Q112,'ARDT Cutter Entry'!Q44))</f>
        <v/>
      </c>
      <c r="R14" s="167" t="str">
        <f>IF(OR(Data!$L$2=1,Data!$L$3=1),IF(OR(Data!CG47=0,Data!CG47=""),"","O"&amp;Data!CG47),IF('ARDT Cutter Entry'!$C$111&lt;&gt;"",'ARDT Cutter Entry'!R112,'ARDT Cutter Entry'!R44))</f>
        <v/>
      </c>
      <c r="S14" s="167" t="str">
        <f>IF(OR(Data!$L$2=1,Data!$L$3=1),IF(OR(Data!CH47=0,Data!CH47=""),"","O"&amp;Data!CH47),IF('ARDT Cutter Entry'!$C$111&lt;&gt;"",'ARDT Cutter Entry'!S112,'ARDT Cutter Entry'!S44))</f>
        <v/>
      </c>
      <c r="T14" s="167" t="str">
        <f>IF(OR(Data!$L$2=1,Data!$L$3=1),IF(OR(Data!CI47=0,Data!CI47=""),"","O"&amp;Data!CI47),IF('ARDT Cutter Entry'!$C$111&lt;&gt;"",'ARDT Cutter Entry'!T112,'ARDT Cutter Entry'!T44))</f>
        <v/>
      </c>
      <c r="U14" s="167" t="str">
        <f>IF(OR(Data!$L$2=1,Data!$L$3=1),IF(OR(Data!CJ47=0,Data!CJ47=""),"","O"&amp;Data!CJ47),IF('ARDT Cutter Entry'!$C$111&lt;&gt;"",'ARDT Cutter Entry'!U112,'ARDT Cutter Entry'!U44))</f>
        <v/>
      </c>
      <c r="V14" s="167" t="str">
        <f>IF(OR(Data!$L$2=1,Data!$L$3=1),IF(OR(Data!CK47=0,Data!CK47=""),"","O"&amp;Data!CK47),IF('ARDT Cutter Entry'!$C$111&lt;&gt;"",'ARDT Cutter Entry'!V112,'ARDT Cutter Entry'!V44))</f>
        <v/>
      </c>
      <c r="W14" s="167" t="str">
        <f>IF(OR(Data!$L$2=1,Data!$L$3=1),IF(OR(Data!CL47=0,Data!CL47=""),"","O"&amp;Data!CL47),IF('ARDT Cutter Entry'!$C$111&lt;&gt;"",'ARDT Cutter Entry'!W112,'ARDT Cutter Entry'!W44))</f>
        <v/>
      </c>
      <c r="X14" s="167" t="str">
        <f>IF(OR(Data!$L$2=1,Data!$L$3=1),IF(OR(Data!CM47=0,Data!CM47=""),"","O"&amp;Data!CM47),IF('ARDT Cutter Entry'!$C$111&lt;&gt;"",'ARDT Cutter Entry'!X112,'ARDT Cutter Entry'!X44))</f>
        <v/>
      </c>
      <c r="Y14" s="167" t="str">
        <f>IF(OR(Data!$L$2=1,Data!$L$3=1),IF(OR(Data!CN47=0,Data!CN47=""),"","O"&amp;Data!CN47),IF('ARDT Cutter Entry'!$C$111&lt;&gt;"",'ARDT Cutter Entry'!Y112,'ARDT Cutter Entry'!Y44))</f>
        <v/>
      </c>
      <c r="Z14" s="167" t="str">
        <f>IF(OR(Data!$L$2=1,Data!$L$3=1),IF(OR(Data!CO47=0,Data!CO47=""),"","O"&amp;Data!CO47),IF('ARDT Cutter Entry'!$C$111&lt;&gt;"",'ARDT Cutter Entry'!Z112,'ARDT Cutter Entry'!Z44))</f>
        <v/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35">
      <c r="A15" s="1845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>S1</v>
      </c>
      <c r="D15" s="167" t="str">
        <f>IF(OR(Data!$L$2=1,Data!$L$3=1),IF(OR(Data!BS48=0,Data!BS48=""),"","O"&amp;Data!BS48),IF('ARDT Cutter Entry'!$C$111&lt;&gt;"",'ARDT Cutter Entry'!D113,'ARDT Cutter Entry'!D45))</f>
        <v>S1</v>
      </c>
      <c r="E15" s="167" t="str">
        <f>IF(OR(Data!$L$2=1,Data!$L$3=1),IF(OR(Data!BT48=0,Data!BT48=""),"","O"&amp;Data!BT48),IF('ARDT Cutter Entry'!$C$111&lt;&gt;"",'ARDT Cutter Entry'!E113,'ARDT Cutter Entry'!E45))</f>
        <v>S1</v>
      </c>
      <c r="F15" s="167" t="str">
        <f>IF(OR(Data!$L$2=1,Data!$L$3=1),IF(OR(Data!BU48=0,Data!BU48=""),"","O"&amp;Data!BU48),IF('ARDT Cutter Entry'!$C$111&lt;&gt;"",'ARDT Cutter Entry'!F113,'ARDT Cutter Entry'!F45))</f>
        <v>S1</v>
      </c>
      <c r="G15" s="167" t="str">
        <f>IF(OR(Data!$L$2=1,Data!$L$3=1),IF(OR(Data!BV48=0,Data!BV48=""),"","O"&amp;Data!BV48),IF('ARDT Cutter Entry'!$C$111&lt;&gt;"",'ARDT Cutter Entry'!G113,'ARDT Cutter Entry'!G45))</f>
        <v>X1</v>
      </c>
      <c r="H15" s="167" t="str">
        <f>IF(OR(Data!$L$2=1,Data!$L$3=1),IF(OR(Data!BW48=0,Data!BW48=""),"","O"&amp;Data!BW48),IF('ARDT Cutter Entry'!$C$111&lt;&gt;"",'ARDT Cutter Entry'!H113,'ARDT Cutter Entry'!H45))</f>
        <v>R1</v>
      </c>
      <c r="I15" s="167" t="str">
        <f>IF(OR(Data!$L$2=1,Data!$L$3=1),IF(OR(Data!BX48=0,Data!BX48=""),"","O"&amp;Data!BX48),IF('ARDT Cutter Entry'!$C$111&lt;&gt;"",'ARDT Cutter Entry'!I113,'ARDT Cutter Entry'!I45))</f>
        <v>X3</v>
      </c>
      <c r="J15" s="167" t="str">
        <f>IF(OR(Data!$L$2=1,Data!$L$3=1),IF(OR(Data!BY48=0,Data!BY48=""),"","O"&amp;Data!BY48),IF('ARDT Cutter Entry'!$C$111&lt;&gt;"",'ARDT Cutter Entry'!J113,'ARDT Cutter Entry'!J45))</f>
        <v/>
      </c>
      <c r="K15" s="167" t="str">
        <f>IF(OR(Data!$L$2=1,Data!$L$3=1),IF(OR(Data!BZ48=0,Data!BZ48=""),"","O"&amp;Data!BZ48),IF('ARDT Cutter Entry'!$C$111&lt;&gt;"",'ARDT Cutter Entry'!K113,'ARDT Cutter Entry'!K45))</f>
        <v/>
      </c>
      <c r="L15" s="167" t="str">
        <f>IF(OR(Data!$L$2=1,Data!$L$3=1),IF(OR(Data!CA48=0,Data!CA48=""),"","O"&amp;Data!CA48),IF('ARDT Cutter Entry'!$C$111&lt;&gt;"",'ARDT Cutter Entry'!L113,'ARDT Cutter Entry'!L45))</f>
        <v>S2</v>
      </c>
      <c r="M15" s="167" t="str">
        <f>IF(OR(Data!$L$2=1,Data!$L$3=1),IF(OR(Data!CB48=0,Data!CB48=""),"","O"&amp;Data!CB48),IF('ARDT Cutter Entry'!$C$111&lt;&gt;"",'ARDT Cutter Entry'!M113,'ARDT Cutter Entry'!M45))</f>
        <v>S2</v>
      </c>
      <c r="N15" s="167" t="str">
        <f>IF(OR(Data!$L$2=1,Data!$L$3=1),IF(OR(Data!CC48=0,Data!CC48=""),"","O"&amp;Data!CC48),IF('ARDT Cutter Entry'!$C$111&lt;&gt;"",'ARDT Cutter Entry'!N113,'ARDT Cutter Entry'!N45))</f>
        <v>R2</v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/>
      </c>
      <c r="Q15" s="167" t="str">
        <f>IF(OR(Data!$L$2=1,Data!$L$3=1),IF(OR(Data!CF48=0,Data!CF48=""),"","O"&amp;Data!CF48),IF('ARDT Cutter Entry'!$C$111&lt;&gt;"",'ARDT Cutter Entry'!Q113,'ARDT Cutter Entry'!Q45))</f>
        <v/>
      </c>
      <c r="R15" s="167" t="str">
        <f>IF(OR(Data!$L$2=1,Data!$L$3=1),IF(OR(Data!CG48=0,Data!CG48=""),"","O"&amp;Data!CG48),IF('ARDT Cutter Entry'!$C$111&lt;&gt;"",'ARDT Cutter Entry'!R113,'ARDT Cutter Entry'!R45))</f>
        <v/>
      </c>
      <c r="S15" s="167" t="str">
        <f>IF(OR(Data!$L$2=1,Data!$L$3=1),IF(OR(Data!CH48=0,Data!CH48=""),"","O"&amp;Data!CH48),IF('ARDT Cutter Entry'!$C$111&lt;&gt;"",'ARDT Cutter Entry'!S113,'ARDT Cutter Entry'!S45))</f>
        <v/>
      </c>
      <c r="T15" s="167" t="str">
        <f>IF(OR(Data!$L$2=1,Data!$L$3=1),IF(OR(Data!CI48=0,Data!CI48=""),"","O"&amp;Data!CI48),IF('ARDT Cutter Entry'!$C$111&lt;&gt;"",'ARDT Cutter Entry'!T113,'ARDT Cutter Entry'!T45))</f>
        <v/>
      </c>
      <c r="U15" s="167" t="str">
        <f>IF(OR(Data!$L$2=1,Data!$L$3=1),IF(OR(Data!CJ48=0,Data!CJ48=""),"","O"&amp;Data!CJ48),IF('ARDT Cutter Entry'!$C$111&lt;&gt;"",'ARDT Cutter Entry'!U113,'ARDT Cutter Entry'!U45))</f>
        <v/>
      </c>
      <c r="V15" s="167" t="str">
        <f>IF(OR(Data!$L$2=1,Data!$L$3=1),IF(OR(Data!CK48=0,Data!CK48=""),"","O"&amp;Data!CK48),IF('ARDT Cutter Entry'!$C$111&lt;&gt;"",'ARDT Cutter Entry'!V113,'ARDT Cutter Entry'!V45))</f>
        <v/>
      </c>
      <c r="W15" s="167" t="str">
        <f>IF(OR(Data!$L$2=1,Data!$L$3=1),IF(OR(Data!CL48=0,Data!CL48=""),"","O"&amp;Data!CL48),IF('ARDT Cutter Entry'!$C$111&lt;&gt;"",'ARDT Cutter Entry'!W113,'ARDT Cutter Entry'!W45))</f>
        <v/>
      </c>
      <c r="X15" s="167" t="str">
        <f>IF(OR(Data!$L$2=1,Data!$L$3=1),IF(OR(Data!CM48=0,Data!CM48=""),"","O"&amp;Data!CM48),IF('ARDT Cutter Entry'!$C$111&lt;&gt;"",'ARDT Cutter Entry'!X113,'ARDT Cutter Entry'!X45))</f>
        <v/>
      </c>
      <c r="Y15" s="167" t="str">
        <f>IF(OR(Data!$L$2=1,Data!$L$3=1),IF(OR(Data!CN48=0,Data!CN48=""),"","O"&amp;Data!CN48),IF('ARDT Cutter Entry'!$C$111&lt;&gt;"",'ARDT Cutter Entry'!Y113,'ARDT Cutter Entry'!Y45))</f>
        <v/>
      </c>
      <c r="Z15" s="167" t="str">
        <f>IF(OR(Data!$L$2=1,Data!$L$3=1),IF(OR(Data!CO48=0,Data!CO48=""),"","O"&amp;Data!CO48),IF('ARDT Cutter Entry'!$C$111&lt;&gt;"",'ARDT Cutter Entry'!Z113,'ARDT Cutter Entry'!Z45))</f>
        <v/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35">
      <c r="A16" s="1845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>S1</v>
      </c>
      <c r="D16" s="167" t="str">
        <f>IF(OR(Data!$L$2=1,Data!$L$3=1),IF(OR(Data!BS49=0,Data!BS49=""),"","O"&amp;Data!BS49),IF('ARDT Cutter Entry'!$C$111&lt;&gt;"",'ARDT Cutter Entry'!D114,'ARDT Cutter Entry'!D46))</f>
        <v>S1</v>
      </c>
      <c r="E16" s="167" t="str">
        <f>IF(OR(Data!$L$2=1,Data!$L$3=1),IF(OR(Data!BT49=0,Data!BT49=""),"","O"&amp;Data!BT49),IF('ARDT Cutter Entry'!$C$111&lt;&gt;"",'ARDT Cutter Entry'!E114,'ARDT Cutter Entry'!E46))</f>
        <v>X1</v>
      </c>
      <c r="F16" s="167" t="str">
        <f>IF(OR(Data!$L$2=1,Data!$L$3=1),IF(OR(Data!BU49=0,Data!BU49=""),"","O"&amp;Data!BU49),IF('ARDT Cutter Entry'!$C$111&lt;&gt;"",'ARDT Cutter Entry'!F114,'ARDT Cutter Entry'!F46))</f>
        <v>R1</v>
      </c>
      <c r="G16" s="167" t="str">
        <f>IF(OR(Data!$L$2=1,Data!$L$3=1),IF(OR(Data!BV49=0,Data!BV49=""),"","O"&amp;Data!BV49),IF('ARDT Cutter Entry'!$C$111&lt;&gt;"",'ARDT Cutter Entry'!G114,'ARDT Cutter Entry'!G46))</f>
        <v>X1</v>
      </c>
      <c r="H16" s="167" t="str">
        <f>IF(OR(Data!$L$2=1,Data!$L$3=1),IF(OR(Data!BW49=0,Data!BW49=""),"","O"&amp;Data!BW49),IF('ARDT Cutter Entry'!$C$111&lt;&gt;"",'ARDT Cutter Entry'!H114,'ARDT Cutter Entry'!H46))</f>
        <v>X3</v>
      </c>
      <c r="I16" s="167" t="str">
        <f>IF(OR(Data!$L$2=1,Data!$L$3=1),IF(OR(Data!BX49=0,Data!BX49=""),"","O"&amp;Data!BX49),IF('ARDT Cutter Entry'!$C$111&lt;&gt;"",'ARDT Cutter Entry'!I114,'ARDT Cutter Entry'!I46))</f>
        <v/>
      </c>
      <c r="J16" s="167" t="str">
        <f>IF(OR(Data!$L$2=1,Data!$L$3=1),IF(OR(Data!BY49=0,Data!BY49=""),"","O"&amp;Data!BY49),IF('ARDT Cutter Entry'!$C$111&lt;&gt;"",'ARDT Cutter Entry'!J114,'ARDT Cutter Entry'!J46))</f>
        <v/>
      </c>
      <c r="K16" s="167" t="str">
        <f>IF(OR(Data!$L$2=1,Data!$L$3=1),IF(OR(Data!BZ49=0,Data!BZ49=""),"","O"&amp;Data!BZ49),IF('ARDT Cutter Entry'!$C$111&lt;&gt;"",'ARDT Cutter Entry'!K114,'ARDT Cutter Entry'!K46))</f>
        <v/>
      </c>
      <c r="L16" s="167" t="str">
        <f>IF(OR(Data!$L$2=1,Data!$L$3=1),IF(OR(Data!CA49=0,Data!CA49=""),"","O"&amp;Data!CA49),IF('ARDT Cutter Entry'!$C$111&lt;&gt;"",'ARDT Cutter Entry'!L114,'ARDT Cutter Entry'!L46))</f>
        <v>S2</v>
      </c>
      <c r="M16" s="167" t="str">
        <f>IF(OR(Data!$L$2=1,Data!$L$3=1),IF(OR(Data!CB49=0,Data!CB49=""),"","O"&amp;Data!CB49),IF('ARDT Cutter Entry'!$C$111&lt;&gt;"",'ARDT Cutter Entry'!M114,'ARDT Cutter Entry'!M46))</f>
        <v>S2</v>
      </c>
      <c r="N16" s="167" t="str">
        <f>IF(OR(Data!$L$2=1,Data!$L$3=1),IF(OR(Data!CC49=0,Data!CC49=""),"","O"&amp;Data!CC49),IF('ARDT Cutter Entry'!$C$111&lt;&gt;"",'ARDT Cutter Entry'!N114,'ARDT Cutter Entry'!N46))</f>
        <v>S2</v>
      </c>
      <c r="O16" s="167" t="str">
        <f>IF(OR(Data!$L$2=1,Data!$L$3=1),IF(OR(Data!CD49=0,Data!CD49=""),"","O"&amp;Data!CD49),IF('ARDT Cutter Entry'!$C$111&lt;&gt;"",'ARDT Cutter Entry'!O114,'ARDT Cutter Entry'!O46))</f>
        <v>R2</v>
      </c>
      <c r="P16" s="167" t="str">
        <f>IF(OR(Data!$L$2=1,Data!$L$3=1),IF(OR(Data!CE49=0,Data!CE49=""),"","O"&amp;Data!CE49),IF('ARDT Cutter Entry'!$C$111&lt;&gt;"",'ARDT Cutter Entry'!P114,'ARDT Cutter Entry'!P46))</f>
        <v/>
      </c>
      <c r="Q16" s="167" t="str">
        <f>IF(OR(Data!$L$2=1,Data!$L$3=1),IF(OR(Data!CF49=0,Data!CF49=""),"","O"&amp;Data!CF49),IF('ARDT Cutter Entry'!$C$111&lt;&gt;"",'ARDT Cutter Entry'!Q114,'ARDT Cutter Entry'!Q46))</f>
        <v/>
      </c>
      <c r="R16" s="167" t="str">
        <f>IF(OR(Data!$L$2=1,Data!$L$3=1),IF(OR(Data!CG49=0,Data!CG49=""),"","O"&amp;Data!CG49),IF('ARDT Cutter Entry'!$C$111&lt;&gt;"",'ARDT Cutter Entry'!R114,'ARDT Cutter Entry'!R46))</f>
        <v/>
      </c>
      <c r="S16" s="167" t="str">
        <f>IF(OR(Data!$L$2=1,Data!$L$3=1),IF(OR(Data!CH49=0,Data!CH49=""),"","O"&amp;Data!CH49),IF('ARDT Cutter Entry'!$C$111&lt;&gt;"",'ARDT Cutter Entry'!S114,'ARDT Cutter Entry'!S46))</f>
        <v/>
      </c>
      <c r="T16" s="167" t="str">
        <f>IF(OR(Data!$L$2=1,Data!$L$3=1),IF(OR(Data!CI49=0,Data!CI49=""),"","O"&amp;Data!CI49),IF('ARDT Cutter Entry'!$C$111&lt;&gt;"",'ARDT Cutter Entry'!T114,'ARDT Cutter Entry'!T46))</f>
        <v/>
      </c>
      <c r="U16" s="167" t="str">
        <f>IF(OR(Data!$L$2=1,Data!$L$3=1),IF(OR(Data!CJ49=0,Data!CJ49=""),"","O"&amp;Data!CJ49),IF('ARDT Cutter Entry'!$C$111&lt;&gt;"",'ARDT Cutter Entry'!U114,'ARDT Cutter Entry'!U46))</f>
        <v/>
      </c>
      <c r="V16" s="167" t="str">
        <f>IF(OR(Data!$L$2=1,Data!$L$3=1),IF(OR(Data!CK49=0,Data!CK49=""),"","O"&amp;Data!CK49),IF('ARDT Cutter Entry'!$C$111&lt;&gt;"",'ARDT Cutter Entry'!V114,'ARDT Cutter Entry'!V46))</f>
        <v/>
      </c>
      <c r="W16" s="167" t="str">
        <f>IF(OR(Data!$L$2=1,Data!$L$3=1),IF(OR(Data!CL49=0,Data!CL49=""),"","O"&amp;Data!CL49),IF('ARDT Cutter Entry'!$C$111&lt;&gt;"",'ARDT Cutter Entry'!W114,'ARDT Cutter Entry'!W46))</f>
        <v/>
      </c>
      <c r="X16" s="167" t="str">
        <f>IF(OR(Data!$L$2=1,Data!$L$3=1),IF(OR(Data!CM49=0,Data!CM49=""),"","O"&amp;Data!CM49),IF('ARDT Cutter Entry'!$C$111&lt;&gt;"",'ARDT Cutter Entry'!X114,'ARDT Cutter Entry'!X46))</f>
        <v/>
      </c>
      <c r="Y16" s="167" t="str">
        <f>IF(OR(Data!$L$2=1,Data!$L$3=1),IF(OR(Data!CN49=0,Data!CN49=""),"","O"&amp;Data!CN49),IF('ARDT Cutter Entry'!$C$111&lt;&gt;"",'ARDT Cutter Entry'!Y114,'ARDT Cutter Entry'!Y46))</f>
        <v/>
      </c>
      <c r="Z16" s="167" t="str">
        <f>IF(OR(Data!$L$2=1,Data!$L$3=1),IF(OR(Data!CO49=0,Data!CO49=""),"","O"&amp;Data!CO49),IF('ARDT Cutter Entry'!$C$111&lt;&gt;"",'ARDT Cutter Entry'!Z114,'ARDT Cutter Entry'!Z46))</f>
        <v/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35">
      <c r="A17" s="1845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>S1</v>
      </c>
      <c r="D17" s="167" t="str">
        <f>IF(OR(Data!$L$2=1,Data!$L$3=1),IF(OR(Data!BS50=0,Data!BS50=""),"","O"&amp;Data!BS50),IF('ARDT Cutter Entry'!$C$111&lt;&gt;"",'ARDT Cutter Entry'!D115,'ARDT Cutter Entry'!D47))</f>
        <v>S1</v>
      </c>
      <c r="E17" s="167" t="str">
        <f>IF(OR(Data!$L$2=1,Data!$L$3=1),IF(OR(Data!BT50=0,Data!BT50=""),"","O"&amp;Data!BT50),IF('ARDT Cutter Entry'!$C$111&lt;&gt;"",'ARDT Cutter Entry'!E115,'ARDT Cutter Entry'!E47))</f>
        <v>S1</v>
      </c>
      <c r="F17" s="167" t="str">
        <f>IF(OR(Data!$L$2=1,Data!$L$3=1),IF(OR(Data!BU50=0,Data!BU50=""),"","O"&amp;Data!BU50),IF('ARDT Cutter Entry'!$C$111&lt;&gt;"",'ARDT Cutter Entry'!F115,'ARDT Cutter Entry'!F47))</f>
        <v>S1</v>
      </c>
      <c r="G17" s="167" t="str">
        <f>IF(OR(Data!$L$2=1,Data!$L$3=1),IF(OR(Data!BV50=0,Data!BV50=""),"","O"&amp;Data!BV50),IF('ARDT Cutter Entry'!$C$111&lt;&gt;"",'ARDT Cutter Entry'!G115,'ARDT Cutter Entry'!G47))</f>
        <v>S1</v>
      </c>
      <c r="H17" s="167" t="str">
        <f>IF(OR(Data!$L$2=1,Data!$L$3=1),IF(OR(Data!BW50=0,Data!BW50=""),"","O"&amp;Data!BW50),IF('ARDT Cutter Entry'!$C$111&lt;&gt;"",'ARDT Cutter Entry'!H115,'ARDT Cutter Entry'!H47))</f>
        <v>X1</v>
      </c>
      <c r="I17" s="167" t="str">
        <f>IF(OR(Data!$L$2=1,Data!$L$3=1),IF(OR(Data!BX50=0,Data!BX50=""),"","O"&amp;Data!BX50),IF('ARDT Cutter Entry'!$C$111&lt;&gt;"",'ARDT Cutter Entry'!I115,'ARDT Cutter Entry'!I47))</f>
        <v>R1</v>
      </c>
      <c r="J17" s="167" t="str">
        <f>IF(OR(Data!$L$2=1,Data!$L$3=1),IF(OR(Data!BY50=0,Data!BY50=""),"","O"&amp;Data!BY50),IF('ARDT Cutter Entry'!$C$111&lt;&gt;"",'ARDT Cutter Entry'!J115,'ARDT Cutter Entry'!J47))</f>
        <v>X3</v>
      </c>
      <c r="K17" s="167" t="str">
        <f>IF(OR(Data!$L$2=1,Data!$L$3=1),IF(OR(Data!BZ50=0,Data!BZ50=""),"","O"&amp;Data!BZ50),IF('ARDT Cutter Entry'!$C$111&lt;&gt;"",'ARDT Cutter Entry'!K115,'ARDT Cutter Entry'!K47))</f>
        <v/>
      </c>
      <c r="L17" s="167" t="str">
        <f>IF(OR(Data!$L$2=1,Data!$L$3=1),IF(OR(Data!CA50=0,Data!CA50=""),"","O"&amp;Data!CA50),IF('ARDT Cutter Entry'!$C$111&lt;&gt;"",'ARDT Cutter Entry'!L115,'ARDT Cutter Entry'!L47))</f>
        <v>S2</v>
      </c>
      <c r="M17" s="167" t="str">
        <f>IF(OR(Data!$L$2=1,Data!$L$3=1),IF(OR(Data!CB50=0,Data!CB50=""),"","O"&amp;Data!CB50),IF('ARDT Cutter Entry'!$C$111&lt;&gt;"",'ARDT Cutter Entry'!M115,'ARDT Cutter Entry'!M47))</f>
        <v>S2</v>
      </c>
      <c r="N17" s="167" t="str">
        <f>IF(OR(Data!$L$2=1,Data!$L$3=1),IF(OR(Data!CC50=0,Data!CC50=""),"","O"&amp;Data!CC50),IF('ARDT Cutter Entry'!$C$111&lt;&gt;"",'ARDT Cutter Entry'!N115,'ARDT Cutter Entry'!N47))</f>
        <v>X2</v>
      </c>
      <c r="O17" s="167" t="str">
        <f>IF(OR(Data!$L$2=1,Data!$L$3=1),IF(OR(Data!CD50=0,Data!CD50=""),"","O"&amp;Data!CD50),IF('ARDT Cutter Entry'!$C$111&lt;&gt;"",'ARDT Cutter Entry'!O115,'ARDT Cutter Entry'!O47))</f>
        <v>R2</v>
      </c>
      <c r="P17" s="167" t="str">
        <f>IF(OR(Data!$L$2=1,Data!$L$3=1),IF(OR(Data!CE50=0,Data!CE50=""),"","O"&amp;Data!CE50),IF('ARDT Cutter Entry'!$C$111&lt;&gt;"",'ARDT Cutter Entry'!P115,'ARDT Cutter Entry'!P47))</f>
        <v/>
      </c>
      <c r="Q17" s="167" t="str">
        <f>IF(OR(Data!$L$2=1,Data!$L$3=1),IF(OR(Data!CF50=0,Data!CF50=""),"","O"&amp;Data!CF50),IF('ARDT Cutter Entry'!$C$111&lt;&gt;"",'ARDT Cutter Entry'!Q115,'ARDT Cutter Entry'!Q47))</f>
        <v/>
      </c>
      <c r="R17" s="167" t="str">
        <f>IF(OR(Data!$L$2=1,Data!$L$3=1),IF(OR(Data!CG50=0,Data!CG50=""),"","O"&amp;Data!CG50),IF('ARDT Cutter Entry'!$C$111&lt;&gt;"",'ARDT Cutter Entry'!R115,'ARDT Cutter Entry'!R47))</f>
        <v/>
      </c>
      <c r="S17" s="167" t="str">
        <f>IF(OR(Data!$L$2=1,Data!$L$3=1),IF(OR(Data!CH50=0,Data!CH50=""),"","O"&amp;Data!CH50),IF('ARDT Cutter Entry'!$C$111&lt;&gt;"",'ARDT Cutter Entry'!S115,'ARDT Cutter Entry'!S47))</f>
        <v/>
      </c>
      <c r="T17" s="167" t="str">
        <f>IF(OR(Data!$L$2=1,Data!$L$3=1),IF(OR(Data!CI50=0,Data!CI50=""),"","O"&amp;Data!CI50),IF('ARDT Cutter Entry'!$C$111&lt;&gt;"",'ARDT Cutter Entry'!T115,'ARDT Cutter Entry'!T47))</f>
        <v/>
      </c>
      <c r="U17" s="167" t="str">
        <f>IF(OR(Data!$L$2=1,Data!$L$3=1),IF(OR(Data!CJ50=0,Data!CJ50=""),"","O"&amp;Data!CJ50),IF('ARDT Cutter Entry'!$C$111&lt;&gt;"",'ARDT Cutter Entry'!U115,'ARDT Cutter Entry'!U47))</f>
        <v/>
      </c>
      <c r="V17" s="167" t="str">
        <f>IF(OR(Data!$L$2=1,Data!$L$3=1),IF(OR(Data!CK50=0,Data!CK50=""),"","O"&amp;Data!CK50),IF('ARDT Cutter Entry'!$C$111&lt;&gt;"",'ARDT Cutter Entry'!V115,'ARDT Cutter Entry'!V47))</f>
        <v/>
      </c>
      <c r="W17" s="167" t="str">
        <f>IF(OR(Data!$L$2=1,Data!$L$3=1),IF(OR(Data!CL50=0,Data!CL50=""),"","O"&amp;Data!CL50),IF('ARDT Cutter Entry'!$C$111&lt;&gt;"",'ARDT Cutter Entry'!W115,'ARDT Cutter Entry'!W47))</f>
        <v/>
      </c>
      <c r="X17" s="167" t="str">
        <f>IF(OR(Data!$L$2=1,Data!$L$3=1),IF(OR(Data!CM50=0,Data!CM50=""),"","O"&amp;Data!CM50),IF('ARDT Cutter Entry'!$C$111&lt;&gt;"",'ARDT Cutter Entry'!X115,'ARDT Cutter Entry'!X47))</f>
        <v/>
      </c>
      <c r="Y17" s="167" t="str">
        <f>IF(OR(Data!$L$2=1,Data!$L$3=1),IF(OR(Data!CN50=0,Data!CN50=""),"","O"&amp;Data!CN50),IF('ARDT Cutter Entry'!$C$111&lt;&gt;"",'ARDT Cutter Entry'!Y115,'ARDT Cutter Entry'!Y47))</f>
        <v/>
      </c>
      <c r="Z17" s="167" t="str">
        <f>IF(OR(Data!$L$2=1,Data!$L$3=1),IF(OR(Data!CO50=0,Data!CO50=""),"","O"&amp;Data!CO50),IF('ARDT Cutter Entry'!$C$111&lt;&gt;"",'ARDT Cutter Entry'!Z115,'ARDT Cutter Entry'!Z47))</f>
        <v/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35">
      <c r="A18" s="1845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>S1</v>
      </c>
      <c r="D18" s="167" t="str">
        <f>IF(OR(Data!$L$2=1,Data!$L$3=1),IF(OR(Data!BS51=0,Data!BS51=""),"","O"&amp;Data!BS51),IF('ARDT Cutter Entry'!$C$111&lt;&gt;"",'ARDT Cutter Entry'!D116,'ARDT Cutter Entry'!D48))</f>
        <v>X1</v>
      </c>
      <c r="E18" s="167" t="str">
        <f>IF(OR(Data!$L$2=1,Data!$L$3=1),IF(OR(Data!BT51=0,Data!BT51=""),"","O"&amp;Data!BT51),IF('ARDT Cutter Entry'!$C$111&lt;&gt;"",'ARDT Cutter Entry'!E116,'ARDT Cutter Entry'!E48))</f>
        <v>S1</v>
      </c>
      <c r="F18" s="167" t="str">
        <f>IF(OR(Data!$L$2=1,Data!$L$3=1),IF(OR(Data!BU51=0,Data!BU51=""),"","O"&amp;Data!BU51),IF('ARDT Cutter Entry'!$C$111&lt;&gt;"",'ARDT Cutter Entry'!F116,'ARDT Cutter Entry'!F48))</f>
        <v>X1</v>
      </c>
      <c r="G18" s="167" t="str">
        <f>IF(OR(Data!$L$2=1,Data!$L$3=1),IF(OR(Data!BV51=0,Data!BV51=""),"","O"&amp;Data!BV51),IF('ARDT Cutter Entry'!$C$111&lt;&gt;"",'ARDT Cutter Entry'!G116,'ARDT Cutter Entry'!G48))</f>
        <v>X3</v>
      </c>
      <c r="H18" s="167" t="str">
        <f>IF(OR(Data!$L$2=1,Data!$L$3=1),IF(OR(Data!BW51=0,Data!BW51=""),"","O"&amp;Data!BW51),IF('ARDT Cutter Entry'!$C$111&lt;&gt;"",'ARDT Cutter Entry'!H116,'ARDT Cutter Entry'!H48))</f>
        <v/>
      </c>
      <c r="I18" s="167" t="str">
        <f>IF(OR(Data!$L$2=1,Data!$L$3=1),IF(OR(Data!BX51=0,Data!BX51=""),"","O"&amp;Data!BX51),IF('ARDT Cutter Entry'!$C$111&lt;&gt;"",'ARDT Cutter Entry'!I116,'ARDT Cutter Entry'!I48))</f>
        <v/>
      </c>
      <c r="J18" s="167" t="str">
        <f>IF(OR(Data!$L$2=1,Data!$L$3=1),IF(OR(Data!BY51=0,Data!BY51=""),"","O"&amp;Data!BY51),IF('ARDT Cutter Entry'!$C$111&lt;&gt;"",'ARDT Cutter Entry'!J116,'ARDT Cutter Entry'!J48))</f>
        <v/>
      </c>
      <c r="K18" s="167" t="str">
        <f>IF(OR(Data!$L$2=1,Data!$L$3=1),IF(OR(Data!BZ51=0,Data!BZ51=""),"","O"&amp;Data!BZ51),IF('ARDT Cutter Entry'!$C$111&lt;&gt;"",'ARDT Cutter Entry'!K116,'ARDT Cutter Entry'!K48))</f>
        <v/>
      </c>
      <c r="L18" s="167" t="str">
        <f>IF(OR(Data!$L$2=1,Data!$L$3=1),IF(OR(Data!CA51=0,Data!CA51=""),"","O"&amp;Data!CA51),IF('ARDT Cutter Entry'!$C$111&lt;&gt;"",'ARDT Cutter Entry'!L116,'ARDT Cutter Entry'!L48))</f>
        <v>S2</v>
      </c>
      <c r="M18" s="167" t="str">
        <f>IF(OR(Data!$L$2=1,Data!$L$3=1),IF(OR(Data!CB51=0,Data!CB51=""),"","O"&amp;Data!CB51),IF('ARDT Cutter Entry'!$C$111&lt;&gt;"",'ARDT Cutter Entry'!M116,'ARDT Cutter Entry'!M48))</f>
        <v>S2</v>
      </c>
      <c r="N18" s="167" t="str">
        <f>IF(OR(Data!$L$2=1,Data!$L$3=1),IF(OR(Data!CC51=0,Data!CC51=""),"","O"&amp;Data!CC51),IF('ARDT Cutter Entry'!$C$111&lt;&gt;"",'ARDT Cutter Entry'!N116,'ARDT Cutter Entry'!N48))</f>
        <v>S2</v>
      </c>
      <c r="O18" s="167" t="str">
        <f>IF(OR(Data!$L$2=1,Data!$L$3=1),IF(OR(Data!CD51=0,Data!CD51=""),"","O"&amp;Data!CD51),IF('ARDT Cutter Entry'!$C$111&lt;&gt;"",'ARDT Cutter Entry'!O116,'ARDT Cutter Entry'!O48))</f>
        <v>R2</v>
      </c>
      <c r="P18" s="167" t="str">
        <f>IF(OR(Data!$L$2=1,Data!$L$3=1),IF(OR(Data!CE51=0,Data!CE51=""),"","O"&amp;Data!CE51),IF('ARDT Cutter Entry'!$C$111&lt;&gt;"",'ARDT Cutter Entry'!P116,'ARDT Cutter Entry'!P48))</f>
        <v/>
      </c>
      <c r="Q18" s="167" t="str">
        <f>IF(OR(Data!$L$2=1,Data!$L$3=1),IF(OR(Data!CF51=0,Data!CF51=""),"","O"&amp;Data!CF51),IF('ARDT Cutter Entry'!$C$111&lt;&gt;"",'ARDT Cutter Entry'!Q116,'ARDT Cutter Entry'!Q48))</f>
        <v/>
      </c>
      <c r="R18" s="167" t="str">
        <f>IF(OR(Data!$L$2=1,Data!$L$3=1),IF(OR(Data!CG51=0,Data!CG51=""),"","O"&amp;Data!CG51),IF('ARDT Cutter Entry'!$C$111&lt;&gt;"",'ARDT Cutter Entry'!R116,'ARDT Cutter Entry'!R48))</f>
        <v/>
      </c>
      <c r="S18" s="167" t="str">
        <f>IF(OR(Data!$L$2=1,Data!$L$3=1),IF(OR(Data!CH51=0,Data!CH51=""),"","O"&amp;Data!CH51),IF('ARDT Cutter Entry'!$C$111&lt;&gt;"",'ARDT Cutter Entry'!S116,'ARDT Cutter Entry'!S48))</f>
        <v/>
      </c>
      <c r="T18" s="167" t="str">
        <f>IF(OR(Data!$L$2=1,Data!$L$3=1),IF(OR(Data!CI51=0,Data!CI51=""),"","O"&amp;Data!CI51),IF('ARDT Cutter Entry'!$C$111&lt;&gt;"",'ARDT Cutter Entry'!T116,'ARDT Cutter Entry'!T48))</f>
        <v/>
      </c>
      <c r="U18" s="167" t="str">
        <f>IF(OR(Data!$L$2=1,Data!$L$3=1),IF(OR(Data!CJ51=0,Data!CJ51=""),"","O"&amp;Data!CJ51),IF('ARDT Cutter Entry'!$C$111&lt;&gt;"",'ARDT Cutter Entry'!U116,'ARDT Cutter Entry'!U48))</f>
        <v/>
      </c>
      <c r="V18" s="167" t="str">
        <f>IF(OR(Data!$L$2=1,Data!$L$3=1),IF(OR(Data!CK51=0,Data!CK51=""),"","O"&amp;Data!CK51),IF('ARDT Cutter Entry'!$C$111&lt;&gt;"",'ARDT Cutter Entry'!V116,'ARDT Cutter Entry'!V48))</f>
        <v/>
      </c>
      <c r="W18" s="167" t="str">
        <f>IF(OR(Data!$L$2=1,Data!$L$3=1),IF(OR(Data!CL51=0,Data!CL51=""),"","O"&amp;Data!CL51),IF('ARDT Cutter Entry'!$C$111&lt;&gt;"",'ARDT Cutter Entry'!W116,'ARDT Cutter Entry'!W48))</f>
        <v/>
      </c>
      <c r="X18" s="167" t="str">
        <f>IF(OR(Data!$L$2=1,Data!$L$3=1),IF(OR(Data!CM51=0,Data!CM51=""),"","O"&amp;Data!CM51),IF('ARDT Cutter Entry'!$C$111&lt;&gt;"",'ARDT Cutter Entry'!X116,'ARDT Cutter Entry'!X48))</f>
        <v/>
      </c>
      <c r="Y18" s="167" t="str">
        <f>IF(OR(Data!$L$2=1,Data!$L$3=1),IF(OR(Data!CN51=0,Data!CN51=""),"","O"&amp;Data!CN51),IF('ARDT Cutter Entry'!$C$111&lt;&gt;"",'ARDT Cutter Entry'!Y116,'ARDT Cutter Entry'!Y48))</f>
        <v/>
      </c>
      <c r="Z18" s="167" t="str">
        <f>IF(OR(Data!$L$2=1,Data!$L$3=1),IF(OR(Data!CO51=0,Data!CO51=""),"","O"&amp;Data!CO51),IF('ARDT Cutter Entry'!$C$111&lt;&gt;"",'ARDT Cutter Entry'!Z116,'ARDT Cutter Entry'!Z48))</f>
        <v/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35">
      <c r="A19" s="1845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/>
      </c>
      <c r="D19" s="167" t="str">
        <f>IF(OR(Data!$L$2=1,Data!$L$3=1),IF(OR(Data!BS52=0,Data!BS52=""),"","O"&amp;Data!BS52),IF('ARDT Cutter Entry'!$C$111&lt;&gt;"",'ARDT Cutter Entry'!D117,'ARDT Cutter Entry'!D49))</f>
        <v/>
      </c>
      <c r="E19" s="167" t="str">
        <f>IF(OR(Data!$L$2=1,Data!$L$3=1),IF(OR(Data!BT52=0,Data!BT52=""),"","O"&amp;Data!BT52),IF('ARDT Cutter Entry'!$C$111&lt;&gt;"",'ARDT Cutter Entry'!E117,'ARDT Cutter Entry'!E49))</f>
        <v/>
      </c>
      <c r="F19" s="167" t="str">
        <f>IF(OR(Data!$L$2=1,Data!$L$3=1),IF(OR(Data!BU52=0,Data!BU52=""),"","O"&amp;Data!BU52),IF('ARDT Cutter Entry'!$C$111&lt;&gt;"",'ARDT Cutter Entry'!F117,'ARDT Cutter Entry'!F49))</f>
        <v/>
      </c>
      <c r="G19" s="167" t="str">
        <f>IF(OR(Data!$L$2=1,Data!$L$3=1),IF(OR(Data!BV52=0,Data!BV52=""),"","O"&amp;Data!BV52),IF('ARDT Cutter Entry'!$C$111&lt;&gt;"",'ARDT Cutter Entry'!G117,'ARDT Cutter Entry'!G49))</f>
        <v/>
      </c>
      <c r="H19" s="167" t="str">
        <f>IF(OR(Data!$L$2=1,Data!$L$3=1),IF(OR(Data!BW52=0,Data!BW52=""),"","O"&amp;Data!BW52),IF('ARDT Cutter Entry'!$C$111&lt;&gt;"",'ARDT Cutter Entry'!H117,'ARDT Cutter Entry'!H49))</f>
        <v/>
      </c>
      <c r="I19" s="167" t="str">
        <f>IF(OR(Data!$L$2=1,Data!$L$3=1),IF(OR(Data!BX52=0,Data!BX52=""),"","O"&amp;Data!BX52),IF('ARDT Cutter Entry'!$C$111&lt;&gt;"",'ARDT Cutter Entry'!I117,'ARDT Cutter Entry'!I49))</f>
        <v/>
      </c>
      <c r="J19" s="167" t="str">
        <f>IF(OR(Data!$L$2=1,Data!$L$3=1),IF(OR(Data!BY52=0,Data!BY52=""),"","O"&amp;Data!BY52),IF('ARDT Cutter Entry'!$C$111&lt;&gt;"",'ARDT Cutter Entry'!J117,'ARDT Cutter Entry'!J49))</f>
        <v/>
      </c>
      <c r="K19" s="167" t="str">
        <f>IF(OR(Data!$L$2=1,Data!$L$3=1),IF(OR(Data!BZ52=0,Data!BZ52=""),"","O"&amp;Data!BZ52),IF('ARDT Cutter Entry'!$C$111&lt;&gt;"",'ARDT Cutter Entry'!K117,'ARDT Cutter Entry'!K49))</f>
        <v/>
      </c>
      <c r="L19" s="167" t="str">
        <f>IF(OR(Data!$L$2=1,Data!$L$3=1),IF(OR(Data!CA52=0,Data!CA52=""),"","O"&amp;Data!CA52),IF('ARDT Cutter Entry'!$C$111&lt;&gt;"",'ARDT Cutter Entry'!L117,'ARDT Cutter Entry'!L49))</f>
        <v/>
      </c>
      <c r="M19" s="167" t="str">
        <f>IF(OR(Data!$L$2=1,Data!$L$3=1),IF(OR(Data!CB52=0,Data!CB52=""),"","O"&amp;Data!CB52),IF('ARDT Cutter Entry'!$C$111&lt;&gt;"",'ARDT Cutter Entry'!M117,'ARDT Cutter Entry'!M49))</f>
        <v/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/>
      </c>
      <c r="U19" s="167" t="str">
        <f>IF(OR(Data!$L$2=1,Data!$L$3=1),IF(OR(Data!CJ52=0,Data!CJ52=""),"","O"&amp;Data!CJ52),IF('ARDT Cutter Entry'!$C$111&lt;&gt;"",'ARDT Cutter Entry'!U117,'ARDT Cutter Entry'!U49))</f>
        <v/>
      </c>
      <c r="V19" s="167" t="str">
        <f>IF(OR(Data!$L$2=1,Data!$L$3=1),IF(OR(Data!CK52=0,Data!CK52=""),"","O"&amp;Data!CK52),IF('ARDT Cutter Entry'!$C$111&lt;&gt;"",'ARDT Cutter Entry'!V117,'ARDT Cutter Entry'!V49))</f>
        <v/>
      </c>
      <c r="W19" s="167" t="str">
        <f>IF(OR(Data!$L$2=1,Data!$L$3=1),IF(OR(Data!CL52=0,Data!CL52=""),"","O"&amp;Data!CL52),IF('ARDT Cutter Entry'!$C$111&lt;&gt;"",'ARDT Cutter Entry'!W117,'ARDT Cutter Entry'!W49))</f>
        <v/>
      </c>
      <c r="X19" s="167" t="str">
        <f>IF(OR(Data!$L$2=1,Data!$L$3=1),IF(OR(Data!CM52=0,Data!CM52=""),"","O"&amp;Data!CM52),IF('ARDT Cutter Entry'!$C$111&lt;&gt;"",'ARDT Cutter Entry'!X117,'ARDT Cutter Entry'!X49))</f>
        <v/>
      </c>
      <c r="Y19" s="167" t="str">
        <f>IF(OR(Data!$L$2=1,Data!$L$3=1),IF(OR(Data!CN52=0,Data!CN52=""),"","O"&amp;Data!CN52),IF('ARDT Cutter Entry'!$C$111&lt;&gt;"",'ARDT Cutter Entry'!Y117,'ARDT Cutter Entry'!Y49))</f>
        <v/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35">
      <c r="A20" s="1845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/>
      </c>
      <c r="D20" s="167" t="str">
        <f>IF(OR(Data!$L$2=1,Data!$L$3=1),IF(OR(Data!BS53=0,Data!BS53=""),"","O"&amp;Data!BS53),IF('ARDT Cutter Entry'!$C$111&lt;&gt;"",'ARDT Cutter Entry'!D118,'ARDT Cutter Entry'!D50))</f>
        <v/>
      </c>
      <c r="E20" s="167" t="str">
        <f>IF(OR(Data!$L$2=1,Data!$L$3=1),IF(OR(Data!BT53=0,Data!BT53=""),"","O"&amp;Data!BT53),IF('ARDT Cutter Entry'!$C$111&lt;&gt;"",'ARDT Cutter Entry'!E118,'ARDT Cutter Entry'!E50))</f>
        <v/>
      </c>
      <c r="F20" s="167" t="str">
        <f>IF(OR(Data!$L$2=1,Data!$L$3=1),IF(OR(Data!BU53=0,Data!BU53=""),"","O"&amp;Data!BU53),IF('ARDT Cutter Entry'!$C$111&lt;&gt;"",'ARDT Cutter Entry'!F118,'ARDT Cutter Entry'!F50))</f>
        <v/>
      </c>
      <c r="G20" s="167" t="str">
        <f>IF(OR(Data!$L$2=1,Data!$L$3=1),IF(OR(Data!BV53=0,Data!BV53=""),"","O"&amp;Data!BV53),IF('ARDT Cutter Entry'!$C$111&lt;&gt;"",'ARDT Cutter Entry'!G118,'ARDT Cutter Entry'!G50))</f>
        <v/>
      </c>
      <c r="H20" s="167" t="str">
        <f>IF(OR(Data!$L$2=1,Data!$L$3=1),IF(OR(Data!BW53=0,Data!BW53=""),"","O"&amp;Data!BW53),IF('ARDT Cutter Entry'!$C$111&lt;&gt;"",'ARDT Cutter Entry'!H118,'ARDT Cutter Entry'!H50))</f>
        <v/>
      </c>
      <c r="I20" s="167" t="str">
        <f>IF(OR(Data!$L$2=1,Data!$L$3=1),IF(OR(Data!BX53=0,Data!BX53=""),"","O"&amp;Data!BX53),IF('ARDT Cutter Entry'!$C$111&lt;&gt;"",'ARDT Cutter Entry'!I118,'ARDT Cutter Entry'!I50))</f>
        <v/>
      </c>
      <c r="J20" s="167" t="str">
        <f>IF(OR(Data!$L$2=1,Data!$L$3=1),IF(OR(Data!BY53=0,Data!BY53=""),"","O"&amp;Data!BY53),IF('ARDT Cutter Entry'!$C$111&lt;&gt;"",'ARDT Cutter Entry'!J118,'ARDT Cutter Entry'!J50))</f>
        <v/>
      </c>
      <c r="K20" s="167" t="str">
        <f>IF(OR(Data!$L$2=1,Data!$L$3=1),IF(OR(Data!BZ53=0,Data!BZ53=""),"","O"&amp;Data!BZ53),IF('ARDT Cutter Entry'!$C$111&lt;&gt;"",'ARDT Cutter Entry'!K118,'ARDT Cutter Entry'!K50))</f>
        <v/>
      </c>
      <c r="L20" s="167" t="str">
        <f>IF(OR(Data!$L$2=1,Data!$L$3=1),IF(OR(Data!CA53=0,Data!CA53=""),"","O"&amp;Data!CA53),IF('ARDT Cutter Entry'!$C$111&lt;&gt;"",'ARDT Cutter Entry'!L118,'ARDT Cutter Entry'!L50))</f>
        <v/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/>
      </c>
      <c r="U20" s="167" t="str">
        <f>IF(OR(Data!$L$2=1,Data!$L$3=1),IF(OR(Data!CJ53=0,Data!CJ53=""),"","O"&amp;Data!CJ53),IF('ARDT Cutter Entry'!$C$111&lt;&gt;"",'ARDT Cutter Entry'!U118,'ARDT Cutter Entry'!U50))</f>
        <v/>
      </c>
      <c r="V20" s="167" t="str">
        <f>IF(OR(Data!$L$2=1,Data!$L$3=1),IF(OR(Data!CK53=0,Data!CK53=""),"","O"&amp;Data!CK53),IF('ARDT Cutter Entry'!$C$111&lt;&gt;"",'ARDT Cutter Entry'!V118,'ARDT Cutter Entry'!V50))</f>
        <v/>
      </c>
      <c r="W20" s="167" t="str">
        <f>IF(OR(Data!$L$2=1,Data!$L$3=1),IF(OR(Data!CL53=0,Data!CL53=""),"","O"&amp;Data!CL53),IF('ARDT Cutter Entry'!$C$111&lt;&gt;"",'ARDT Cutter Entry'!W118,'ARDT Cutter Entry'!W50))</f>
        <v/>
      </c>
      <c r="X20" s="167" t="str">
        <f>IF(OR(Data!$L$2=1,Data!$L$3=1),IF(OR(Data!CM53=0,Data!CM53=""),"","O"&amp;Data!CM53),IF('ARDT Cutter Entry'!$C$111&lt;&gt;"",'ARDT Cutter Entry'!X118,'ARDT Cutter Entry'!X50))</f>
        <v/>
      </c>
      <c r="Y20" s="167" t="str">
        <f>IF(OR(Data!$L$2=1,Data!$L$3=1),IF(OR(Data!CN53=0,Data!CN53=""),"","O"&amp;Data!CN53),IF('ARDT Cutter Entry'!$C$111&lt;&gt;"",'ARDT Cutter Entry'!Y118,'ARDT Cutter Entry'!Y50))</f>
        <v/>
      </c>
      <c r="Z20" s="167" t="str">
        <f>IF(OR(Data!$L$2=1,Data!$L$3=1),IF(OR(Data!CO53=0,Data!CO53=""),"","O"&amp;Data!CO53),IF('ARDT Cutter Entry'!$C$111&lt;&gt;"",'ARDT Cutter Entry'!Z118,'ARDT Cutter Entry'!Z50))</f>
        <v/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35">
      <c r="A21" s="1845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15" customHeight="1" x14ac:dyDescent="0.3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35">
      <c r="A23" s="1955" t="s">
        <v>19</v>
      </c>
      <c r="B23" s="1800"/>
      <c r="C23" s="1800"/>
      <c r="D23" s="1834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>Shank need machining, Breaker slot needs cleaning. Build up the following: pockets B1P6, B1P11, B3P7 and B4P6.</v>
      </c>
      <c r="E23" s="1834"/>
      <c r="F23" s="1834"/>
      <c r="G23" s="1834"/>
      <c r="H23" s="1834"/>
      <c r="I23" s="1834"/>
      <c r="J23" s="1834"/>
      <c r="K23" s="1834"/>
      <c r="L23" s="1834"/>
      <c r="M23" s="1834"/>
      <c r="N23" s="1834"/>
      <c r="O23" s="1834"/>
      <c r="P23" s="1834"/>
      <c r="Q23" s="1834"/>
      <c r="R23" s="1834"/>
      <c r="S23" s="1834"/>
      <c r="T23" s="1834"/>
      <c r="U23" s="1834"/>
      <c r="V23" s="1834"/>
      <c r="W23" s="1834"/>
      <c r="X23" s="1834"/>
      <c r="Y23" s="1834"/>
      <c r="Z23" s="1834"/>
      <c r="AA23" s="1936"/>
    </row>
    <row r="24" spans="1:38" ht="12.75" customHeight="1" x14ac:dyDescent="0.35">
      <c r="A24" s="1955"/>
      <c r="B24" s="1800"/>
      <c r="C24" s="1800"/>
      <c r="D24" s="1834"/>
      <c r="E24" s="1834"/>
      <c r="F24" s="1834"/>
      <c r="G24" s="1834"/>
      <c r="H24" s="1834"/>
      <c r="I24" s="1834"/>
      <c r="J24" s="1834"/>
      <c r="K24" s="1834"/>
      <c r="L24" s="1834"/>
      <c r="M24" s="1834"/>
      <c r="N24" s="1834"/>
      <c r="O24" s="1834"/>
      <c r="P24" s="1834"/>
      <c r="Q24" s="1834"/>
      <c r="R24" s="1834"/>
      <c r="S24" s="1834"/>
      <c r="T24" s="1834"/>
      <c r="U24" s="1834"/>
      <c r="V24" s="1834"/>
      <c r="W24" s="1834"/>
      <c r="X24" s="1834"/>
      <c r="Y24" s="1834"/>
      <c r="Z24" s="1834"/>
      <c r="AA24" s="1936"/>
    </row>
    <row r="25" spans="1:38" ht="12.75" customHeight="1" thickBot="1" x14ac:dyDescent="0.4">
      <c r="A25" s="1956"/>
      <c r="B25" s="1848"/>
      <c r="C25" s="1848"/>
      <c r="D25" s="1937"/>
      <c r="E25" s="1937"/>
      <c r="F25" s="1937"/>
      <c r="G25" s="1937"/>
      <c r="H25" s="1937"/>
      <c r="I25" s="1937"/>
      <c r="J25" s="1937"/>
      <c r="K25" s="1937"/>
      <c r="L25" s="1937"/>
      <c r="M25" s="1937"/>
      <c r="N25" s="1937"/>
      <c r="O25" s="1937"/>
      <c r="P25" s="1937"/>
      <c r="Q25" s="1937"/>
      <c r="R25" s="1937"/>
      <c r="S25" s="1937"/>
      <c r="T25" s="1937"/>
      <c r="U25" s="1937"/>
      <c r="V25" s="1937"/>
      <c r="W25" s="1937"/>
      <c r="X25" s="1937"/>
      <c r="Y25" s="1937"/>
      <c r="Z25" s="1937"/>
      <c r="AA25" s="1861"/>
    </row>
    <row r="26" spans="1:38" ht="18" customHeight="1" x14ac:dyDescent="0.35">
      <c r="A26" s="1883" t="s">
        <v>2</v>
      </c>
      <c r="B26" s="1883"/>
      <c r="C26" s="1883" t="s">
        <v>3</v>
      </c>
      <c r="D26" s="1883"/>
      <c r="E26" s="1883"/>
      <c r="F26" s="1883"/>
      <c r="G26" s="1883"/>
      <c r="H26" s="1883"/>
      <c r="I26" s="1883"/>
      <c r="J26" s="1883"/>
      <c r="K26" s="1883"/>
      <c r="L26" s="1883"/>
      <c r="M26" s="1883"/>
      <c r="N26" s="1883"/>
      <c r="O26" s="1883"/>
      <c r="P26" s="1883"/>
      <c r="Q26" s="1883"/>
      <c r="R26" s="1883"/>
      <c r="S26" s="1883" t="s">
        <v>4</v>
      </c>
      <c r="T26" s="1883"/>
      <c r="U26" s="1883" t="s">
        <v>71</v>
      </c>
      <c r="V26" s="1883"/>
      <c r="W26" s="1883" t="s">
        <v>16</v>
      </c>
      <c r="X26" s="1883"/>
      <c r="Y26" s="1883" t="s">
        <v>21</v>
      </c>
      <c r="Z26" s="1883"/>
      <c r="AA26" s="1883"/>
    </row>
    <row r="27" spans="1:38" ht="16.5" customHeight="1" x14ac:dyDescent="0.35">
      <c r="A27" s="1800">
        <v>1</v>
      </c>
      <c r="B27" s="1800"/>
      <c r="C27" s="1934" t="str">
        <f>IF(Data!L5=1,"Scrapping charge","Inspection Charges")</f>
        <v>Inspection Charges</v>
      </c>
      <c r="D27" s="1934"/>
      <c r="E27" s="1934"/>
      <c r="F27" s="1934"/>
      <c r="G27" s="1934"/>
      <c r="H27" s="1934"/>
      <c r="I27" s="1934"/>
      <c r="J27" s="1934"/>
      <c r="K27" s="1934"/>
      <c r="L27" s="1934"/>
      <c r="M27" s="1934"/>
      <c r="N27" s="1934"/>
      <c r="O27" s="1934"/>
      <c r="P27" s="1934"/>
      <c r="Q27" s="1934"/>
      <c r="R27" s="1934"/>
      <c r="S27" s="1935">
        <f>IF(AND(Data!B5&lt;&gt;"",OR(Data!L2=1,Data!L3=1,Data!L4=1,Data!L5=1)),1,0)</f>
        <v>0</v>
      </c>
      <c r="T27" s="1935"/>
      <c r="U27" s="1935" t="str">
        <f>IF(AND(TRIM(S27)&lt;&gt;"",S27&lt;&gt;0),"EA","")</f>
        <v/>
      </c>
      <c r="V27" s="1935"/>
      <c r="W27" s="1933">
        <f>IF(S27&gt;0,IF(Data!L5=1,500,550),0)</f>
        <v>0</v>
      </c>
      <c r="X27" s="1933"/>
      <c r="Y27" s="1933">
        <f>IF(S27&gt;0,S27*W27,0)</f>
        <v>0</v>
      </c>
      <c r="Z27" s="1933"/>
      <c r="AA27" s="1933"/>
    </row>
    <row r="28" spans="1:38" ht="15.75" customHeight="1" x14ac:dyDescent="0.3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35">
      <c r="A29" s="1800">
        <v>2</v>
      </c>
      <c r="B29" s="1800"/>
      <c r="C29" s="1934" t="s">
        <v>824</v>
      </c>
      <c r="D29" s="1934"/>
      <c r="E29" s="1934"/>
      <c r="F29" s="1934"/>
      <c r="G29" s="1934"/>
      <c r="H29" s="1934"/>
      <c r="I29" s="1934"/>
      <c r="J29" s="1934"/>
      <c r="K29" s="1934"/>
      <c r="L29" s="1934"/>
      <c r="M29" s="1934"/>
      <c r="N29" s="1934"/>
      <c r="O29" s="1934"/>
      <c r="P29" s="1934"/>
      <c r="Q29" s="1934"/>
      <c r="R29" s="1934"/>
      <c r="S29" s="1935">
        <f>IF(W29&gt;1,1,"")</f>
        <v>1</v>
      </c>
      <c r="T29" s="1935"/>
      <c r="U29" s="1935" t="str">
        <f>IF(AND(TRIM(S29)&lt;&gt;"",S29&lt;&gt;0),"EA","")</f>
        <v>EA</v>
      </c>
      <c r="V29" s="1935"/>
      <c r="W29" s="1933">
        <f>IF(W27=550,0,IF(AND(Data!B5&lt;&gt;"",Data!C53&lt;&gt;"",OR('Eng. Cutter Entry'!C4&lt;&gt;"",'ARDT Cutter Entry'!C4&lt;&gt;"")),Data!C53,0))</f>
        <v>5495</v>
      </c>
      <c r="X29" s="1933"/>
      <c r="Y29" s="1933">
        <f>IF(S29=1,S29*W29,0)</f>
        <v>5495</v>
      </c>
      <c r="Z29" s="1933"/>
      <c r="AA29" s="1933"/>
      <c r="AL29" t="str">
        <f>""</f>
        <v/>
      </c>
    </row>
    <row r="30" spans="1:38" ht="15" customHeight="1" x14ac:dyDescent="0.35">
      <c r="A30" s="1914">
        <f>IF(OR(Data!L3=1,Data!L4=1),"",3)</f>
        <v>3</v>
      </c>
      <c r="B30" s="1915"/>
      <c r="C30" s="1916" t="str">
        <f>IF(Data!G33&lt;&gt;"","Cerebro Installation","")</f>
        <v/>
      </c>
      <c r="D30" s="1917"/>
      <c r="E30" s="1917"/>
      <c r="F30" s="1917"/>
      <c r="G30" s="1917"/>
      <c r="H30" s="1917"/>
      <c r="I30" s="1917"/>
      <c r="J30" s="1918"/>
      <c r="K30" s="1918"/>
      <c r="L30" s="1918"/>
      <c r="M30" s="1918"/>
      <c r="N30" s="1918"/>
      <c r="O30" s="1918"/>
      <c r="P30" s="1918"/>
      <c r="Q30" s="1918"/>
      <c r="R30" s="1919"/>
      <c r="S30" s="1920">
        <f>IF(W27=550,0,IF(Data!$B$5&lt;&gt;"",IF(Data!G33=1,1,0),0))</f>
        <v>0</v>
      </c>
      <c r="T30" s="1921"/>
      <c r="U30" s="1920" t="str">
        <f>IF(AND(TRIM(S30)&lt;&gt;"",S30&lt;&gt;0),"EA","")</f>
        <v/>
      </c>
      <c r="V30" s="1921"/>
      <c r="W30" s="1922">
        <f>IF(S30&gt;0,836,0)</f>
        <v>0</v>
      </c>
      <c r="X30" s="1923"/>
      <c r="Y30" s="1922">
        <f>IF(S30=1,W30,0)</f>
        <v>0</v>
      </c>
      <c r="Z30" s="1924"/>
      <c r="AA30" s="1923"/>
    </row>
    <row r="31" spans="1:38" ht="14.25" customHeight="1" x14ac:dyDescent="0.35">
      <c r="A31" s="1914">
        <f>IF(OR(Data!L4=1,Data!L5=1),"",3)</f>
        <v>3</v>
      </c>
      <c r="B31" s="1926"/>
      <c r="C31" s="1916" t="str">
        <f>IF(OR(Data!L4=1,Data!L5=1),"","Cutter Rotation Charge")</f>
        <v>Cutter Rotation Charge</v>
      </c>
      <c r="D31" s="1917"/>
      <c r="E31" s="1917"/>
      <c r="F31" s="1917"/>
      <c r="G31" s="1917"/>
      <c r="H31" s="1917"/>
      <c r="I31" s="1917"/>
      <c r="J31" s="1918"/>
      <c r="K31" s="1918"/>
      <c r="L31" s="1918"/>
      <c r="M31" s="1918"/>
      <c r="N31" s="1918"/>
      <c r="O31" s="1918"/>
      <c r="P31" s="1918"/>
      <c r="Q31" s="1918"/>
      <c r="R31" s="1919"/>
      <c r="S31" s="1920">
        <f>IF(W27&gt;=500,0,IF(Data!$B$5&lt;&gt;"",IF('Eng. Cutter Entry'!C4&lt;&gt;"",'ARDT Cutter Entry'!BI62,'ARDT Cutter Entry'!BI6),0))</f>
        <v>10</v>
      </c>
      <c r="T31" s="1921"/>
      <c r="U31" s="1920" t="str">
        <f>IF(AND(TRIM(S31)&lt;&gt;"",S31&lt;&gt;0),"EA","")</f>
        <v>EA</v>
      </c>
      <c r="V31" s="1921"/>
      <c r="W31" s="1922">
        <f>IF(S31&gt;0,25,0)</f>
        <v>25</v>
      </c>
      <c r="X31" s="1923"/>
      <c r="Y31" s="1922">
        <f>IF(OR(Data!L4=1,Data!L5=1),Y27,IF(S31&gt;0,S31*W31,0))</f>
        <v>250</v>
      </c>
      <c r="Z31" s="1924"/>
      <c r="AA31" s="1923"/>
    </row>
    <row r="32" spans="1:38" ht="15" customHeight="1" x14ac:dyDescent="0.3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35">
      <c r="A33" s="1914">
        <v>4</v>
      </c>
      <c r="B33" s="1926"/>
      <c r="C33" s="1916" t="s">
        <v>1227</v>
      </c>
      <c r="D33" s="1917"/>
      <c r="E33" s="1917"/>
      <c r="F33" s="1917"/>
      <c r="G33" s="1917"/>
      <c r="H33" s="1917"/>
      <c r="I33" s="1917"/>
      <c r="J33" s="1917"/>
      <c r="K33" s="1917"/>
      <c r="L33" s="1917"/>
      <c r="M33" s="1917"/>
      <c r="N33" s="1917"/>
      <c r="O33" s="1917"/>
      <c r="P33" s="1917"/>
      <c r="Q33" s="1917"/>
      <c r="R33" s="1928"/>
      <c r="S33" s="1920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4</v>
      </c>
      <c r="T33" s="1921"/>
      <c r="U33" s="1920" t="str">
        <f>IF(AND(TRIM(S33)&lt;&gt;"",S33&lt;&gt;0),"EA","")</f>
        <v>EA</v>
      </c>
      <c r="V33" s="1921"/>
      <c r="W33" s="1922">
        <f>IF(S33&gt;0,100,"")</f>
        <v>100</v>
      </c>
      <c r="X33" s="1923"/>
      <c r="Y33" s="1922">
        <f>IF(S33&gt;0,S33*W33,0)</f>
        <v>400</v>
      </c>
      <c r="Z33" s="1924"/>
      <c r="AA33" s="1923"/>
    </row>
    <row r="34" spans="1:40" ht="0.75" hidden="1" customHeight="1" x14ac:dyDescent="0.3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35">
      <c r="A35" s="1926" t="s">
        <v>825</v>
      </c>
      <c r="B35" s="1926"/>
      <c r="C35" s="1926"/>
      <c r="D35" s="1926"/>
      <c r="E35" s="1927" t="str">
        <f>IF(Data!B16&lt;&gt;"",Data!B16,"")</f>
        <v>SAUDI ARAMCO</v>
      </c>
      <c r="F35" s="1927"/>
      <c r="G35" s="1927"/>
      <c r="H35" s="1927"/>
      <c r="I35" s="1927"/>
      <c r="J35" s="1926" t="s">
        <v>833</v>
      </c>
      <c r="K35" s="1926"/>
      <c r="L35" s="1926"/>
      <c r="M35" s="1926"/>
      <c r="N35" s="1926"/>
      <c r="O35" s="1926"/>
      <c r="P35" s="1926"/>
      <c r="Q35" s="1926"/>
      <c r="R35" s="1927" t="str">
        <f>IF(Data!B17&lt;&gt;"",Data!B17,"")</f>
        <v>Ramzi Kassab</v>
      </c>
      <c r="S35" s="1927"/>
      <c r="T35" s="1927"/>
      <c r="U35" s="1927"/>
      <c r="V35" s="1927"/>
      <c r="W35" s="116"/>
      <c r="X35" s="116"/>
      <c r="Y35" s="116"/>
      <c r="Z35" s="116"/>
      <c r="AA35" s="116"/>
    </row>
    <row r="36" spans="1:40" ht="0.75" hidden="1" customHeight="1" x14ac:dyDescent="0.3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35">
      <c r="A37" s="1914">
        <v>5</v>
      </c>
      <c r="B37" s="1926"/>
      <c r="C37" s="1916" t="str">
        <f>IF(COUNTIF(Data!B4,"S*"),"Hardfacing Charge (1inx1inx1/8in)","Matrix Build up charge (1inx1inx1/8in)")</f>
        <v>Matrix Build up charge (1inx1inx1/8in)</v>
      </c>
      <c r="D37" s="1917"/>
      <c r="E37" s="1917"/>
      <c r="F37" s="1917"/>
      <c r="G37" s="1917"/>
      <c r="H37" s="1917"/>
      <c r="I37" s="1917"/>
      <c r="J37" s="1917"/>
      <c r="K37" s="1917"/>
      <c r="L37" s="1917"/>
      <c r="M37" s="1917"/>
      <c r="N37" s="1917"/>
      <c r="O37" s="1917"/>
      <c r="P37" s="1917"/>
      <c r="Q37" s="1917"/>
      <c r="R37" s="1928"/>
      <c r="S37" s="1920">
        <f>IF(W27=550,0,IF(Data!$B$5&lt;&gt;"",IF('Eng. Cutter Entry'!C4&lt;&gt;"",Data!L8,Data!L7),0))</f>
        <v>0</v>
      </c>
      <c r="T37" s="1921"/>
      <c r="U37" s="1920" t="s">
        <v>779</v>
      </c>
      <c r="V37" s="1921"/>
      <c r="W37" s="1922" t="str">
        <f>IF(AND(S37&gt;0,COUNTIF(Data!B4,"S*")),IF(S37&gt;0,100," "),IF(S37&gt;0,135," "))</f>
        <v xml:space="preserve"> </v>
      </c>
      <c r="X37" s="1923"/>
      <c r="Y37" s="1922">
        <f>IF(S37&gt;0,S37*W37,0)</f>
        <v>0</v>
      </c>
      <c r="Z37" s="1924"/>
      <c r="AA37" s="1923"/>
    </row>
    <row r="38" spans="1:40" ht="3.75" hidden="1" customHeight="1" x14ac:dyDescent="0.3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35">
      <c r="A39" s="1926" t="s">
        <v>826</v>
      </c>
      <c r="B39" s="1926"/>
      <c r="C39" s="1926"/>
      <c r="D39" s="1926"/>
      <c r="E39" s="1927" t="str">
        <f>IF(Data!B11&lt;&gt;"",Data!B11,"")</f>
        <v>Ali Alhammad</v>
      </c>
      <c r="F39" s="1927"/>
      <c r="G39" s="1927"/>
      <c r="H39" s="1927"/>
      <c r="I39" s="1927"/>
      <c r="J39" s="1926" t="s">
        <v>827</v>
      </c>
      <c r="K39" s="1926"/>
      <c r="L39" s="1926"/>
      <c r="M39" s="1926"/>
      <c r="N39" s="1926"/>
      <c r="O39" s="1925">
        <f>IF(Data!B13&lt;&gt;"",Data!B13,"")</f>
        <v>46029</v>
      </c>
      <c r="P39" s="1925"/>
      <c r="Q39" s="1925"/>
      <c r="R39" s="1925"/>
      <c r="S39" s="1925"/>
      <c r="T39" s="1926" t="s">
        <v>828</v>
      </c>
      <c r="U39" s="1926"/>
      <c r="V39" s="1926"/>
      <c r="W39" s="1925" t="str">
        <f>IF(Data!B18&lt;&gt;"",Data!B18,"")</f>
        <v/>
      </c>
      <c r="X39" s="1925"/>
      <c r="Y39" s="1925"/>
      <c r="Z39" s="1925"/>
      <c r="AA39" s="1925"/>
    </row>
    <row r="40" spans="1:40" ht="0.75" hidden="1" customHeight="1" x14ac:dyDescent="0.3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35">
      <c r="A41" s="1914">
        <v>6</v>
      </c>
      <c r="B41" s="1926"/>
      <c r="C41" s="1916" t="str">
        <f>IF(Data!E31&lt;&gt;"",CONCATENATE("Upper Section Replacement Size ",TEXT(Data!E31,"0 0/0")&amp;"""",", MAT NO:" &amp;" "&amp;Data!F31),"Upper Section Replacement")</f>
        <v>Upper Section Replacement</v>
      </c>
      <c r="D41" s="1917"/>
      <c r="E41" s="1917"/>
      <c r="F41" s="1917"/>
      <c r="G41" s="1917"/>
      <c r="H41" s="1917"/>
      <c r="I41" s="1917"/>
      <c r="J41" s="1917"/>
      <c r="K41" s="1917"/>
      <c r="L41" s="1917"/>
      <c r="M41" s="1917"/>
      <c r="N41" s="1917"/>
      <c r="O41" s="1917"/>
      <c r="P41" s="1917"/>
      <c r="Q41" s="1917"/>
      <c r="R41" s="1928"/>
      <c r="S41" s="1920">
        <f>IF(W27=550,0,IF(Data!$B$5&lt;&gt;"",IF(Data!E31&lt;&gt;"",1,0),0))</f>
        <v>0</v>
      </c>
      <c r="T41" s="1921"/>
      <c r="U41" s="1920" t="str">
        <f>IF(AND(TRIM(S41)&lt;&gt;"",S41&lt;&gt;0),"EA","")</f>
        <v/>
      </c>
      <c r="V41" s="1921"/>
      <c r="W41" s="1922">
        <f>IF(W27=550,0,IF(S41&gt;0,IF(Data!G31&lt;&gt;"",Data!G31,""),0))</f>
        <v>0</v>
      </c>
      <c r="X41" s="1923"/>
      <c r="Y41" s="1922">
        <f>IF(S41=1,W41,0)</f>
        <v>0</v>
      </c>
      <c r="Z41" s="1924"/>
      <c r="AA41" s="1923"/>
    </row>
    <row r="42" spans="1:40" ht="3.75" hidden="1" customHeight="1" x14ac:dyDescent="0.3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35">
      <c r="A43" s="1926" t="s">
        <v>829</v>
      </c>
      <c r="B43" s="1926"/>
      <c r="C43" s="1926"/>
      <c r="D43" s="1926"/>
      <c r="E43" s="1927" t="str">
        <f>IF(Data!B19&lt;&gt;"",Data!B19,"")</f>
        <v/>
      </c>
      <c r="F43" s="1927"/>
      <c r="G43" s="1927"/>
      <c r="H43" s="1927"/>
      <c r="I43" s="1927"/>
      <c r="J43" s="1926" t="s">
        <v>830</v>
      </c>
      <c r="K43" s="1926"/>
      <c r="L43" s="1926"/>
      <c r="M43" s="1926"/>
      <c r="N43" s="1925" t="str">
        <f>IF(Data!B20&lt;&gt;"",Data!B20,"")</f>
        <v/>
      </c>
      <c r="O43" s="1925"/>
      <c r="P43" s="1925"/>
      <c r="Q43" s="1925"/>
      <c r="R43" s="1925"/>
      <c r="S43" s="116"/>
      <c r="T43" s="1926" t="s">
        <v>831</v>
      </c>
      <c r="U43" s="1926"/>
      <c r="V43" s="1926"/>
      <c r="W43" s="1926"/>
      <c r="X43" s="1927" t="str">
        <f>IF(Data!B21&lt;&gt;"",Data!B21,"")</f>
        <v/>
      </c>
      <c r="Y43" s="1927"/>
      <c r="Z43" s="1927"/>
      <c r="AA43" s="1927"/>
    </row>
    <row r="44" spans="1:40" ht="3.75" hidden="1" customHeight="1" x14ac:dyDescent="0.3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6" customHeight="1" x14ac:dyDescent="0.35">
      <c r="A45" s="1914">
        <v>7</v>
      </c>
      <c r="B45" s="1926"/>
      <c r="C45" s="1914" t="s">
        <v>819</v>
      </c>
      <c r="D45" s="1926"/>
      <c r="E45" s="1926"/>
      <c r="F45" s="1926"/>
      <c r="G45" s="1926"/>
      <c r="H45" s="1926"/>
      <c r="I45" s="1926"/>
      <c r="J45" s="1926"/>
      <c r="K45" s="1926"/>
      <c r="L45" s="1926"/>
      <c r="M45" s="1926"/>
      <c r="N45" s="1926"/>
      <c r="O45" s="1926"/>
      <c r="P45" s="1926"/>
      <c r="Q45" s="1926"/>
      <c r="R45" s="1915"/>
      <c r="S45" s="1920"/>
      <c r="T45" s="1921"/>
      <c r="U45" s="1920"/>
      <c r="V45" s="1921"/>
      <c r="W45" s="1922"/>
      <c r="X45" s="1923"/>
      <c r="Y45" s="1922"/>
      <c r="Z45" s="1924"/>
      <c r="AA45" s="1923"/>
      <c r="AF45" s="1634" t="s">
        <v>871</v>
      </c>
      <c r="AG45" s="1634"/>
      <c r="AH45" s="1634"/>
      <c r="AI45" s="1634"/>
      <c r="AJ45" s="1634"/>
      <c r="AK45" s="1634"/>
      <c r="AL45" s="1634"/>
    </row>
    <row r="46" spans="1:40" ht="16" customHeight="1" x14ac:dyDescent="0.35">
      <c r="A46" s="1800"/>
      <c r="B46" s="1800"/>
      <c r="C46" s="1959" t="s">
        <v>108</v>
      </c>
      <c r="D46" s="1169" t="s">
        <v>4</v>
      </c>
      <c r="E46" s="1169"/>
      <c r="F46" s="1835" t="s">
        <v>1055</v>
      </c>
      <c r="G46" s="1835"/>
      <c r="H46" s="1835" t="s">
        <v>730</v>
      </c>
      <c r="I46" s="1835"/>
      <c r="J46" s="1835"/>
      <c r="K46" s="1682" t="s">
        <v>43</v>
      </c>
      <c r="L46" s="1682"/>
      <c r="M46" s="1682"/>
      <c r="N46" s="1682"/>
      <c r="O46" s="1682"/>
      <c r="P46" s="1682"/>
      <c r="Q46" s="1169" t="s">
        <v>727</v>
      </c>
      <c r="R46" s="1169"/>
      <c r="S46" s="1169" t="s">
        <v>728</v>
      </c>
      <c r="T46" s="1169"/>
      <c r="U46" s="1169" t="s">
        <v>71</v>
      </c>
      <c r="V46" s="1169"/>
      <c r="W46" s="1169" t="s">
        <v>16</v>
      </c>
      <c r="X46" s="1169"/>
      <c r="Y46" s="1169" t="s">
        <v>21</v>
      </c>
      <c r="Z46" s="1169"/>
      <c r="AA46" s="1169"/>
      <c r="AF46" s="1910" t="s">
        <v>4</v>
      </c>
      <c r="AG46" s="1911"/>
      <c r="AH46" s="1910" t="s">
        <v>728</v>
      </c>
      <c r="AI46" s="1911"/>
      <c r="AJ46" s="1910" t="s">
        <v>16</v>
      </c>
      <c r="AK46" s="1911"/>
      <c r="AL46" s="1929" t="s">
        <v>21</v>
      </c>
      <c r="AN46" s="1929" t="s">
        <v>1268</v>
      </c>
    </row>
    <row r="47" spans="1:40" ht="16" customHeight="1" x14ac:dyDescent="0.35">
      <c r="A47" s="1800"/>
      <c r="B47" s="1800"/>
      <c r="C47" s="1959"/>
      <c r="D47" s="1169"/>
      <c r="E47" s="1169"/>
      <c r="F47" s="1835"/>
      <c r="G47" s="1835"/>
      <c r="H47" s="1835"/>
      <c r="I47" s="1835"/>
      <c r="J47" s="1835"/>
      <c r="K47" s="1682"/>
      <c r="L47" s="1682"/>
      <c r="M47" s="1682"/>
      <c r="N47" s="1682"/>
      <c r="O47" s="1682"/>
      <c r="P47" s="1682"/>
      <c r="Q47" s="1169"/>
      <c r="R47" s="1169"/>
      <c r="S47" s="1169"/>
      <c r="T47" s="1169"/>
      <c r="U47" s="1169"/>
      <c r="V47" s="1169"/>
      <c r="W47" s="1169"/>
      <c r="X47" s="1169"/>
      <c r="Y47" s="1169"/>
      <c r="Z47" s="1169"/>
      <c r="AA47" s="1169"/>
      <c r="AF47" s="1912"/>
      <c r="AG47" s="1913"/>
      <c r="AH47" s="1912"/>
      <c r="AI47" s="1913"/>
      <c r="AJ47" s="1912"/>
      <c r="AK47" s="1913"/>
      <c r="AL47" s="1930"/>
      <c r="AN47" s="1930"/>
    </row>
    <row r="48" spans="1:40" ht="16" customHeight="1" x14ac:dyDescent="0.35">
      <c r="A48" s="1800"/>
      <c r="B48" s="1800"/>
      <c r="C48" s="168">
        <f>IF(TRIM(H48)="","",IF(Data!CX60&gt;0,IF(Data!CX60&lt;&gt;"", Data!CX60, " ")," "))</f>
        <v>1</v>
      </c>
      <c r="D48" s="1799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8</v>
      </c>
      <c r="E48" s="1799"/>
      <c r="F48" s="1903" t="str">
        <f>IF(COUNTIF(IF(Data!F12&gt;0,IF(Data!F12&lt;&gt;"", Data!F12, " ")," "),"10.5"),IF(Data!F12&gt;0,IF(Data!F12&lt;&gt;"", Data!F12, " ")," "),LEFT(IF(Data!F12&gt;0,IF(Data!F12&lt;&gt;"", Data!F12, " ")," "),2))</f>
        <v>16</v>
      </c>
      <c r="G48" s="1904"/>
      <c r="H48" s="1931">
        <f>IF(Data!G12&gt;0,IF(Data!G12&lt;&gt;"", Data!G12, " ")," ")</f>
        <v>1130198</v>
      </c>
      <c r="I48" s="1931"/>
      <c r="J48" s="1931"/>
      <c r="K48" s="1909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</v>
      </c>
      <c r="L48" s="1909"/>
      <c r="M48" s="1909"/>
      <c r="N48" s="1909"/>
      <c r="O48" s="1909"/>
      <c r="P48" s="1909"/>
      <c r="Q48" s="1800">
        <f>IF($W$27=550,0,IF(Data!L12&gt;0,IF(Data!L12&lt;&gt;"",Data!L12,0),0))</f>
        <v>0</v>
      </c>
      <c r="R48" s="1800"/>
      <c r="S48" s="1799">
        <f>IF($W$27=550,0,IF('Eng. Cutter Entry'!C4&lt;&gt;"",IF(Data!K12&gt;0,IF(Data!K12&lt;&gt;"",Data!K12," ")," "),D48-Q48))</f>
        <v>8</v>
      </c>
      <c r="T48" s="1799"/>
      <c r="U48" s="1799" t="str">
        <f t="shared" ref="U48:U57" si="0">IF(AND(TRIM(S48)&lt;&gt;"",S48&lt;&gt;0),"EA","")</f>
        <v>EA</v>
      </c>
      <c r="V48" s="1799"/>
      <c r="W48" s="1799">
        <f>IF(AND(TRIM(S48)&lt;&gt;"",S48&lt;&gt;0),Data!GQ2,0)</f>
        <v>497</v>
      </c>
      <c r="X48" s="1799"/>
      <c r="Y48" s="1908">
        <f t="shared" ref="Y48:Y57" si="1">IF(TRIM(S48)&lt;&gt;"",S48*W48,0)</f>
        <v>3976</v>
      </c>
      <c r="Z48" s="1908"/>
      <c r="AA48" s="1908"/>
      <c r="AF48" s="1903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8</v>
      </c>
      <c r="AG48" s="1904"/>
      <c r="AH48" s="1914">
        <f>IF($W$27=550,0,IF('Eng. Cutter Entry'!$C$4&lt;&gt;"",AF48-Q48,0))</f>
        <v>0</v>
      </c>
      <c r="AI48" s="1915"/>
      <c r="AJ48" s="1914">
        <f>IF(Data!GQ2&lt;&gt;"",Data!GQ2,0)</f>
        <v>497</v>
      </c>
      <c r="AK48" s="1915"/>
      <c r="AL48" s="36">
        <f>IF(AH48&lt;0,0,AJ48*AH48)</f>
        <v>0</v>
      </c>
      <c r="AN48" s="37">
        <f>Q48*W48</f>
        <v>0</v>
      </c>
    </row>
    <row r="49" spans="1:40" ht="16" customHeight="1" x14ac:dyDescent="0.35">
      <c r="A49" s="1800"/>
      <c r="B49" s="1800"/>
      <c r="C49" s="168">
        <f>IF(TRIM(H49)="","",IF(Data!CX61&gt;0,IF(Data!CX61&lt;&gt;"", Data!CX61, " ")," "))</f>
        <v>2</v>
      </c>
      <c r="D49" s="1903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3</v>
      </c>
      <c r="E49" s="1904"/>
      <c r="F49" s="1903" t="str">
        <f>IF(COUNTIF(IF(Data!F13&gt;0,IF(Data!F13&lt;&gt;"", Data!F13, " ")," "),"10.5"),IF(Data!F13&gt;0,IF(Data!F13&lt;&gt;"", Data!F13, " ")," "),LEFT(IF(Data!F13&gt;0,IF(Data!F13&lt;&gt;"", Data!F13, " ")," "),2))</f>
        <v>16</v>
      </c>
      <c r="G49" s="1904"/>
      <c r="H49" s="1905">
        <f>IF(Data!G13&gt;0,IF(Data!G13&lt;&gt;"", Data!G13, " ")," ")</f>
        <v>647435</v>
      </c>
      <c r="I49" s="1906"/>
      <c r="J49" s="1907"/>
      <c r="K49" s="1909" t="str">
        <f>IF(AND(COUNTIF(H49,"418525"),D49&lt;&gt;0),"Drop In Cutter",IF(Data!H13&gt;0,IF(Data!H13&lt;&gt;"",""," ")," ")&amp;"  "&amp;IF(COUNTIF(Data!J13,"B*"),"Base",IF(COUNTIF(Data!J13,"P*"),"Pre.",IF(COUNTIF(Data!J13,"S*"),"S.Pre.",""))))</f>
        <v xml:space="preserve">  </v>
      </c>
      <c r="L49" s="1909"/>
      <c r="M49" s="1909"/>
      <c r="N49" s="1909"/>
      <c r="O49" s="1909"/>
      <c r="P49" s="1909"/>
      <c r="Q49" s="1800">
        <f>IF($W$27=550,0,IF(Data!L13&gt;0,IF(Data!L13&lt;&gt;"",Data!L13,0),0))</f>
        <v>0</v>
      </c>
      <c r="R49" s="1800"/>
      <c r="S49" s="1799">
        <f>IF($W$27=550,0,IF('Eng. Cutter Entry'!C4&lt;&gt;"",IF(Data!K13&gt;0,IF(Data!K13&lt;&gt;"",Data!K13," ")," "),D49-Q49))</f>
        <v>3</v>
      </c>
      <c r="T49" s="1799"/>
      <c r="U49" s="1799" t="str">
        <f t="shared" si="0"/>
        <v>EA</v>
      </c>
      <c r="V49" s="1799"/>
      <c r="W49" s="1799">
        <f>IF(AND(TRIM(S49)&lt;&gt;"",S49&lt;&gt;0),Data!GQ3,0)</f>
        <v>497</v>
      </c>
      <c r="X49" s="1799"/>
      <c r="Y49" s="1908">
        <f t="shared" si="1"/>
        <v>1491</v>
      </c>
      <c r="Z49" s="1908"/>
      <c r="AA49" s="1908"/>
      <c r="AF49" s="1903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3</v>
      </c>
      <c r="AG49" s="1904"/>
      <c r="AH49" s="1914">
        <f>IF($W$27=550,0,IF('Eng. Cutter Entry'!$C$4&lt;&gt;"",AF49-Q49,0))</f>
        <v>0</v>
      </c>
      <c r="AI49" s="1915"/>
      <c r="AJ49" s="1914">
        <f>IF(Data!GQ3&lt;&gt;"",Data!GQ3,0)</f>
        <v>497</v>
      </c>
      <c r="AK49" s="1915"/>
      <c r="AL49" s="36">
        <f t="shared" ref="AL49:AL57" si="2">IF(AH49&lt;0,0,AJ49*AH49)</f>
        <v>0</v>
      </c>
      <c r="AN49" s="37">
        <f t="shared" ref="AN49:AN57" si="3">Q49*W49</f>
        <v>0</v>
      </c>
    </row>
    <row r="50" spans="1:40" ht="16" customHeight="1" x14ac:dyDescent="0.35">
      <c r="A50" s="1800"/>
      <c r="B50" s="1800"/>
      <c r="C50" s="168">
        <f>IF(TRIM(H50)="","",IF(Data!CX62&gt;0,IF(Data!CX62&lt;&gt;"", Data!CX62, " ")," "))</f>
        <v>3</v>
      </c>
      <c r="D50" s="1903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6</v>
      </c>
      <c r="E50" s="1904"/>
      <c r="F50" s="1903" t="str">
        <f>IF(COUNTIF(IF(Data!F14&gt;0,IF(Data!F14&lt;&gt;"", Data!F14, " ")," "),"10.5"),IF(Data!F14&gt;0,IF(Data!F14&lt;&gt;"", Data!F14, " ")," "),LEFT(IF(Data!F14&gt;0,IF(Data!F14&lt;&gt;"", Data!F14, " ")," "),2))</f>
        <v>13</v>
      </c>
      <c r="G50" s="1904"/>
      <c r="H50" s="1905">
        <f>IF(Data!G14&gt;0,IF(Data!G14&lt;&gt;"", Data!G14, " ")," ")</f>
        <v>418525</v>
      </c>
      <c r="I50" s="1906"/>
      <c r="J50" s="1907"/>
      <c r="K50" s="1909" t="str">
        <f>IF(AND(COUNTIF(H50,"418525"),D50&lt;&gt;0),"Drop In Cutter",IF(Data!H14&gt;0,IF(Data!H14&lt;&gt;"",""," ")," ")&amp;"  "&amp;IF(COUNTIF(Data!J14,"B*"),"Base",IF(COUNTIF(Data!J14,"P*"),"Pre.",IF(COUNTIF(Data!J14,"S*"),"S.Pre.",""))))</f>
        <v>Drop In Cutter</v>
      </c>
      <c r="L50" s="1909"/>
      <c r="M50" s="1909"/>
      <c r="N50" s="1909"/>
      <c r="O50" s="1909"/>
      <c r="P50" s="1909"/>
      <c r="Q50" s="1800">
        <f>IF($W$27=550,0,IF(Data!L14&gt;0,IF(Data!L14&lt;&gt;"",Data!L14,0),0))</f>
        <v>0</v>
      </c>
      <c r="R50" s="1800"/>
      <c r="S50" s="1799">
        <f>IF($W$27=550,0,IF('Eng. Cutter Entry'!C4&lt;&gt;"",IF(Data!K14&gt;0,IF(Data!K14&lt;&gt;"",Data!K14," ")," "),D50-Q50))</f>
        <v>6</v>
      </c>
      <c r="T50" s="1799"/>
      <c r="U50" s="1799" t="str">
        <f t="shared" si="0"/>
        <v>EA</v>
      </c>
      <c r="V50" s="1799"/>
      <c r="W50" s="1799">
        <f>IF(AND(TRIM(S50)&lt;&gt;"",S50&lt;&gt;0),Data!GQ4,0)</f>
        <v>100</v>
      </c>
      <c r="X50" s="1799"/>
      <c r="Y50" s="1908">
        <f t="shared" si="1"/>
        <v>600</v>
      </c>
      <c r="Z50" s="1908"/>
      <c r="AA50" s="1908"/>
      <c r="AF50" s="1903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6</v>
      </c>
      <c r="AG50" s="1904"/>
      <c r="AH50" s="1914">
        <f>IF($W$27=550,0,IF('Eng. Cutter Entry'!$C$4&lt;&gt;"",AF50-Q50,0))</f>
        <v>0</v>
      </c>
      <c r="AI50" s="1915"/>
      <c r="AJ50" s="1914">
        <f>IF(Data!GQ4&lt;&gt;"",Data!GQ4,0)</f>
        <v>100</v>
      </c>
      <c r="AK50" s="1915"/>
      <c r="AL50" s="36">
        <f t="shared" si="2"/>
        <v>0</v>
      </c>
      <c r="AN50" s="37">
        <f t="shared" si="3"/>
        <v>0</v>
      </c>
    </row>
    <row r="51" spans="1:40" ht="16" customHeight="1" x14ac:dyDescent="0.35">
      <c r="A51" s="1800"/>
      <c r="B51" s="1800"/>
      <c r="C51" s="168" t="str">
        <f>IF(TRIM(H51)="","",IF(Data!CX63&gt;0,IF(Data!CX63&lt;&gt;"", Data!CX63, " ")," "))</f>
        <v/>
      </c>
      <c r="D51" s="1903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0</v>
      </c>
      <c r="E51" s="1904"/>
      <c r="F51" s="1903" t="str">
        <f>IF(COUNTIF(IF(Data!F15&gt;0,IF(Data!F15&lt;&gt;"", Data!F15, " ")," "),"10.5"),IF(Data!F15&gt;0,IF(Data!F15&lt;&gt;"", Data!F15, " ")," "),LEFT(IF(Data!F15&gt;0,IF(Data!F15&lt;&gt;"", Data!F15, " ")," "),2))</f>
        <v xml:space="preserve"> </v>
      </c>
      <c r="G51" s="1904"/>
      <c r="H51" s="1905" t="str">
        <f>IF(Data!G15&gt;0,IF(Data!G15&lt;&gt;"", Data!G15, " ")," ")</f>
        <v xml:space="preserve"> </v>
      </c>
      <c r="I51" s="1906"/>
      <c r="J51" s="1907"/>
      <c r="K51" s="1909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 </v>
      </c>
      <c r="L51" s="1909"/>
      <c r="M51" s="1909"/>
      <c r="N51" s="1909"/>
      <c r="O51" s="1909"/>
      <c r="P51" s="1909"/>
      <c r="Q51" s="1800">
        <f>IF($W$27=550,0,IF(Data!L15&gt;0,IF(Data!L15&lt;&gt;"",Data!L15,0),0))</f>
        <v>0</v>
      </c>
      <c r="R51" s="1800"/>
      <c r="S51" s="1799">
        <f>IF($W$27=550,0,IF('Eng. Cutter Entry'!C4&lt;&gt;"",IF(Data!K15&gt;0,IF(Data!K15&lt;&gt;"",Data!K15," ")," "),D51-Q51))</f>
        <v>0</v>
      </c>
      <c r="T51" s="1799"/>
      <c r="U51" s="1799" t="str">
        <f t="shared" si="0"/>
        <v/>
      </c>
      <c r="V51" s="1799"/>
      <c r="W51" s="1799">
        <f>IF(AND(TRIM(S51)&lt;&gt;"",S51&lt;&gt;0),Data!GQ5,0)</f>
        <v>0</v>
      </c>
      <c r="X51" s="1799"/>
      <c r="Y51" s="1908">
        <f t="shared" si="1"/>
        <v>0</v>
      </c>
      <c r="Z51" s="1908"/>
      <c r="AA51" s="1908"/>
      <c r="AF51" s="1903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0</v>
      </c>
      <c r="AG51" s="1904"/>
      <c r="AH51" s="1914">
        <f>IF($W$27=550,0,IF('Eng. Cutter Entry'!$C$4&lt;&gt;"",AF51-Q51,0))</f>
        <v>0</v>
      </c>
      <c r="AI51" s="1915"/>
      <c r="AJ51" s="1914">
        <f>IF(Data!GQ5&lt;&gt;"",Data!GQ5,0)</f>
        <v>0</v>
      </c>
      <c r="AK51" s="1915"/>
      <c r="AL51" s="36">
        <f t="shared" si="2"/>
        <v>0</v>
      </c>
      <c r="AN51" s="37">
        <f t="shared" si="3"/>
        <v>0</v>
      </c>
    </row>
    <row r="52" spans="1:40" ht="16" customHeight="1" x14ac:dyDescent="0.35">
      <c r="A52" s="1800"/>
      <c r="B52" s="1800"/>
      <c r="C52" s="168" t="str">
        <f>IF(TRIM(H52)="","",IF(Data!CX64&gt;0,IF(Data!CX64&lt;&gt;"", Data!CX64, " ")," "))</f>
        <v/>
      </c>
      <c r="D52" s="1903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0</v>
      </c>
      <c r="E52" s="1904"/>
      <c r="F52" s="1903" t="str">
        <f>IF(COUNTIF(IF(Data!F16&gt;0,IF(Data!F16&lt;&gt;"", Data!F16, " ")," "),"10.5"),IF(Data!F16&gt;0,IF(Data!F16&lt;&gt;"", Data!F16, " ")," "),LEFT(IF(Data!F16&gt;0,IF(Data!F16&lt;&gt;"", Data!F16, " ")," "),2))</f>
        <v xml:space="preserve"> </v>
      </c>
      <c r="G52" s="1904"/>
      <c r="H52" s="1905" t="str">
        <f>IF(Data!G16&gt;0,IF(Data!G16&lt;&gt;"", Data!G16, " ")," ")</f>
        <v xml:space="preserve"> </v>
      </c>
      <c r="I52" s="1906"/>
      <c r="J52" s="1907"/>
      <c r="K52" s="1909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 </v>
      </c>
      <c r="L52" s="1909"/>
      <c r="M52" s="1909"/>
      <c r="N52" s="1909"/>
      <c r="O52" s="1909"/>
      <c r="P52" s="1909"/>
      <c r="Q52" s="1800">
        <f>IF($W$27=550,0,IF(Data!L16&gt;0,IF(Data!L16&lt;&gt;"",Data!L16,0),0))</f>
        <v>0</v>
      </c>
      <c r="R52" s="1800"/>
      <c r="S52" s="1799">
        <f>IF($W$27=550,0,IF('Eng. Cutter Entry'!C4&lt;&gt;"",IF(Data!K16&gt;0,IF(Data!K16&lt;&gt;"",Data!K16," ")," "),D52-Q52))</f>
        <v>0</v>
      </c>
      <c r="T52" s="1799"/>
      <c r="U52" s="1799" t="str">
        <f t="shared" si="0"/>
        <v/>
      </c>
      <c r="V52" s="1799"/>
      <c r="W52" s="1799">
        <f>IF(AND(TRIM(S52)&lt;&gt;"",S52&lt;&gt;0),Data!GQ6,0)</f>
        <v>0</v>
      </c>
      <c r="X52" s="1799"/>
      <c r="Y52" s="1908">
        <f t="shared" si="1"/>
        <v>0</v>
      </c>
      <c r="Z52" s="1908"/>
      <c r="AA52" s="1908"/>
      <c r="AF52" s="1903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0</v>
      </c>
      <c r="AG52" s="1904"/>
      <c r="AH52" s="1800">
        <f>IF($W$27=550,0,IF('Eng. Cutter Entry'!$C$4&lt;&gt;"",AF52-Q52,0))</f>
        <v>0</v>
      </c>
      <c r="AI52" s="1800"/>
      <c r="AJ52" s="1800">
        <f>IF(Data!GQ6&lt;&gt;"",Data!GQ6,0)</f>
        <v>0</v>
      </c>
      <c r="AK52" s="1800"/>
      <c r="AL52" s="36">
        <f t="shared" si="2"/>
        <v>0</v>
      </c>
      <c r="AN52" s="37">
        <f t="shared" si="3"/>
        <v>0</v>
      </c>
    </row>
    <row r="53" spans="1:40" ht="16" customHeight="1" x14ac:dyDescent="0.35">
      <c r="A53" s="1800"/>
      <c r="B53" s="1800"/>
      <c r="C53" s="168" t="str">
        <f>IF(TRIM(H53)="","",IF(Data!CX65&gt;0,IF(Data!CX65&lt;&gt;"", Data!CX65, " ")," "))</f>
        <v/>
      </c>
      <c r="D53" s="1903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904"/>
      <c r="F53" s="1903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904"/>
      <c r="H53" s="1905" t="str">
        <f>IF(Data!G17&gt;0,IF(Data!G17&lt;&gt;"", Data!G17, " ")," ")</f>
        <v xml:space="preserve"> </v>
      </c>
      <c r="I53" s="1906"/>
      <c r="J53" s="1907"/>
      <c r="K53" s="1909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909"/>
      <c r="M53" s="1909"/>
      <c r="N53" s="1909"/>
      <c r="O53" s="1909"/>
      <c r="P53" s="1909"/>
      <c r="Q53" s="1800">
        <f>IF($W$27=550,0,IF(Data!L17&gt;0,IF(Data!L17&lt;&gt;"",Data!L17,0),0))</f>
        <v>0</v>
      </c>
      <c r="R53" s="1800"/>
      <c r="S53" s="1799">
        <f>IF($W$27=550,0,IF('Eng. Cutter Entry'!C5&lt;&gt;"",IF(Data!K17&gt;0,IF(Data!K17&lt;&gt;"",Data!K17," ")," "),D53-Q53))</f>
        <v>0</v>
      </c>
      <c r="T53" s="1799"/>
      <c r="U53" s="1799" t="str">
        <f t="shared" si="0"/>
        <v/>
      </c>
      <c r="V53" s="1799"/>
      <c r="W53" s="1799">
        <f>IF(AND(TRIM(S53)&lt;&gt;"",S53&lt;&gt;0),Data!GQ7,0)</f>
        <v>0</v>
      </c>
      <c r="X53" s="1799"/>
      <c r="Y53" s="1908">
        <f t="shared" si="1"/>
        <v>0</v>
      </c>
      <c r="Z53" s="1908"/>
      <c r="AA53" s="1908"/>
      <c r="AF53" s="1903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904"/>
      <c r="AH53" s="1800">
        <f>IF($W$27=550,0,IF('Eng. Cutter Entry'!$C$4&lt;&gt;"",AF53-Q53,0))</f>
        <v>0</v>
      </c>
      <c r="AI53" s="1800"/>
      <c r="AJ53" s="1800">
        <f>IF(Data!GQ7&lt;&gt;"",Data!GQ7,0)</f>
        <v>0</v>
      </c>
      <c r="AK53" s="1800"/>
      <c r="AL53" s="36">
        <f t="shared" si="2"/>
        <v>0</v>
      </c>
      <c r="AN53" s="37">
        <f t="shared" si="3"/>
        <v>0</v>
      </c>
    </row>
    <row r="54" spans="1:40" ht="16" customHeight="1" x14ac:dyDescent="0.35">
      <c r="A54" s="1800"/>
      <c r="B54" s="1800"/>
      <c r="C54" s="168" t="str">
        <f>IF(TRIM(H54)="","",IF(Data!CX66&gt;0,IF(Data!CX66&lt;&gt;"", Data!CX66, " ")," "))</f>
        <v/>
      </c>
      <c r="D54" s="1903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904"/>
      <c r="F54" s="1903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904"/>
      <c r="H54" s="1905" t="str">
        <f>IF(Data!G18&gt;0,IF(Data!G18&lt;&gt;"", Data!G18, " ")," ")</f>
        <v xml:space="preserve"> </v>
      </c>
      <c r="I54" s="1906"/>
      <c r="J54" s="1907"/>
      <c r="K54" s="1909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909"/>
      <c r="M54" s="1909"/>
      <c r="N54" s="1909"/>
      <c r="O54" s="1909"/>
      <c r="P54" s="1909"/>
      <c r="Q54" s="1800">
        <f>IF($W$27=550,0,IF(Data!L17&gt;0,IF(Data!L17&lt;&gt;"",Data!L17,0),0))</f>
        <v>0</v>
      </c>
      <c r="R54" s="1800"/>
      <c r="S54" s="1799">
        <f>IF($W$27=550,0,IF('Eng. Cutter Entry'!C6&lt;&gt;"",IF(Data!K18&gt;0,IF(Data!K18&lt;&gt;"",Data!K18," ")," "),D54-Q54))</f>
        <v>0</v>
      </c>
      <c r="T54" s="1799"/>
      <c r="U54" s="1799" t="str">
        <f t="shared" si="0"/>
        <v/>
      </c>
      <c r="V54" s="1799"/>
      <c r="W54" s="1799">
        <f>IF(AND(TRIM(S54)&lt;&gt;"",S54&lt;&gt;0),Data!GQ8,0)</f>
        <v>0</v>
      </c>
      <c r="X54" s="1799"/>
      <c r="Y54" s="1908">
        <f>IF(TRIM(S54)&lt;&gt;"",S54*W54,0)</f>
        <v>0</v>
      </c>
      <c r="Z54" s="1908"/>
      <c r="AA54" s="1908"/>
      <c r="AF54" s="1903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904"/>
      <c r="AH54" s="1800">
        <f>IF($W$27=550,0,IF('Eng. Cutter Entry'!$C$4&lt;&gt;"",AF54-Q54,0))</f>
        <v>0</v>
      </c>
      <c r="AI54" s="1800"/>
      <c r="AJ54" s="1800">
        <f>IF(Data!GQ8&lt;&gt;"",Data!GQ8,0)</f>
        <v>0</v>
      </c>
      <c r="AK54" s="1800"/>
      <c r="AL54" s="36">
        <f>IF(AH54&lt;0,0,AJ54*AH54)</f>
        <v>0</v>
      </c>
      <c r="AN54" s="37">
        <f t="shared" si="3"/>
        <v>0</v>
      </c>
    </row>
    <row r="55" spans="1:40" ht="16" customHeight="1" x14ac:dyDescent="0.35">
      <c r="A55" s="1800"/>
      <c r="B55" s="1800"/>
      <c r="C55" s="168" t="str">
        <f>IF(TRIM(H55)="","",IF(Data!CX67&gt;0,IF(Data!CX67&lt;&gt;"", Data!CX67, " ")," "))</f>
        <v/>
      </c>
      <c r="D55" s="1903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904"/>
      <c r="F55" s="1903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904"/>
      <c r="H55" s="1905" t="str">
        <f>IF(Data!G19&gt;0,IF(Data!G19&lt;&gt;"", Data!G19, " ")," ")</f>
        <v xml:space="preserve"> </v>
      </c>
      <c r="I55" s="1906"/>
      <c r="J55" s="1907"/>
      <c r="K55" s="1909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909"/>
      <c r="M55" s="1909"/>
      <c r="N55" s="1909"/>
      <c r="O55" s="1909"/>
      <c r="P55" s="1909"/>
      <c r="Q55" s="1800">
        <f>IF($W$27=550,0,IF(Data!L17&gt;0,IF(Data!L17&lt;&gt;"",Data!L17,0),0))</f>
        <v>0</v>
      </c>
      <c r="R55" s="1800"/>
      <c r="S55" s="1799">
        <f>IF($W$27=550,0,IF('Eng. Cutter Entry'!C7&lt;&gt;"",IF(Data!K19&gt;0,IF(Data!K19&lt;&gt;"",Data!K19," ")," "),D55-Q55))</f>
        <v>0</v>
      </c>
      <c r="T55" s="1799"/>
      <c r="U55" s="1799" t="str">
        <f t="shared" si="0"/>
        <v/>
      </c>
      <c r="V55" s="1799"/>
      <c r="W55" s="1799">
        <f>IF(AND(TRIM(S55)&lt;&gt;"",S55&lt;&gt;0),Data!GQ9,0)</f>
        <v>0</v>
      </c>
      <c r="X55" s="1799"/>
      <c r="Y55" s="1908">
        <f>IF(TRIM(S55)&lt;&gt;"",S55*W55,0)</f>
        <v>0</v>
      </c>
      <c r="Z55" s="1908"/>
      <c r="AA55" s="1908"/>
      <c r="AF55" s="1903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904"/>
      <c r="AH55" s="1800">
        <f>IF($W$27=550,0,IF('Eng. Cutter Entry'!$C$4&lt;&gt;"",AF55-Q55,0))</f>
        <v>0</v>
      </c>
      <c r="AI55" s="1800"/>
      <c r="AJ55" s="1800">
        <f>IF(Data!GQ9&lt;&gt;"",Data!GQ9,0)</f>
        <v>0</v>
      </c>
      <c r="AK55" s="1800"/>
      <c r="AL55" s="36">
        <f>IF(AH55&lt;0,0,AJ55*AH55)</f>
        <v>0</v>
      </c>
      <c r="AN55" s="37">
        <f t="shared" si="3"/>
        <v>0</v>
      </c>
    </row>
    <row r="56" spans="1:40" ht="16" customHeight="1" x14ac:dyDescent="0.35">
      <c r="A56" s="1800"/>
      <c r="B56" s="1800"/>
      <c r="C56" s="168" t="str">
        <f>IF(TRIM(H56)="","",IF(Data!CX68&gt;0,IF(Data!CX68&lt;&gt;"", Data!CX68, " ")," "))</f>
        <v/>
      </c>
      <c r="D56" s="1903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904"/>
      <c r="F56" s="1903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904"/>
      <c r="H56" s="1905" t="str">
        <f>IF(Data!G20&gt;0,IF(Data!G20&lt;&gt;"", Data!G20, " ")," ")</f>
        <v xml:space="preserve"> </v>
      </c>
      <c r="I56" s="1906"/>
      <c r="J56" s="1907"/>
      <c r="K56" s="1909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909"/>
      <c r="M56" s="1909"/>
      <c r="N56" s="1909"/>
      <c r="O56" s="1909"/>
      <c r="P56" s="1909"/>
      <c r="Q56" s="1800">
        <f>IF($W$27=550,0,IF(Data!L17&gt;0,IF(Data!L17&lt;&gt;"",Data!L17,0),0))</f>
        <v>0</v>
      </c>
      <c r="R56" s="1800"/>
      <c r="S56" s="1799">
        <f>IF($W$27=550,0,IF('Eng. Cutter Entry'!C8&lt;&gt;"",IF(Data!K20&gt;0,IF(Data!K20&lt;&gt;"",Data!K20," ")," "),D56-Q56))</f>
        <v>0</v>
      </c>
      <c r="T56" s="1799"/>
      <c r="U56" s="1799" t="str">
        <f t="shared" si="0"/>
        <v/>
      </c>
      <c r="V56" s="1799"/>
      <c r="W56" s="1799">
        <f>IF(AND(TRIM(S56)&lt;&gt;"",S56&lt;&gt;0),Data!GQ10,0)</f>
        <v>0</v>
      </c>
      <c r="X56" s="1799"/>
      <c r="Y56" s="1908">
        <f>IF(TRIM(S56)&lt;&gt;"",S56*W56,0)</f>
        <v>0</v>
      </c>
      <c r="Z56" s="1908"/>
      <c r="AA56" s="1908"/>
      <c r="AF56" s="1903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904"/>
      <c r="AH56" s="1800">
        <f>IF($W$27=550,0,IF('Eng. Cutter Entry'!$C$4&lt;&gt;"",AF56-Q56,0))</f>
        <v>0</v>
      </c>
      <c r="AI56" s="1800"/>
      <c r="AJ56" s="1800">
        <f>IF(Data!GQ10&lt;&gt;"",Data!GQ10,0)</f>
        <v>0</v>
      </c>
      <c r="AK56" s="1800"/>
      <c r="AL56" s="36">
        <f>IF(AH56&lt;0,0,AJ56*AH56)</f>
        <v>0</v>
      </c>
      <c r="AN56" s="37">
        <f t="shared" si="3"/>
        <v>0</v>
      </c>
    </row>
    <row r="57" spans="1:40" ht="16" customHeight="1" x14ac:dyDescent="0.35">
      <c r="A57" s="1800"/>
      <c r="B57" s="1800"/>
      <c r="C57" s="168" t="str">
        <f>IF(TRIM(H57)="","",IF(Data!CX69&gt;0,IF(Data!CX69&lt;&gt;"", Data!CX69, " ")," "))</f>
        <v/>
      </c>
      <c r="D57" s="1903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904"/>
      <c r="F57" s="1903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904"/>
      <c r="H57" s="1905" t="str">
        <f>IF(Data!G21&gt;0,IF(Data!G21&lt;&gt;"", Data!G21, " ")," ")</f>
        <v xml:space="preserve"> </v>
      </c>
      <c r="I57" s="1906"/>
      <c r="J57" s="1907"/>
      <c r="K57" s="1909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909"/>
      <c r="M57" s="1909"/>
      <c r="N57" s="1909"/>
      <c r="O57" s="1909"/>
      <c r="P57" s="1909"/>
      <c r="Q57" s="1800">
        <f>IF($W$27=550,0,IF(Data!L18&gt;0,IF(Data!L18&lt;&gt;"",Data!L18,0),0))</f>
        <v>0</v>
      </c>
      <c r="R57" s="1800"/>
      <c r="S57" s="1799">
        <f>IF($W$27=550,0,IF('Eng. Cutter Entry'!C9&lt;&gt;"",IF(Data!K21&gt;0,IF(Data!K21&lt;&gt;"",Data!K21," ")," "),D57-Q57))</f>
        <v>0</v>
      </c>
      <c r="T57" s="1799"/>
      <c r="U57" s="1799" t="str">
        <f t="shared" si="0"/>
        <v/>
      </c>
      <c r="V57" s="1799"/>
      <c r="W57" s="1799">
        <f>IF(AND(TRIM(S57)&lt;&gt;"",S57&lt;&gt;0),Data!GQ11,0)</f>
        <v>0</v>
      </c>
      <c r="X57" s="1799"/>
      <c r="Y57" s="1908">
        <f t="shared" si="1"/>
        <v>0</v>
      </c>
      <c r="Z57" s="1908"/>
      <c r="AA57" s="1908"/>
      <c r="AF57" s="1903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904"/>
      <c r="AH57" s="1800">
        <f>IF($W$27=550,0,IF('Eng. Cutter Entry'!$C$4&lt;&gt;"",AF57-Q57,0))</f>
        <v>0</v>
      </c>
      <c r="AI57" s="1800"/>
      <c r="AJ57" s="1800">
        <f>IF(Data!GQ11&lt;&gt;"",Data!GQ11,0)</f>
        <v>0</v>
      </c>
      <c r="AK57" s="1800"/>
      <c r="AL57" s="36">
        <f t="shared" si="2"/>
        <v>0</v>
      </c>
      <c r="AN57" s="37">
        <f t="shared" si="3"/>
        <v>0</v>
      </c>
    </row>
    <row r="58" spans="1:40" ht="16" customHeight="1" x14ac:dyDescent="0.35">
      <c r="A58" s="1800"/>
      <c r="B58" s="1800"/>
      <c r="C58" s="1800" t="s">
        <v>834</v>
      </c>
      <c r="D58" s="1800"/>
      <c r="E58" s="1800"/>
      <c r="F58" s="1800"/>
      <c r="G58" s="1800"/>
      <c r="H58" s="1800"/>
      <c r="I58" s="1800"/>
      <c r="J58" s="1800"/>
      <c r="K58" s="1800"/>
      <c r="L58" s="1800"/>
      <c r="M58" s="1800"/>
      <c r="N58" s="1800"/>
      <c r="O58" s="1800"/>
      <c r="P58" s="1800"/>
      <c r="Q58" s="1800"/>
      <c r="R58" s="1800"/>
      <c r="S58" s="1800"/>
      <c r="T58" s="1800"/>
      <c r="U58" s="1800"/>
      <c r="V58" s="1800"/>
      <c r="W58" s="1800"/>
      <c r="X58" s="1800"/>
      <c r="Y58" s="1960">
        <f>IF(Data!L4=1,550,IF(Data!L5=1,500,SUM(Y27+Y29+Y30+Y31+Y33+Y37+Y41+Y48+Y49+Y50+Y51+Y52+Y53+Y54+Y55+Y56+Y57)))</f>
        <v>12212</v>
      </c>
      <c r="Z58" s="1960"/>
      <c r="AA58" s="1960"/>
      <c r="AL58" s="474">
        <f>IF(Data!L4=1,550,IF(Data!L5=1,500,IF(Data!B5&lt;&gt;"",SUM(Y27+Y29+Y31+Y33+Y37+Y41+AL48+AL50+AL49+AL51+AL52+AL53+AL54+AL55+AL56+AL57),0)))</f>
        <v>6145</v>
      </c>
      <c r="AN58" s="37">
        <f>SUM(AN48:AN57)</f>
        <v>0</v>
      </c>
    </row>
    <row r="59" spans="1:40" ht="4.5" customHeight="1" x14ac:dyDescent="0.3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35">
      <c r="A60" s="1667" t="s">
        <v>835</v>
      </c>
      <c r="B60" s="1667"/>
      <c r="C60" s="1667"/>
      <c r="D60" s="1667"/>
      <c r="E60" s="1957" t="str">
        <f>IF(Data!B17&lt;&gt;"",Data!B17,"")</f>
        <v>Ramzi Kassab</v>
      </c>
      <c r="F60" s="1957"/>
      <c r="G60" s="1957"/>
      <c r="H60" s="1957"/>
      <c r="I60" s="1957"/>
      <c r="J60" s="1667" t="s">
        <v>836</v>
      </c>
      <c r="K60" s="1667"/>
      <c r="L60" s="1667"/>
      <c r="M60" s="1667"/>
      <c r="N60" s="1957" t="str">
        <f>IF(Data!B14&lt;&gt;"",Data!B14,"")</f>
        <v/>
      </c>
      <c r="O60" s="1957"/>
      <c r="P60" s="1957"/>
      <c r="Q60" s="1957"/>
      <c r="R60" s="1957"/>
      <c r="S60" s="1667" t="s">
        <v>837</v>
      </c>
      <c r="T60" s="1667"/>
      <c r="U60" s="1667"/>
      <c r="V60" s="1667"/>
      <c r="W60" s="1957" t="str">
        <f>IF(Data!B19&lt;&gt;"",Data!B19,"")</f>
        <v/>
      </c>
      <c r="X60" s="1957"/>
      <c r="Y60" s="1957"/>
      <c r="Z60" s="1957"/>
      <c r="AA60" s="1957"/>
    </row>
    <row r="61" spans="1:40" ht="15.75" customHeight="1" x14ac:dyDescent="0.35">
      <c r="A61" s="1667"/>
      <c r="B61" s="1667"/>
      <c r="C61" s="1667"/>
      <c r="D61" s="1667"/>
      <c r="E61" s="1958"/>
      <c r="F61" s="1958"/>
      <c r="G61" s="1958"/>
      <c r="H61" s="1958"/>
      <c r="I61" s="1958"/>
      <c r="J61" s="1667"/>
      <c r="K61" s="1667"/>
      <c r="L61" s="1667"/>
      <c r="M61" s="1667"/>
      <c r="N61" s="1958"/>
      <c r="O61" s="1958"/>
      <c r="P61" s="1958"/>
      <c r="Q61" s="1958"/>
      <c r="R61" s="1958"/>
      <c r="S61" s="1667"/>
      <c r="T61" s="1667"/>
      <c r="U61" s="1667"/>
      <c r="V61" s="1667"/>
      <c r="W61" s="1958"/>
      <c r="X61" s="1958"/>
      <c r="Y61" s="1958"/>
      <c r="Z61" s="1958"/>
      <c r="AA61" s="1958"/>
    </row>
    <row r="62" spans="1:40" ht="5.15" customHeight="1" x14ac:dyDescent="0.3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3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3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3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3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10" customHeight="1" x14ac:dyDescent="0.35"/>
  </sheetData>
  <sheetProtection formatCells="0" formatColumns="0" formatRows="0" insertColumns="0" insertRows="0" insertHyperlinks="0" deleteColumns="0" deleteRows="0" sort="0" autoFilter="0" pivotTables="0"/>
  <mergeCells count="239"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</mergeCells>
  <conditionalFormatting sqref="A31:I31">
    <cfRule type="expression" dxfId="233" priority="65">
      <formula>$S$31=0</formula>
    </cfRule>
  </conditionalFormatting>
  <conditionalFormatting sqref="A27:R27">
    <cfRule type="expression" dxfId="232" priority="67">
      <formula>$S$27=0</formula>
    </cfRule>
  </conditionalFormatting>
  <conditionalFormatting sqref="A29:R29">
    <cfRule type="expression" dxfId="231" priority="66">
      <formula>$S$29=0</formula>
    </cfRule>
  </conditionalFormatting>
  <conditionalFormatting sqref="A33:R33">
    <cfRule type="expression" dxfId="230" priority="64">
      <formula>$S$33=0</formula>
    </cfRule>
  </conditionalFormatting>
  <conditionalFormatting sqref="A37:R37">
    <cfRule type="expression" dxfId="229" priority="63">
      <formula>$S$37=0</formula>
    </cfRule>
  </conditionalFormatting>
  <conditionalFormatting sqref="A41:R41">
    <cfRule type="expression" dxfId="228" priority="62">
      <formula>$S$41=0</formula>
    </cfRule>
  </conditionalFormatting>
  <conditionalFormatting sqref="A30:AA30">
    <cfRule type="expression" dxfId="227" priority="1">
      <formula>$S$30&lt;&gt;1</formula>
    </cfRule>
  </conditionalFormatting>
  <conditionalFormatting sqref="C48:C57">
    <cfRule type="expression" dxfId="222" priority="114">
      <formula>$D$48=0</formula>
    </cfRule>
  </conditionalFormatting>
  <conditionalFormatting sqref="C29:R29">
    <cfRule type="expression" dxfId="221" priority="60">
      <formula>$S$27=1</formula>
    </cfRule>
  </conditionalFormatting>
  <conditionalFormatting sqref="C12:AA12">
    <cfRule type="cellIs" dxfId="220" priority="111" operator="equal">
      <formula>0</formula>
    </cfRule>
    <cfRule type="beginsWith" dxfId="219" priority="61" operator="beginsWith" text="0a">
      <formula>LEFT(C12,LEN("0a"))="0a"</formula>
    </cfRule>
  </conditionalFormatting>
  <conditionalFormatting sqref="D48:E57">
    <cfRule type="cellIs" dxfId="218" priority="38" operator="equal">
      <formula>0</formula>
    </cfRule>
  </conditionalFormatting>
  <conditionalFormatting sqref="F48:G57">
    <cfRule type="expression" dxfId="217" priority="80">
      <formula>$D48=0</formula>
    </cfRule>
  </conditionalFormatting>
  <conditionalFormatting sqref="Q48:T57">
    <cfRule type="cellIs" dxfId="211" priority="20" operator="equal">
      <formula>0</formula>
    </cfRule>
  </conditionalFormatting>
  <conditionalFormatting sqref="S27:T29 S31:T34">
    <cfRule type="cellIs" dxfId="210" priority="146" operator="equal">
      <formula>0</formula>
    </cfRule>
  </conditionalFormatting>
  <conditionalFormatting sqref="S36:T38">
    <cfRule type="cellIs" dxfId="209" priority="155" operator="equal">
      <formula>0</formula>
    </cfRule>
  </conditionalFormatting>
  <conditionalFormatting sqref="S40:T42 W40:AA42">
    <cfRule type="cellIs" dxfId="208" priority="142" operator="equal">
      <formula>0</formula>
    </cfRule>
  </conditionalFormatting>
  <conditionalFormatting sqref="S44:T45 W44:AA45">
    <cfRule type="cellIs" dxfId="207" priority="141" operator="equal">
      <formula>0</formula>
    </cfRule>
  </conditionalFormatting>
  <conditionalFormatting sqref="U37:V37">
    <cfRule type="expression" dxfId="205" priority="69">
      <formula>$S$37=0</formula>
    </cfRule>
  </conditionalFormatting>
  <conditionalFormatting sqref="W48:X57">
    <cfRule type="cellIs" dxfId="203" priority="200" operator="equal">
      <formula>0</formula>
    </cfRule>
  </conditionalFormatting>
  <conditionalFormatting sqref="W3:AA3">
    <cfRule type="cellIs" dxfId="202" priority="6" operator="equal">
      <formula>0</formula>
    </cfRule>
  </conditionalFormatting>
  <conditionalFormatting sqref="W27:AA29 W31:AA34">
    <cfRule type="cellIs" dxfId="201" priority="145" operator="equal">
      <formula>0</formula>
    </cfRule>
  </conditionalFormatting>
  <conditionalFormatting sqref="W36:AA38">
    <cfRule type="cellIs" dxfId="200" priority="154" operator="equal">
      <formula>0</formula>
    </cfRule>
  </conditionalFormatting>
  <conditionalFormatting sqref="Y48:AA48">
    <cfRule type="cellIs" dxfId="199" priority="230" operator="equal">
      <formula>0</formula>
    </cfRule>
  </conditionalFormatting>
  <conditionalFormatting sqref="Y49:AA57">
    <cfRule type="cellIs" dxfId="198" priority="22" operator="equal">
      <formula>0</formula>
    </cfRule>
  </conditionalFormatting>
  <conditionalFormatting sqref="AF48:AK57">
    <cfRule type="cellIs" dxfId="196" priority="12" operator="equal">
      <formula>0</formula>
    </cfRule>
  </conditionalFormatting>
  <pageMargins left="0.5" right="0.5" top="0.5" bottom="0.5" header="0.3" footer="0.3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5" x14ac:dyDescent="0.25"/>
  <cols>
    <col min="1" max="1" width="2.1796875" style="491" customWidth="1"/>
    <col min="2" max="52" width="3" style="491" customWidth="1"/>
    <col min="53" max="60" width="3.1796875" style="491" customWidth="1"/>
    <col min="61" max="256" width="9.1796875" style="491"/>
    <col min="257" max="257" width="2.1796875" style="491" customWidth="1"/>
    <col min="258" max="308" width="3" style="491" customWidth="1"/>
    <col min="309" max="316" width="3.1796875" style="491" customWidth="1"/>
    <col min="317" max="512" width="9.1796875" style="491"/>
    <col min="513" max="513" width="2.1796875" style="491" customWidth="1"/>
    <col min="514" max="564" width="3" style="491" customWidth="1"/>
    <col min="565" max="572" width="3.1796875" style="491" customWidth="1"/>
    <col min="573" max="768" width="9.1796875" style="491"/>
    <col min="769" max="769" width="2.1796875" style="491" customWidth="1"/>
    <col min="770" max="820" width="3" style="491" customWidth="1"/>
    <col min="821" max="828" width="3.1796875" style="491" customWidth="1"/>
    <col min="829" max="1024" width="9.1796875" style="491"/>
    <col min="1025" max="1025" width="2.1796875" style="491" customWidth="1"/>
    <col min="1026" max="1076" width="3" style="491" customWidth="1"/>
    <col min="1077" max="1084" width="3.1796875" style="491" customWidth="1"/>
    <col min="1085" max="1280" width="9.1796875" style="491"/>
    <col min="1281" max="1281" width="2.1796875" style="491" customWidth="1"/>
    <col min="1282" max="1332" width="3" style="491" customWidth="1"/>
    <col min="1333" max="1340" width="3.1796875" style="491" customWidth="1"/>
    <col min="1341" max="1536" width="9.1796875" style="491"/>
    <col min="1537" max="1537" width="2.1796875" style="491" customWidth="1"/>
    <col min="1538" max="1588" width="3" style="491" customWidth="1"/>
    <col min="1589" max="1596" width="3.1796875" style="491" customWidth="1"/>
    <col min="1597" max="1792" width="9.1796875" style="491"/>
    <col min="1793" max="1793" width="2.1796875" style="491" customWidth="1"/>
    <col min="1794" max="1844" width="3" style="491" customWidth="1"/>
    <col min="1845" max="1852" width="3.1796875" style="491" customWidth="1"/>
    <col min="1853" max="2048" width="9.1796875" style="491"/>
    <col min="2049" max="2049" width="2.1796875" style="491" customWidth="1"/>
    <col min="2050" max="2100" width="3" style="491" customWidth="1"/>
    <col min="2101" max="2108" width="3.1796875" style="491" customWidth="1"/>
    <col min="2109" max="2304" width="9.1796875" style="491"/>
    <col min="2305" max="2305" width="2.1796875" style="491" customWidth="1"/>
    <col min="2306" max="2356" width="3" style="491" customWidth="1"/>
    <col min="2357" max="2364" width="3.1796875" style="491" customWidth="1"/>
    <col min="2365" max="2560" width="9.1796875" style="491"/>
    <col min="2561" max="2561" width="2.1796875" style="491" customWidth="1"/>
    <col min="2562" max="2612" width="3" style="491" customWidth="1"/>
    <col min="2613" max="2620" width="3.1796875" style="491" customWidth="1"/>
    <col min="2621" max="2816" width="9.1796875" style="491"/>
    <col min="2817" max="2817" width="2.1796875" style="491" customWidth="1"/>
    <col min="2818" max="2868" width="3" style="491" customWidth="1"/>
    <col min="2869" max="2876" width="3.1796875" style="491" customWidth="1"/>
    <col min="2877" max="3072" width="9.1796875" style="491"/>
    <col min="3073" max="3073" width="2.1796875" style="491" customWidth="1"/>
    <col min="3074" max="3124" width="3" style="491" customWidth="1"/>
    <col min="3125" max="3132" width="3.1796875" style="491" customWidth="1"/>
    <col min="3133" max="3328" width="9.1796875" style="491"/>
    <col min="3329" max="3329" width="2.1796875" style="491" customWidth="1"/>
    <col min="3330" max="3380" width="3" style="491" customWidth="1"/>
    <col min="3381" max="3388" width="3.1796875" style="491" customWidth="1"/>
    <col min="3389" max="3584" width="9.1796875" style="491"/>
    <col min="3585" max="3585" width="2.1796875" style="491" customWidth="1"/>
    <col min="3586" max="3636" width="3" style="491" customWidth="1"/>
    <col min="3637" max="3644" width="3.1796875" style="491" customWidth="1"/>
    <col min="3645" max="3840" width="9.1796875" style="491"/>
    <col min="3841" max="3841" width="2.1796875" style="491" customWidth="1"/>
    <col min="3842" max="3892" width="3" style="491" customWidth="1"/>
    <col min="3893" max="3900" width="3.1796875" style="491" customWidth="1"/>
    <col min="3901" max="4096" width="9.1796875" style="491"/>
    <col min="4097" max="4097" width="2.1796875" style="491" customWidth="1"/>
    <col min="4098" max="4148" width="3" style="491" customWidth="1"/>
    <col min="4149" max="4156" width="3.1796875" style="491" customWidth="1"/>
    <col min="4157" max="4352" width="9.1796875" style="491"/>
    <col min="4353" max="4353" width="2.1796875" style="491" customWidth="1"/>
    <col min="4354" max="4404" width="3" style="491" customWidth="1"/>
    <col min="4405" max="4412" width="3.1796875" style="491" customWidth="1"/>
    <col min="4413" max="4608" width="9.1796875" style="491"/>
    <col min="4609" max="4609" width="2.1796875" style="491" customWidth="1"/>
    <col min="4610" max="4660" width="3" style="491" customWidth="1"/>
    <col min="4661" max="4668" width="3.1796875" style="491" customWidth="1"/>
    <col min="4669" max="4864" width="9.1796875" style="491"/>
    <col min="4865" max="4865" width="2.1796875" style="491" customWidth="1"/>
    <col min="4866" max="4916" width="3" style="491" customWidth="1"/>
    <col min="4917" max="4924" width="3.1796875" style="491" customWidth="1"/>
    <col min="4925" max="5120" width="9.1796875" style="491"/>
    <col min="5121" max="5121" width="2.1796875" style="491" customWidth="1"/>
    <col min="5122" max="5172" width="3" style="491" customWidth="1"/>
    <col min="5173" max="5180" width="3.1796875" style="491" customWidth="1"/>
    <col min="5181" max="5376" width="9.1796875" style="491"/>
    <col min="5377" max="5377" width="2.1796875" style="491" customWidth="1"/>
    <col min="5378" max="5428" width="3" style="491" customWidth="1"/>
    <col min="5429" max="5436" width="3.1796875" style="491" customWidth="1"/>
    <col min="5437" max="5632" width="9.1796875" style="491"/>
    <col min="5633" max="5633" width="2.1796875" style="491" customWidth="1"/>
    <col min="5634" max="5684" width="3" style="491" customWidth="1"/>
    <col min="5685" max="5692" width="3.1796875" style="491" customWidth="1"/>
    <col min="5693" max="5888" width="9.1796875" style="491"/>
    <col min="5889" max="5889" width="2.1796875" style="491" customWidth="1"/>
    <col min="5890" max="5940" width="3" style="491" customWidth="1"/>
    <col min="5941" max="5948" width="3.1796875" style="491" customWidth="1"/>
    <col min="5949" max="6144" width="9.1796875" style="491"/>
    <col min="6145" max="6145" width="2.1796875" style="491" customWidth="1"/>
    <col min="6146" max="6196" width="3" style="491" customWidth="1"/>
    <col min="6197" max="6204" width="3.1796875" style="491" customWidth="1"/>
    <col min="6205" max="6400" width="9.1796875" style="491"/>
    <col min="6401" max="6401" width="2.1796875" style="491" customWidth="1"/>
    <col min="6402" max="6452" width="3" style="491" customWidth="1"/>
    <col min="6453" max="6460" width="3.1796875" style="491" customWidth="1"/>
    <col min="6461" max="6656" width="9.1796875" style="491"/>
    <col min="6657" max="6657" width="2.1796875" style="491" customWidth="1"/>
    <col min="6658" max="6708" width="3" style="491" customWidth="1"/>
    <col min="6709" max="6716" width="3.1796875" style="491" customWidth="1"/>
    <col min="6717" max="6912" width="9.1796875" style="491"/>
    <col min="6913" max="6913" width="2.1796875" style="491" customWidth="1"/>
    <col min="6914" max="6964" width="3" style="491" customWidth="1"/>
    <col min="6965" max="6972" width="3.1796875" style="491" customWidth="1"/>
    <col min="6973" max="7168" width="9.1796875" style="491"/>
    <col min="7169" max="7169" width="2.1796875" style="491" customWidth="1"/>
    <col min="7170" max="7220" width="3" style="491" customWidth="1"/>
    <col min="7221" max="7228" width="3.1796875" style="491" customWidth="1"/>
    <col min="7229" max="7424" width="9.1796875" style="491"/>
    <col min="7425" max="7425" width="2.1796875" style="491" customWidth="1"/>
    <col min="7426" max="7476" width="3" style="491" customWidth="1"/>
    <col min="7477" max="7484" width="3.1796875" style="491" customWidth="1"/>
    <col min="7485" max="7680" width="9.1796875" style="491"/>
    <col min="7681" max="7681" width="2.1796875" style="491" customWidth="1"/>
    <col min="7682" max="7732" width="3" style="491" customWidth="1"/>
    <col min="7733" max="7740" width="3.1796875" style="491" customWidth="1"/>
    <col min="7741" max="7936" width="9.1796875" style="491"/>
    <col min="7937" max="7937" width="2.1796875" style="491" customWidth="1"/>
    <col min="7938" max="7988" width="3" style="491" customWidth="1"/>
    <col min="7989" max="7996" width="3.1796875" style="491" customWidth="1"/>
    <col min="7997" max="8192" width="9.1796875" style="491"/>
    <col min="8193" max="8193" width="2.1796875" style="491" customWidth="1"/>
    <col min="8194" max="8244" width="3" style="491" customWidth="1"/>
    <col min="8245" max="8252" width="3.1796875" style="491" customWidth="1"/>
    <col min="8253" max="8448" width="9.1796875" style="491"/>
    <col min="8449" max="8449" width="2.1796875" style="491" customWidth="1"/>
    <col min="8450" max="8500" width="3" style="491" customWidth="1"/>
    <col min="8501" max="8508" width="3.1796875" style="491" customWidth="1"/>
    <col min="8509" max="8704" width="9.1796875" style="491"/>
    <col min="8705" max="8705" width="2.1796875" style="491" customWidth="1"/>
    <col min="8706" max="8756" width="3" style="491" customWidth="1"/>
    <col min="8757" max="8764" width="3.1796875" style="491" customWidth="1"/>
    <col min="8765" max="8960" width="9.1796875" style="491"/>
    <col min="8961" max="8961" width="2.1796875" style="491" customWidth="1"/>
    <col min="8962" max="9012" width="3" style="491" customWidth="1"/>
    <col min="9013" max="9020" width="3.1796875" style="491" customWidth="1"/>
    <col min="9021" max="9216" width="9.1796875" style="491"/>
    <col min="9217" max="9217" width="2.1796875" style="491" customWidth="1"/>
    <col min="9218" max="9268" width="3" style="491" customWidth="1"/>
    <col min="9269" max="9276" width="3.1796875" style="491" customWidth="1"/>
    <col min="9277" max="9472" width="9.1796875" style="491"/>
    <col min="9473" max="9473" width="2.1796875" style="491" customWidth="1"/>
    <col min="9474" max="9524" width="3" style="491" customWidth="1"/>
    <col min="9525" max="9532" width="3.1796875" style="491" customWidth="1"/>
    <col min="9533" max="9728" width="9.1796875" style="491"/>
    <col min="9729" max="9729" width="2.1796875" style="491" customWidth="1"/>
    <col min="9730" max="9780" width="3" style="491" customWidth="1"/>
    <col min="9781" max="9788" width="3.1796875" style="491" customWidth="1"/>
    <col min="9789" max="9984" width="9.1796875" style="491"/>
    <col min="9985" max="9985" width="2.1796875" style="491" customWidth="1"/>
    <col min="9986" max="10036" width="3" style="491" customWidth="1"/>
    <col min="10037" max="10044" width="3.1796875" style="491" customWidth="1"/>
    <col min="10045" max="10240" width="9.1796875" style="491"/>
    <col min="10241" max="10241" width="2.1796875" style="491" customWidth="1"/>
    <col min="10242" max="10292" width="3" style="491" customWidth="1"/>
    <col min="10293" max="10300" width="3.1796875" style="491" customWidth="1"/>
    <col min="10301" max="10496" width="9.1796875" style="491"/>
    <col min="10497" max="10497" width="2.1796875" style="491" customWidth="1"/>
    <col min="10498" max="10548" width="3" style="491" customWidth="1"/>
    <col min="10549" max="10556" width="3.1796875" style="491" customWidth="1"/>
    <col min="10557" max="10752" width="9.1796875" style="491"/>
    <col min="10753" max="10753" width="2.1796875" style="491" customWidth="1"/>
    <col min="10754" max="10804" width="3" style="491" customWidth="1"/>
    <col min="10805" max="10812" width="3.1796875" style="491" customWidth="1"/>
    <col min="10813" max="11008" width="9.1796875" style="491"/>
    <col min="11009" max="11009" width="2.1796875" style="491" customWidth="1"/>
    <col min="11010" max="11060" width="3" style="491" customWidth="1"/>
    <col min="11061" max="11068" width="3.1796875" style="491" customWidth="1"/>
    <col min="11069" max="11264" width="9.1796875" style="491"/>
    <col min="11265" max="11265" width="2.1796875" style="491" customWidth="1"/>
    <col min="11266" max="11316" width="3" style="491" customWidth="1"/>
    <col min="11317" max="11324" width="3.1796875" style="491" customWidth="1"/>
    <col min="11325" max="11520" width="9.1796875" style="491"/>
    <col min="11521" max="11521" width="2.1796875" style="491" customWidth="1"/>
    <col min="11522" max="11572" width="3" style="491" customWidth="1"/>
    <col min="11573" max="11580" width="3.1796875" style="491" customWidth="1"/>
    <col min="11581" max="11776" width="9.1796875" style="491"/>
    <col min="11777" max="11777" width="2.1796875" style="491" customWidth="1"/>
    <col min="11778" max="11828" width="3" style="491" customWidth="1"/>
    <col min="11829" max="11836" width="3.1796875" style="491" customWidth="1"/>
    <col min="11837" max="12032" width="9.1796875" style="491"/>
    <col min="12033" max="12033" width="2.1796875" style="491" customWidth="1"/>
    <col min="12034" max="12084" width="3" style="491" customWidth="1"/>
    <col min="12085" max="12092" width="3.1796875" style="491" customWidth="1"/>
    <col min="12093" max="12288" width="9.1796875" style="491"/>
    <col min="12289" max="12289" width="2.1796875" style="491" customWidth="1"/>
    <col min="12290" max="12340" width="3" style="491" customWidth="1"/>
    <col min="12341" max="12348" width="3.1796875" style="491" customWidth="1"/>
    <col min="12349" max="12544" width="9.1796875" style="491"/>
    <col min="12545" max="12545" width="2.1796875" style="491" customWidth="1"/>
    <col min="12546" max="12596" width="3" style="491" customWidth="1"/>
    <col min="12597" max="12604" width="3.1796875" style="491" customWidth="1"/>
    <col min="12605" max="12800" width="9.1796875" style="491"/>
    <col min="12801" max="12801" width="2.1796875" style="491" customWidth="1"/>
    <col min="12802" max="12852" width="3" style="491" customWidth="1"/>
    <col min="12853" max="12860" width="3.1796875" style="491" customWidth="1"/>
    <col min="12861" max="13056" width="9.1796875" style="491"/>
    <col min="13057" max="13057" width="2.1796875" style="491" customWidth="1"/>
    <col min="13058" max="13108" width="3" style="491" customWidth="1"/>
    <col min="13109" max="13116" width="3.1796875" style="491" customWidth="1"/>
    <col min="13117" max="13312" width="9.1796875" style="491"/>
    <col min="13313" max="13313" width="2.1796875" style="491" customWidth="1"/>
    <col min="13314" max="13364" width="3" style="491" customWidth="1"/>
    <col min="13365" max="13372" width="3.1796875" style="491" customWidth="1"/>
    <col min="13373" max="13568" width="9.1796875" style="491"/>
    <col min="13569" max="13569" width="2.1796875" style="491" customWidth="1"/>
    <col min="13570" max="13620" width="3" style="491" customWidth="1"/>
    <col min="13621" max="13628" width="3.1796875" style="491" customWidth="1"/>
    <col min="13629" max="13824" width="9.1796875" style="491"/>
    <col min="13825" max="13825" width="2.1796875" style="491" customWidth="1"/>
    <col min="13826" max="13876" width="3" style="491" customWidth="1"/>
    <col min="13877" max="13884" width="3.1796875" style="491" customWidth="1"/>
    <col min="13885" max="14080" width="9.1796875" style="491"/>
    <col min="14081" max="14081" width="2.1796875" style="491" customWidth="1"/>
    <col min="14082" max="14132" width="3" style="491" customWidth="1"/>
    <col min="14133" max="14140" width="3.1796875" style="491" customWidth="1"/>
    <col min="14141" max="14336" width="9.1796875" style="491"/>
    <col min="14337" max="14337" width="2.1796875" style="491" customWidth="1"/>
    <col min="14338" max="14388" width="3" style="491" customWidth="1"/>
    <col min="14389" max="14396" width="3.1796875" style="491" customWidth="1"/>
    <col min="14397" max="14592" width="9.1796875" style="491"/>
    <col min="14593" max="14593" width="2.1796875" style="491" customWidth="1"/>
    <col min="14594" max="14644" width="3" style="491" customWidth="1"/>
    <col min="14645" max="14652" width="3.1796875" style="491" customWidth="1"/>
    <col min="14653" max="14848" width="9.1796875" style="491"/>
    <col min="14849" max="14849" width="2.1796875" style="491" customWidth="1"/>
    <col min="14850" max="14900" width="3" style="491" customWidth="1"/>
    <col min="14901" max="14908" width="3.1796875" style="491" customWidth="1"/>
    <col min="14909" max="15104" width="9.1796875" style="491"/>
    <col min="15105" max="15105" width="2.1796875" style="491" customWidth="1"/>
    <col min="15106" max="15156" width="3" style="491" customWidth="1"/>
    <col min="15157" max="15164" width="3.1796875" style="491" customWidth="1"/>
    <col min="15165" max="15360" width="9.1796875" style="491"/>
    <col min="15361" max="15361" width="2.1796875" style="491" customWidth="1"/>
    <col min="15362" max="15412" width="3" style="491" customWidth="1"/>
    <col min="15413" max="15420" width="3.1796875" style="491" customWidth="1"/>
    <col min="15421" max="15616" width="9.1796875" style="491"/>
    <col min="15617" max="15617" width="2.1796875" style="491" customWidth="1"/>
    <col min="15618" max="15668" width="3" style="491" customWidth="1"/>
    <col min="15669" max="15676" width="3.1796875" style="491" customWidth="1"/>
    <col min="15677" max="15872" width="9.1796875" style="491"/>
    <col min="15873" max="15873" width="2.1796875" style="491" customWidth="1"/>
    <col min="15874" max="15924" width="3" style="491" customWidth="1"/>
    <col min="15925" max="15932" width="3.1796875" style="491" customWidth="1"/>
    <col min="15933" max="16128" width="9.1796875" style="491"/>
    <col min="16129" max="16129" width="2.1796875" style="491" customWidth="1"/>
    <col min="16130" max="16180" width="3" style="491" customWidth="1"/>
    <col min="16181" max="16188" width="3.1796875" style="491" customWidth="1"/>
    <col min="16189" max="16384" width="9.1796875" style="491"/>
  </cols>
  <sheetData>
    <row r="1" spans="1:35" ht="21.75" customHeight="1" x14ac:dyDescent="0.5">
      <c r="A1" s="489"/>
      <c r="B1" s="490"/>
      <c r="C1" s="490"/>
      <c r="D1" s="2111" t="s">
        <v>22</v>
      </c>
      <c r="E1" s="2111"/>
      <c r="F1" s="2111"/>
      <c r="G1" s="2111"/>
      <c r="H1" s="2111"/>
      <c r="I1" s="2111"/>
      <c r="J1" s="2111"/>
      <c r="K1" s="2111"/>
      <c r="L1" s="2111"/>
      <c r="M1" s="2111"/>
      <c r="N1" s="2111"/>
      <c r="O1" s="2111"/>
      <c r="P1" s="2111"/>
      <c r="Q1" s="2111"/>
      <c r="R1" s="2111"/>
      <c r="S1" s="2111"/>
      <c r="T1" s="2111"/>
      <c r="U1" s="2111"/>
      <c r="V1" s="2111"/>
      <c r="W1" s="2111"/>
      <c r="X1" s="2111"/>
      <c r="Y1" s="2111"/>
      <c r="Z1" s="2111"/>
      <c r="AA1" s="2111"/>
      <c r="AB1" s="2111"/>
      <c r="AC1" s="2111"/>
      <c r="AD1" s="2111"/>
      <c r="AE1" s="2111"/>
      <c r="AF1" s="2111"/>
      <c r="AG1" s="2111"/>
      <c r="AH1" s="2111"/>
      <c r="AI1" s="2112"/>
    </row>
    <row r="2" spans="1:35" ht="16.5" customHeight="1" x14ac:dyDescent="0.35">
      <c r="A2" s="2113" t="s">
        <v>1067</v>
      </c>
      <c r="B2" s="2114"/>
      <c r="C2" s="2114"/>
      <c r="D2" s="2114"/>
      <c r="E2" s="2114"/>
      <c r="F2" s="2114"/>
      <c r="G2" s="2114"/>
      <c r="H2" s="2114"/>
      <c r="I2" s="2114"/>
      <c r="J2" s="2114"/>
      <c r="K2" s="2114"/>
      <c r="L2" s="2114"/>
      <c r="M2" s="2114"/>
      <c r="N2" s="2114"/>
      <c r="O2" s="2114"/>
      <c r="P2" s="2114"/>
      <c r="Q2" s="2114"/>
      <c r="R2" s="2114"/>
      <c r="S2" s="2114"/>
      <c r="T2" s="2114"/>
      <c r="U2" s="2114"/>
      <c r="V2" s="2114"/>
      <c r="W2" s="2114"/>
      <c r="X2" s="2114"/>
      <c r="Y2" s="2114"/>
      <c r="Z2" s="2114"/>
      <c r="AA2" s="2114"/>
      <c r="AB2" s="2114"/>
      <c r="AC2" s="2114"/>
      <c r="AD2" s="2114"/>
      <c r="AE2" s="2114"/>
      <c r="AF2" s="2114"/>
      <c r="AG2" s="2114"/>
      <c r="AH2" s="2114"/>
      <c r="AI2" s="2115"/>
    </row>
    <row r="3" spans="1:35" ht="15.75" customHeight="1" thickBot="1" x14ac:dyDescent="0.4">
      <c r="A3" s="492" t="s">
        <v>23</v>
      </c>
      <c r="B3" s="493"/>
      <c r="C3" s="493"/>
      <c r="D3" s="2116" t="s">
        <v>1125</v>
      </c>
      <c r="E3" s="2116"/>
      <c r="F3" s="2116"/>
      <c r="G3" s="2116"/>
      <c r="H3" s="2116"/>
      <c r="I3" s="2116"/>
      <c r="J3" s="2116"/>
      <c r="K3" s="2116"/>
      <c r="L3" s="2116"/>
      <c r="M3" s="2116"/>
      <c r="N3" s="2116"/>
      <c r="O3" s="2116"/>
      <c r="P3" s="2116"/>
      <c r="Q3" s="2116"/>
      <c r="R3" s="2116"/>
      <c r="S3" s="2116"/>
      <c r="T3" s="2116"/>
      <c r="U3" s="2116"/>
      <c r="V3" s="2116"/>
      <c r="W3" s="2116"/>
      <c r="X3" s="2116"/>
      <c r="Y3" s="2116"/>
      <c r="Z3" s="2116"/>
      <c r="AA3" s="2116"/>
      <c r="AB3" s="2116"/>
      <c r="AC3" s="2116"/>
      <c r="AD3" s="2116"/>
      <c r="AE3" s="2116"/>
      <c r="AF3" s="2116"/>
      <c r="AG3" s="2116"/>
      <c r="AH3" s="2116"/>
      <c r="AI3" s="2117"/>
    </row>
    <row r="4" spans="1:35" ht="15.75" customHeight="1" thickBot="1" x14ac:dyDescent="0.45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35">
      <c r="A5" s="2009" t="s">
        <v>1068</v>
      </c>
      <c r="B5" s="2009"/>
      <c r="C5" s="2009"/>
      <c r="D5" s="2009"/>
      <c r="E5" s="2009"/>
      <c r="F5" s="2081" t="str">
        <f>IF(Data!B1&lt;&gt;"", Data!B1, " ")</f>
        <v>2025-AR-109</v>
      </c>
      <c r="G5" s="2082"/>
      <c r="H5" s="2082"/>
      <c r="I5" s="2082"/>
      <c r="J5" s="2082"/>
      <c r="K5" s="2082"/>
      <c r="L5" s="2083"/>
      <c r="M5" s="2118" t="s">
        <v>1069</v>
      </c>
      <c r="N5" s="2011"/>
      <c r="O5" s="2011"/>
      <c r="P5" s="2081">
        <f>IF(Data!B5&lt;&gt;"",Data!B5," ")</f>
        <v>1080537</v>
      </c>
      <c r="Q5" s="2082"/>
      <c r="R5" s="2082"/>
      <c r="S5" s="2082"/>
      <c r="T5" s="2082"/>
      <c r="U5" s="2082"/>
      <c r="V5" s="2083"/>
      <c r="X5" s="2091" t="s">
        <v>1070</v>
      </c>
      <c r="Y5" s="2091"/>
      <c r="Z5" s="2081" t="str">
        <f>IF(Data!B7&lt;&gt;"",Data!B7, " ")</f>
        <v>SAUDI ARAMCO</v>
      </c>
      <c r="AA5" s="2082"/>
      <c r="AB5" s="2082"/>
      <c r="AC5" s="2082"/>
      <c r="AD5" s="2082"/>
      <c r="AE5" s="2082"/>
      <c r="AF5" s="2082"/>
      <c r="AG5" s="2082"/>
      <c r="AH5" s="2082"/>
      <c r="AI5" s="2083"/>
    </row>
    <row r="6" spans="1:35" ht="6.65" customHeight="1" thickBot="1" x14ac:dyDescent="0.3"/>
    <row r="7" spans="1:35" ht="15.75" customHeight="1" thickBot="1" x14ac:dyDescent="0.35">
      <c r="A7" s="2009" t="s">
        <v>1071</v>
      </c>
      <c r="B7" s="2009"/>
      <c r="C7" s="2009"/>
      <c r="D7" s="2009"/>
      <c r="E7" s="2102"/>
      <c r="F7" s="2081">
        <f>IF(Data!B2&lt;&gt;"", Data!B2, " ")</f>
        <v>13845937</v>
      </c>
      <c r="G7" s="2082"/>
      <c r="H7" s="2082"/>
      <c r="I7" s="2082"/>
      <c r="J7" s="2082"/>
      <c r="K7" s="2082"/>
      <c r="L7" s="2083"/>
      <c r="N7" s="2009" t="s">
        <v>6</v>
      </c>
      <c r="O7" s="2009"/>
      <c r="P7" s="2107" t="str">
        <f>IF(LEN(Data!B3)&gt;3,IF(AND(Data!B43&lt;&gt;"",Data!B43&lt;&gt;"0 0/1"""),Data!B43,""),IF(Data!B3&lt;&gt;"",Data!B3&amp;"""",""))</f>
        <v>8 3/8"</v>
      </c>
      <c r="Q7" s="2082"/>
      <c r="R7" s="2082"/>
      <c r="S7" s="2082"/>
      <c r="T7" s="2082"/>
      <c r="U7" s="2082"/>
      <c r="V7" s="2083"/>
      <c r="X7" s="2009" t="s">
        <v>1072</v>
      </c>
      <c r="Y7" s="2009"/>
      <c r="Z7" s="2009"/>
      <c r="AA7" s="2009"/>
      <c r="AB7" s="2009"/>
      <c r="AC7" s="2108">
        <f>IF(Data!B6&lt;&gt;"",Data!B6," ")</f>
        <v>46002</v>
      </c>
      <c r="AD7" s="2109"/>
      <c r="AE7" s="2109"/>
      <c r="AF7" s="2109"/>
      <c r="AG7" s="2109"/>
      <c r="AH7" s="2109"/>
      <c r="AI7" s="2110"/>
    </row>
    <row r="8" spans="1:35" ht="6" customHeight="1" thickBot="1" x14ac:dyDescent="0.3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35">
      <c r="A9" s="2009" t="s">
        <v>1073</v>
      </c>
      <c r="B9" s="2009"/>
      <c r="C9" s="2009"/>
      <c r="D9" s="2009"/>
      <c r="E9" s="2102"/>
      <c r="F9" s="2081">
        <f>IF(Data!B5&lt;&gt;"",Data!B5," ")</f>
        <v>1080537</v>
      </c>
      <c r="G9" s="2082"/>
      <c r="H9" s="2082"/>
      <c r="I9" s="2082"/>
      <c r="J9" s="2082"/>
      <c r="K9" s="2082"/>
      <c r="L9" s="2083"/>
      <c r="N9" s="2009" t="s">
        <v>7</v>
      </c>
      <c r="O9" s="2009"/>
      <c r="P9" s="2081" t="str">
        <f>IF(Data!B4&lt;&gt;"",Data!B4," ")</f>
        <v>MM65DH-1</v>
      </c>
      <c r="Q9" s="2082"/>
      <c r="R9" s="2082"/>
      <c r="S9" s="2082"/>
      <c r="T9" s="2082"/>
      <c r="U9" s="2082"/>
      <c r="V9" s="2083"/>
      <c r="X9" s="498" t="s">
        <v>1074</v>
      </c>
      <c r="AB9" s="2103" t="str">
        <f>IF(Data!B23&lt;&gt;"",Data!B23, " ")</f>
        <v xml:space="preserve"> </v>
      </c>
      <c r="AC9" s="2104"/>
      <c r="AD9" s="2104"/>
      <c r="AE9" s="2104"/>
      <c r="AF9" s="2104"/>
      <c r="AG9" s="2104"/>
      <c r="AH9" s="2104"/>
      <c r="AI9" s="2105"/>
    </row>
    <row r="10" spans="1:35" ht="9.75" customHeight="1" x14ac:dyDescent="0.25"/>
    <row r="11" spans="1:35" ht="10.5" customHeight="1" x14ac:dyDescent="0.25">
      <c r="A11" s="2106" t="s">
        <v>1075</v>
      </c>
      <c r="B11" s="2106"/>
      <c r="C11" s="2106"/>
      <c r="D11" s="2106"/>
    </row>
    <row r="12" spans="1:35" ht="10.15" customHeight="1" x14ac:dyDescent="0.25">
      <c r="A12" s="2094" t="s">
        <v>1076</v>
      </c>
      <c r="B12" s="2094"/>
      <c r="C12" s="2094"/>
      <c r="D12" s="2094"/>
      <c r="E12" s="2094"/>
      <c r="F12" s="2094"/>
      <c r="G12" s="2094"/>
      <c r="H12" s="2094"/>
      <c r="I12" s="2094"/>
      <c r="J12" s="2094"/>
      <c r="K12" s="2094"/>
      <c r="L12" s="2094"/>
      <c r="M12" s="2094"/>
      <c r="N12" s="2094"/>
      <c r="O12" s="2094"/>
      <c r="P12" s="2094"/>
      <c r="Q12" s="2094"/>
      <c r="R12" s="2094"/>
      <c r="S12" s="2094"/>
      <c r="T12" s="2094"/>
      <c r="U12" s="2094"/>
      <c r="V12" s="2094"/>
      <c r="W12" s="2094"/>
      <c r="X12" s="2094"/>
      <c r="Y12" s="2094"/>
      <c r="Z12" s="2094"/>
      <c r="AA12" s="2094"/>
      <c r="AB12" s="2094"/>
      <c r="AC12" s="2094"/>
      <c r="AD12" s="2094"/>
      <c r="AE12" s="2094"/>
      <c r="AF12" s="2094"/>
      <c r="AG12" s="2094"/>
      <c r="AH12" s="2094"/>
    </row>
    <row r="13" spans="1:35" ht="10.15" customHeight="1" x14ac:dyDescent="0.25">
      <c r="A13" s="2094" t="s">
        <v>1077</v>
      </c>
      <c r="B13" s="2094"/>
      <c r="C13" s="2094"/>
      <c r="D13" s="2094"/>
      <c r="E13" s="2094"/>
      <c r="F13" s="2094"/>
      <c r="G13" s="2094"/>
      <c r="H13" s="2094"/>
      <c r="I13" s="2094"/>
      <c r="J13" s="2094"/>
      <c r="K13" s="2094"/>
      <c r="L13" s="2094"/>
      <c r="M13" s="2094"/>
      <c r="N13" s="2094"/>
      <c r="O13" s="2094"/>
      <c r="P13" s="2094"/>
      <c r="Q13" s="2094"/>
      <c r="R13" s="2094"/>
      <c r="S13" s="2094"/>
      <c r="T13" s="2094"/>
      <c r="U13" s="2094"/>
      <c r="V13" s="2094"/>
      <c r="W13" s="2094"/>
      <c r="X13" s="2094"/>
      <c r="Y13" s="2094"/>
      <c r="Z13" s="2094"/>
      <c r="AA13" s="2094"/>
      <c r="AB13" s="2094"/>
      <c r="AC13" s="2094"/>
      <c r="AD13" s="2094"/>
      <c r="AE13" s="2094"/>
      <c r="AF13" s="2094"/>
      <c r="AG13" s="2094"/>
      <c r="AH13" s="2094"/>
    </row>
    <row r="14" spans="1:35" ht="10.15" customHeight="1" x14ac:dyDescent="0.25">
      <c r="A14" s="2094" t="s">
        <v>1078</v>
      </c>
      <c r="B14" s="2094"/>
      <c r="C14" s="2094"/>
      <c r="D14" s="2094"/>
      <c r="E14" s="2094"/>
      <c r="F14" s="2094"/>
      <c r="G14" s="2094"/>
      <c r="H14" s="2094"/>
      <c r="I14" s="2094"/>
      <c r="J14" s="2094"/>
      <c r="K14" s="2094"/>
      <c r="L14" s="2094"/>
      <c r="M14" s="2094"/>
      <c r="N14" s="2094"/>
      <c r="O14" s="2094"/>
      <c r="P14" s="2094"/>
      <c r="Q14" s="2094"/>
      <c r="R14" s="2094"/>
      <c r="S14" s="2094"/>
      <c r="T14" s="2094"/>
      <c r="U14" s="2094"/>
      <c r="V14" s="2094"/>
      <c r="W14" s="2094"/>
      <c r="X14" s="2094"/>
      <c r="Y14" s="2094"/>
      <c r="Z14" s="2094"/>
      <c r="AA14" s="2094"/>
      <c r="AB14" s="2094"/>
      <c r="AC14" s="2094"/>
      <c r="AD14" s="2094"/>
      <c r="AE14" s="2094"/>
      <c r="AF14" s="2094"/>
      <c r="AG14" s="2094"/>
      <c r="AH14" s="2094"/>
    </row>
    <row r="15" spans="1:35" ht="10.5" customHeight="1" thickBot="1" x14ac:dyDescent="0.3"/>
    <row r="16" spans="1:35" ht="15.75" customHeight="1" x14ac:dyDescent="0.25">
      <c r="A16" s="2095"/>
      <c r="B16" s="2096"/>
      <c r="C16" s="2099" t="s">
        <v>17</v>
      </c>
      <c r="D16" s="2099"/>
      <c r="E16" s="2099"/>
      <c r="F16" s="2099"/>
      <c r="G16" s="2099"/>
      <c r="H16" s="2099"/>
      <c r="I16" s="2099"/>
      <c r="J16" s="2099"/>
      <c r="K16" s="2099"/>
      <c r="L16" s="2099"/>
      <c r="M16" s="2099"/>
      <c r="N16" s="2099"/>
      <c r="O16" s="2099"/>
      <c r="P16" s="2099"/>
      <c r="Q16" s="2099"/>
      <c r="R16" s="2099"/>
      <c r="S16" s="2099"/>
      <c r="T16" s="2099"/>
      <c r="U16" s="2099"/>
      <c r="V16" s="2099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5">
      <c r="A17" s="2097"/>
      <c r="B17" s="2098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5">
      <c r="A18" s="2100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>S1</v>
      </c>
      <c r="D18" s="231" t="str">
        <f>IF(OR(Data!$L$2=1,Data!$L$3=1),IF(OR(Data!BS46=0,Data!BS46=""),"","O"&amp;Data!BS46),IF('ARDT Cutter Entry'!$C$111&lt;&gt;"",'ARDT Cutter Entry'!D111,'ARDT Cutter Entry'!D43))</f>
        <v>S1</v>
      </c>
      <c r="E18" s="231" t="str">
        <f>IF(OR(Data!$L$2=1,Data!$L$3=1),IF(OR(Data!BT46=0,Data!BT46=""),"","O"&amp;Data!BT46),IF('ARDT Cutter Entry'!$C$111&lt;&gt;"",'ARDT Cutter Entry'!E111,'ARDT Cutter Entry'!E43))</f>
        <v>S1</v>
      </c>
      <c r="F18" s="231" t="str">
        <f>IF(OR(Data!$L$2=1,Data!$L$3=1),IF(OR(Data!BU46=0,Data!BU46=""),"","O"&amp;Data!BU46),IF('ARDT Cutter Entry'!$C$111&lt;&gt;"",'ARDT Cutter Entry'!F111,'ARDT Cutter Entry'!F43))</f>
        <v>S1</v>
      </c>
      <c r="G18" s="231" t="str">
        <f>IF(OR(Data!$L$2=1,Data!$L$3=1),IF(OR(Data!BV46=0,Data!BV46=""),"","O"&amp;Data!BV46),IF('ARDT Cutter Entry'!$C$111&lt;&gt;"",'ARDT Cutter Entry'!G111,'ARDT Cutter Entry'!G43))</f>
        <v>S1</v>
      </c>
      <c r="H18" s="231" t="str">
        <f>IF(OR(Data!$L$2=1,Data!$L$3=1),IF(OR(Data!BW46=0,Data!BW46=""),"","O"&amp;Data!BW46),IF('ARDT Cutter Entry'!$C$111&lt;&gt;"",'ARDT Cutter Entry'!H111,'ARDT Cutter Entry'!H43))</f>
        <v>X1</v>
      </c>
      <c r="I18" s="231" t="str">
        <f>IF(OR(Data!$L$2=1,Data!$L$3=1),IF(OR(Data!BX46=0,Data!BX46=""),"","O"&amp;Data!BX46),IF('ARDT Cutter Entry'!$C$111&lt;&gt;"",'ARDT Cutter Entry'!I111,'ARDT Cutter Entry'!I43))</f>
        <v>R1</v>
      </c>
      <c r="J18" s="231" t="str">
        <f>IF(OR(Data!$L$2=1,Data!$L$3=1),IF(OR(Data!BY46=0,Data!BY46=""),"","O"&amp;Data!BY46),IF('ARDT Cutter Entry'!$C$111&lt;&gt;"",'ARDT Cutter Entry'!J111,'ARDT Cutter Entry'!J43))</f>
        <v>X3</v>
      </c>
      <c r="K18" s="231" t="str">
        <f>IF(OR(Data!$L$2=1,Data!$L$3=1),IF(OR(Data!BZ46=0,Data!BZ46=""),"","O"&amp;Data!BZ46),IF('ARDT Cutter Entry'!$C$111&lt;&gt;"",'ARDT Cutter Entry'!K111,'ARDT Cutter Entry'!K43))</f>
        <v/>
      </c>
      <c r="L18" s="231" t="str">
        <f>IF(OR(Data!$L$2=1,Data!$L$3=1),IF(OR(Data!CA46=0,Data!CA46=""),"","O"&amp;Data!CA46),IF('ARDT Cutter Entry'!$C$111&lt;&gt;"",'ARDT Cutter Entry'!L111,'ARDT Cutter Entry'!L43))</f>
        <v>S2</v>
      </c>
      <c r="M18" s="231" t="str">
        <f>IF(OR(Data!$L$2=1,Data!$L$3=1),IF(OR(Data!CB46=0,Data!CB46=""),"","O"&amp;Data!CB46),IF('ARDT Cutter Entry'!$C$111&lt;&gt;"",'ARDT Cutter Entry'!M111,'ARDT Cutter Entry'!M43))</f>
        <v>S2</v>
      </c>
      <c r="N18" s="231" t="str">
        <f>IF(OR(Data!$L$2=1,Data!$L$3=1),IF(OR(Data!CC46=0,Data!CC46=""),"","O"&amp;Data!CC46),IF('ARDT Cutter Entry'!$C$111&lt;&gt;"",'ARDT Cutter Entry'!N111,'ARDT Cutter Entry'!N43))</f>
        <v>X2</v>
      </c>
      <c r="O18" s="231" t="str">
        <f>IF(OR(Data!$L$2=1,Data!$L$3=1),IF(OR(Data!CD46=0,Data!CD46=""),"","O"&amp;Data!CD46),IF('ARDT Cutter Entry'!$C$111&lt;&gt;"",'ARDT Cutter Entry'!O111,'ARDT Cutter Entry'!O43))</f>
        <v>X2</v>
      </c>
      <c r="P18" s="231" t="str">
        <f>IF(OR(Data!$L$2=1,Data!$L$3=1),IF(OR(Data!CE46=0,Data!CE46=""),"","O"&amp;Data!CE46),IF('ARDT Cutter Entry'!$C$111&lt;&gt;"",'ARDT Cutter Entry'!P111,'ARDT Cutter Entry'!P43))</f>
        <v/>
      </c>
      <c r="Q18" s="231" t="str">
        <f>IF(OR(Data!$L$2=1,Data!$L$3=1),IF(OR(Data!CF46=0,Data!CF46=""),"","O"&amp;Data!CF46),IF('ARDT Cutter Entry'!$C$111&lt;&gt;"",'ARDT Cutter Entry'!Q111,'ARDT Cutter Entry'!Q43))</f>
        <v/>
      </c>
      <c r="R18" s="231" t="str">
        <f>IF(OR(Data!$L$2=1,Data!$L$3=1),IF(OR(Data!CG46=0,Data!CG46=""),"","O"&amp;Data!CG46),IF('ARDT Cutter Entry'!$C$111&lt;&gt;"",'ARDT Cutter Entry'!R111,'ARDT Cutter Entry'!R43))</f>
        <v/>
      </c>
      <c r="S18" s="231" t="str">
        <f>IF(OR(Data!$L$2=1,Data!$L$3=1),IF(OR(Data!CH46=0,Data!CH46=""),"","O"&amp;Data!CH46),IF('ARDT Cutter Entry'!$C$111&lt;&gt;"",'ARDT Cutter Entry'!S111,'ARDT Cutter Entry'!S43))</f>
        <v/>
      </c>
      <c r="T18" s="231" t="str">
        <f>IF(OR(Data!$L$2=1,Data!$L$3=1),IF(OR(Data!CI46=0,Data!CI46=""),"","O"&amp;Data!CI46),IF('ARDT Cutter Entry'!$C$111&lt;&gt;"",'ARDT Cutter Entry'!T111,'ARDT Cutter Entry'!T43))</f>
        <v/>
      </c>
      <c r="U18" s="231" t="str">
        <f>IF(OR(Data!$L$2=1,Data!$L$3=1),IF(OR(Data!CJ46=0,Data!CJ46=""),"","O"&amp;Data!CJ46),IF('ARDT Cutter Entry'!$C$111&lt;&gt;"",'ARDT Cutter Entry'!U111,'ARDT Cutter Entry'!U43))</f>
        <v/>
      </c>
      <c r="V18" s="231" t="str">
        <f>IF(OR(Data!$L$2=1,Data!$L$3=1),IF(OR(Data!CK46=0,Data!CK46=""),"","O"&amp;Data!CK46),IF('ARDT Cutter Entry'!$C$111&lt;&gt;"",'ARDT Cutter Entry'!V111,'ARDT Cutter Entry'!V43))</f>
        <v/>
      </c>
      <c r="W18" s="231" t="str">
        <f>IF(OR(Data!$L$2=1,Data!$L$3=1),IF(OR(Data!CL46=0,Data!CL46=""),"","O"&amp;Data!CL46),IF('ARDT Cutter Entry'!$C$111&lt;&gt;"",'ARDT Cutter Entry'!W111,'ARDT Cutter Entry'!W43))</f>
        <v/>
      </c>
      <c r="X18" s="231" t="str">
        <f>IF(OR(Data!$L$2=1,Data!$L$3=1),IF(OR(Data!CM46=0,Data!CM46=""),"","O"&amp;Data!CM46),IF('ARDT Cutter Entry'!$C$111&lt;&gt;"",'ARDT Cutter Entry'!X111,'ARDT Cutter Entry'!X43))</f>
        <v/>
      </c>
      <c r="Y18" s="231" t="str">
        <f>IF(OR(Data!$L$2=1,Data!$L$3=1),IF(OR(Data!CN46=0,Data!CN46=""),"","O"&amp;Data!CN46),IF('ARDT Cutter Entry'!$C$111&lt;&gt;"",'ARDT Cutter Entry'!Y111,'ARDT Cutter Entry'!Y43))</f>
        <v/>
      </c>
      <c r="Z18" s="231" t="str">
        <f>IF(OR(Data!$L$2=1,Data!$L$3=1),IF(OR(Data!CO46=0,Data!CO46=""),"","O"&amp;Data!CO46),IF('ARDT Cutter Entry'!$C$111&lt;&gt;"",'ARDT Cutter Entry'!Z111,'ARDT Cutter Entry'!Z43))</f>
        <v/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5">
      <c r="A19" s="2100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>S1</v>
      </c>
      <c r="D19" s="167" t="str">
        <f>IF(OR(Data!$L$2=1,Data!$L$3=1),IF(OR(Data!BS47=0,Data!BS47=""),"","O"&amp;Data!BS47),IF('ARDT Cutter Entry'!$C$111&lt;&gt;"",'ARDT Cutter Entry'!D112,'ARDT Cutter Entry'!D44))</f>
        <v>S1</v>
      </c>
      <c r="E19" s="167" t="str">
        <f>IF(OR(Data!$L$2=1,Data!$L$3=1),IF(OR(Data!BT47=0,Data!BT47=""),"","O"&amp;Data!BT47),IF('ARDT Cutter Entry'!$C$111&lt;&gt;"",'ARDT Cutter Entry'!E112,'ARDT Cutter Entry'!E44))</f>
        <v>X1</v>
      </c>
      <c r="F19" s="167" t="str">
        <f>IF(OR(Data!$L$2=1,Data!$L$3=1),IF(OR(Data!BU47=0,Data!BU47=""),"","O"&amp;Data!BU47),IF('ARDT Cutter Entry'!$C$111&lt;&gt;"",'ARDT Cutter Entry'!F112,'ARDT Cutter Entry'!F44))</f>
        <v>R1</v>
      </c>
      <c r="G19" s="167" t="str">
        <f>IF(OR(Data!$L$2=1,Data!$L$3=1),IF(OR(Data!BV47=0,Data!BV47=""),"","O"&amp;Data!BV47),IF('ARDT Cutter Entry'!$C$111&lt;&gt;"",'ARDT Cutter Entry'!G112,'ARDT Cutter Entry'!G44))</f>
        <v>X3</v>
      </c>
      <c r="H19" s="167" t="str">
        <f>IF(OR(Data!$L$2=1,Data!$L$3=1),IF(OR(Data!BW47=0,Data!BW47=""),"","O"&amp;Data!BW47),IF('ARDT Cutter Entry'!$C$111&lt;&gt;"",'ARDT Cutter Entry'!H112,'ARDT Cutter Entry'!H44))</f>
        <v/>
      </c>
      <c r="I19" s="167" t="str">
        <f>IF(OR(Data!$L$2=1,Data!$L$3=1),IF(OR(Data!BX47=0,Data!BX47=""),"","O"&amp;Data!BX47),IF('ARDT Cutter Entry'!$C$111&lt;&gt;"",'ARDT Cutter Entry'!I112,'ARDT Cutter Entry'!I44))</f>
        <v/>
      </c>
      <c r="J19" s="167" t="str">
        <f>IF(OR(Data!$L$2=1,Data!$L$3=1),IF(OR(Data!BY47=0,Data!BY47=""),"","O"&amp;Data!BY47),IF('ARDT Cutter Entry'!$C$111&lt;&gt;"",'ARDT Cutter Entry'!J112,'ARDT Cutter Entry'!J44))</f>
        <v/>
      </c>
      <c r="K19" s="167" t="str">
        <f>IF(OR(Data!$L$2=1,Data!$L$3=1),IF(OR(Data!BZ47=0,Data!BZ47=""),"","O"&amp;Data!BZ47),IF('ARDT Cutter Entry'!$C$111&lt;&gt;"",'ARDT Cutter Entry'!K112,'ARDT Cutter Entry'!K44))</f>
        <v/>
      </c>
      <c r="L19" s="167" t="str">
        <f>IF(OR(Data!$L$2=1,Data!$L$3=1),IF(OR(Data!CA47=0,Data!CA47=""),"","O"&amp;Data!CA47),IF('ARDT Cutter Entry'!$C$111&lt;&gt;"",'ARDT Cutter Entry'!L112,'ARDT Cutter Entry'!L44))</f>
        <v>S2</v>
      </c>
      <c r="M19" s="167" t="str">
        <f>IF(OR(Data!$L$2=1,Data!$L$3=1),IF(OR(Data!CB47=0,Data!CB47=""),"","O"&amp;Data!CB47),IF('ARDT Cutter Entry'!$C$111&lt;&gt;"",'ARDT Cutter Entry'!M112,'ARDT Cutter Entry'!M44))</f>
        <v>S2</v>
      </c>
      <c r="N19" s="167" t="str">
        <f>IF(OR(Data!$L$2=1,Data!$L$3=1),IF(OR(Data!CC47=0,Data!CC47=""),"","O"&amp;Data!CC47),IF('ARDT Cutter Entry'!$C$111&lt;&gt;"",'ARDT Cutter Entry'!N112,'ARDT Cutter Entry'!N44))</f>
        <v>S2</v>
      </c>
      <c r="O19" s="167" t="str">
        <f>IF(OR(Data!$L$2=1,Data!$L$3=1),IF(OR(Data!CD47=0,Data!CD47=""),"","O"&amp;Data!CD47),IF('ARDT Cutter Entry'!$C$111&lt;&gt;"",'ARDT Cutter Entry'!O112,'ARDT Cutter Entry'!O44))</f>
        <v>R2</v>
      </c>
      <c r="P19" s="167" t="str">
        <f>IF(OR(Data!$L$2=1,Data!$L$3=1),IF(OR(Data!CE47=0,Data!CE47=""),"","O"&amp;Data!CE47),IF('ARDT Cutter Entry'!$C$111&lt;&gt;"",'ARDT Cutter Entry'!P112,'ARDT Cutter Entry'!P44))</f>
        <v/>
      </c>
      <c r="Q19" s="167" t="str">
        <f>IF(OR(Data!$L$2=1,Data!$L$3=1),IF(OR(Data!CF47=0,Data!CF47=""),"","O"&amp;Data!CF47),IF('ARDT Cutter Entry'!$C$111&lt;&gt;"",'ARDT Cutter Entry'!Q112,'ARDT Cutter Entry'!Q44))</f>
        <v/>
      </c>
      <c r="R19" s="167" t="str">
        <f>IF(OR(Data!$L$2=1,Data!$L$3=1),IF(OR(Data!CG47=0,Data!CG47=""),"","O"&amp;Data!CG47),IF('ARDT Cutter Entry'!$C$111&lt;&gt;"",'ARDT Cutter Entry'!R112,'ARDT Cutter Entry'!R44))</f>
        <v/>
      </c>
      <c r="S19" s="167" t="str">
        <f>IF(OR(Data!$L$2=1,Data!$L$3=1),IF(OR(Data!CH47=0,Data!CH47=""),"","O"&amp;Data!CH47),IF('ARDT Cutter Entry'!$C$111&lt;&gt;"",'ARDT Cutter Entry'!S112,'ARDT Cutter Entry'!S44))</f>
        <v/>
      </c>
      <c r="T19" s="167" t="str">
        <f>IF(OR(Data!$L$2=1,Data!$L$3=1),IF(OR(Data!CI47=0,Data!CI47=""),"","O"&amp;Data!CI47),IF('ARDT Cutter Entry'!$C$111&lt;&gt;"",'ARDT Cutter Entry'!T112,'ARDT Cutter Entry'!T44))</f>
        <v/>
      </c>
      <c r="U19" s="167" t="str">
        <f>IF(OR(Data!$L$2=1,Data!$L$3=1),IF(OR(Data!CJ47=0,Data!CJ47=""),"","O"&amp;Data!CJ47),IF('ARDT Cutter Entry'!$C$111&lt;&gt;"",'ARDT Cutter Entry'!U112,'ARDT Cutter Entry'!U44))</f>
        <v/>
      </c>
      <c r="V19" s="167" t="str">
        <f>IF(OR(Data!$L$2=1,Data!$L$3=1),IF(OR(Data!CK47=0,Data!CK47=""),"","O"&amp;Data!CK47),IF('ARDT Cutter Entry'!$C$111&lt;&gt;"",'ARDT Cutter Entry'!V112,'ARDT Cutter Entry'!V44))</f>
        <v/>
      </c>
      <c r="W19" s="167" t="str">
        <f>IF(OR(Data!$L$2=1,Data!$L$3=1),IF(OR(Data!CL47=0,Data!CL47=""),"","O"&amp;Data!CL47),IF('ARDT Cutter Entry'!$C$111&lt;&gt;"",'ARDT Cutter Entry'!W112,'ARDT Cutter Entry'!W44))</f>
        <v/>
      </c>
      <c r="X19" s="167" t="str">
        <f>IF(OR(Data!$L$2=1,Data!$L$3=1),IF(OR(Data!CM47=0,Data!CM47=""),"","O"&amp;Data!CM47),IF('ARDT Cutter Entry'!$C$111&lt;&gt;"",'ARDT Cutter Entry'!X112,'ARDT Cutter Entry'!X44))</f>
        <v/>
      </c>
      <c r="Y19" s="167" t="str">
        <f>IF(OR(Data!$L$2=1,Data!$L$3=1),IF(OR(Data!CN47=0,Data!CN47=""),"","O"&amp;Data!CN47),IF('ARDT Cutter Entry'!$C$111&lt;&gt;"",'ARDT Cutter Entry'!Y112,'ARDT Cutter Entry'!Y44))</f>
        <v/>
      </c>
      <c r="Z19" s="167" t="str">
        <f>IF(OR(Data!$L$2=1,Data!$L$3=1),IF(OR(Data!CO47=0,Data!CO47=""),"","O"&amp;Data!CO47),IF('ARDT Cutter Entry'!$C$111&lt;&gt;"",'ARDT Cutter Entry'!Z112,'ARDT Cutter Entry'!Z44))</f>
        <v/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5">
      <c r="A20" s="2100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>S1</v>
      </c>
      <c r="D20" s="167" t="str">
        <f>IF(OR(Data!$L$2=1,Data!$L$3=1),IF(OR(Data!BS48=0,Data!BS48=""),"","O"&amp;Data!BS48),IF('ARDT Cutter Entry'!$C$111&lt;&gt;"",'ARDT Cutter Entry'!D113,'ARDT Cutter Entry'!D45))</f>
        <v>S1</v>
      </c>
      <c r="E20" s="167" t="str">
        <f>IF(OR(Data!$L$2=1,Data!$L$3=1),IF(OR(Data!BT48=0,Data!BT48=""),"","O"&amp;Data!BT48),IF('ARDT Cutter Entry'!$C$111&lt;&gt;"",'ARDT Cutter Entry'!E113,'ARDT Cutter Entry'!E45))</f>
        <v>S1</v>
      </c>
      <c r="F20" s="167" t="str">
        <f>IF(OR(Data!$L$2=1,Data!$L$3=1),IF(OR(Data!BU48=0,Data!BU48=""),"","O"&amp;Data!BU48),IF('ARDT Cutter Entry'!$C$111&lt;&gt;"",'ARDT Cutter Entry'!F113,'ARDT Cutter Entry'!F45))</f>
        <v>S1</v>
      </c>
      <c r="G20" s="167" t="str">
        <f>IF(OR(Data!$L$2=1,Data!$L$3=1),IF(OR(Data!BV48=0,Data!BV48=""),"","O"&amp;Data!BV48),IF('ARDT Cutter Entry'!$C$111&lt;&gt;"",'ARDT Cutter Entry'!G113,'ARDT Cutter Entry'!G45))</f>
        <v>X1</v>
      </c>
      <c r="H20" s="167" t="str">
        <f>IF(OR(Data!$L$2=1,Data!$L$3=1),IF(OR(Data!BW48=0,Data!BW48=""),"","O"&amp;Data!BW48),IF('ARDT Cutter Entry'!$C$111&lt;&gt;"",'ARDT Cutter Entry'!H113,'ARDT Cutter Entry'!H45))</f>
        <v>R1</v>
      </c>
      <c r="I20" s="167" t="str">
        <f>IF(OR(Data!$L$2=1,Data!$L$3=1),IF(OR(Data!BX48=0,Data!BX48=""),"","O"&amp;Data!BX48),IF('ARDT Cutter Entry'!$C$111&lt;&gt;"",'ARDT Cutter Entry'!I113,'ARDT Cutter Entry'!I45))</f>
        <v>X3</v>
      </c>
      <c r="J20" s="167" t="str">
        <f>IF(OR(Data!$L$2=1,Data!$L$3=1),IF(OR(Data!BY48=0,Data!BY48=""),"","O"&amp;Data!BY48),IF('ARDT Cutter Entry'!$C$111&lt;&gt;"",'ARDT Cutter Entry'!J113,'ARDT Cutter Entry'!J45))</f>
        <v/>
      </c>
      <c r="K20" s="167" t="str">
        <f>IF(OR(Data!$L$2=1,Data!$L$3=1),IF(OR(Data!BZ48=0,Data!BZ48=""),"","O"&amp;Data!BZ48),IF('ARDT Cutter Entry'!$C$111&lt;&gt;"",'ARDT Cutter Entry'!K113,'ARDT Cutter Entry'!K45))</f>
        <v/>
      </c>
      <c r="L20" s="167" t="str">
        <f>IF(OR(Data!$L$2=1,Data!$L$3=1),IF(OR(Data!CA48=0,Data!CA48=""),"","O"&amp;Data!CA48),IF('ARDT Cutter Entry'!$C$111&lt;&gt;"",'ARDT Cutter Entry'!L113,'ARDT Cutter Entry'!L45))</f>
        <v>S2</v>
      </c>
      <c r="M20" s="167" t="str">
        <f>IF(OR(Data!$L$2=1,Data!$L$3=1),IF(OR(Data!CB48=0,Data!CB48=""),"","O"&amp;Data!CB48),IF('ARDT Cutter Entry'!$C$111&lt;&gt;"",'ARDT Cutter Entry'!M113,'ARDT Cutter Entry'!M45))</f>
        <v>S2</v>
      </c>
      <c r="N20" s="167" t="str">
        <f>IF(OR(Data!$L$2=1,Data!$L$3=1),IF(OR(Data!CC48=0,Data!CC48=""),"","O"&amp;Data!CC48),IF('ARDT Cutter Entry'!$C$111&lt;&gt;"",'ARDT Cutter Entry'!N113,'ARDT Cutter Entry'!N45))</f>
        <v>R2</v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/>
      </c>
      <c r="Q20" s="167" t="str">
        <f>IF(OR(Data!$L$2=1,Data!$L$3=1),IF(OR(Data!CF48=0,Data!CF48=""),"","O"&amp;Data!CF48),IF('ARDT Cutter Entry'!$C$111&lt;&gt;"",'ARDT Cutter Entry'!Q113,'ARDT Cutter Entry'!Q45))</f>
        <v/>
      </c>
      <c r="R20" s="167" t="str">
        <f>IF(OR(Data!$L$2=1,Data!$L$3=1),IF(OR(Data!CG48=0,Data!CG48=""),"","O"&amp;Data!CG48),IF('ARDT Cutter Entry'!$C$111&lt;&gt;"",'ARDT Cutter Entry'!R113,'ARDT Cutter Entry'!R45))</f>
        <v/>
      </c>
      <c r="S20" s="167" t="str">
        <f>IF(OR(Data!$L$2=1,Data!$L$3=1),IF(OR(Data!CH48=0,Data!CH48=""),"","O"&amp;Data!CH48),IF('ARDT Cutter Entry'!$C$111&lt;&gt;"",'ARDT Cutter Entry'!S113,'ARDT Cutter Entry'!S45))</f>
        <v/>
      </c>
      <c r="T20" s="167" t="str">
        <f>IF(OR(Data!$L$2=1,Data!$L$3=1),IF(OR(Data!CI48=0,Data!CI48=""),"","O"&amp;Data!CI48),IF('ARDT Cutter Entry'!$C$111&lt;&gt;"",'ARDT Cutter Entry'!T113,'ARDT Cutter Entry'!T45))</f>
        <v/>
      </c>
      <c r="U20" s="167" t="str">
        <f>IF(OR(Data!$L$2=1,Data!$L$3=1),IF(OR(Data!CJ48=0,Data!CJ48=""),"","O"&amp;Data!CJ48),IF('ARDT Cutter Entry'!$C$111&lt;&gt;"",'ARDT Cutter Entry'!U113,'ARDT Cutter Entry'!U45))</f>
        <v/>
      </c>
      <c r="V20" s="167" t="str">
        <f>IF(OR(Data!$L$2=1,Data!$L$3=1),IF(OR(Data!CK48=0,Data!CK48=""),"","O"&amp;Data!CK48),IF('ARDT Cutter Entry'!$C$111&lt;&gt;"",'ARDT Cutter Entry'!V113,'ARDT Cutter Entry'!V45))</f>
        <v/>
      </c>
      <c r="W20" s="167" t="str">
        <f>IF(OR(Data!$L$2=1,Data!$L$3=1),IF(OR(Data!CL48=0,Data!CL48=""),"","O"&amp;Data!CL48),IF('ARDT Cutter Entry'!$C$111&lt;&gt;"",'ARDT Cutter Entry'!W113,'ARDT Cutter Entry'!W45))</f>
        <v/>
      </c>
      <c r="X20" s="167" t="str">
        <f>IF(OR(Data!$L$2=1,Data!$L$3=1),IF(OR(Data!CM48=0,Data!CM48=""),"","O"&amp;Data!CM48),IF('ARDT Cutter Entry'!$C$111&lt;&gt;"",'ARDT Cutter Entry'!X113,'ARDT Cutter Entry'!X45))</f>
        <v/>
      </c>
      <c r="Y20" s="167" t="str">
        <f>IF(OR(Data!$L$2=1,Data!$L$3=1),IF(OR(Data!CN48=0,Data!CN48=""),"","O"&amp;Data!CN48),IF('ARDT Cutter Entry'!$C$111&lt;&gt;"",'ARDT Cutter Entry'!Y113,'ARDT Cutter Entry'!Y45))</f>
        <v/>
      </c>
      <c r="Z20" s="167" t="str">
        <f>IF(OR(Data!$L$2=1,Data!$L$3=1),IF(OR(Data!CO48=0,Data!CO48=""),"","O"&amp;Data!CO48),IF('ARDT Cutter Entry'!$C$111&lt;&gt;"",'ARDT Cutter Entry'!Z113,'ARDT Cutter Entry'!Z45))</f>
        <v/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5">
      <c r="A21" s="2100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>S1</v>
      </c>
      <c r="D21" s="167" t="str">
        <f>IF(OR(Data!$L$2=1,Data!$L$3=1),IF(OR(Data!BS49=0,Data!BS49=""),"","O"&amp;Data!BS49),IF('ARDT Cutter Entry'!$C$111&lt;&gt;"",'ARDT Cutter Entry'!D114,'ARDT Cutter Entry'!D46))</f>
        <v>S1</v>
      </c>
      <c r="E21" s="167" t="str">
        <f>IF(OR(Data!$L$2=1,Data!$L$3=1),IF(OR(Data!BT49=0,Data!BT49=""),"","O"&amp;Data!BT49),IF('ARDT Cutter Entry'!$C$111&lt;&gt;"",'ARDT Cutter Entry'!E114,'ARDT Cutter Entry'!E46))</f>
        <v>X1</v>
      </c>
      <c r="F21" s="167" t="str">
        <f>IF(OR(Data!$L$2=1,Data!$L$3=1),IF(OR(Data!BU49=0,Data!BU49=""),"","O"&amp;Data!BU49),IF('ARDT Cutter Entry'!$C$111&lt;&gt;"",'ARDT Cutter Entry'!F114,'ARDT Cutter Entry'!F46))</f>
        <v>R1</v>
      </c>
      <c r="G21" s="167" t="str">
        <f>IF(OR(Data!$L$2=1,Data!$L$3=1),IF(OR(Data!BV49=0,Data!BV49=""),"","O"&amp;Data!BV49),IF('ARDT Cutter Entry'!$C$111&lt;&gt;"",'ARDT Cutter Entry'!G114,'ARDT Cutter Entry'!G46))</f>
        <v>X1</v>
      </c>
      <c r="H21" s="167" t="str">
        <f>IF(OR(Data!$L$2=1,Data!$L$3=1),IF(OR(Data!BW49=0,Data!BW49=""),"","O"&amp;Data!BW49),IF('ARDT Cutter Entry'!$C$111&lt;&gt;"",'ARDT Cutter Entry'!H114,'ARDT Cutter Entry'!H46))</f>
        <v>X3</v>
      </c>
      <c r="I21" s="167" t="str">
        <f>IF(OR(Data!$L$2=1,Data!$L$3=1),IF(OR(Data!BX49=0,Data!BX49=""),"","O"&amp;Data!BX49),IF('ARDT Cutter Entry'!$C$111&lt;&gt;"",'ARDT Cutter Entry'!I114,'ARDT Cutter Entry'!I46))</f>
        <v/>
      </c>
      <c r="J21" s="167" t="str">
        <f>IF(OR(Data!$L$2=1,Data!$L$3=1),IF(OR(Data!BY49=0,Data!BY49=""),"","O"&amp;Data!BY49),IF('ARDT Cutter Entry'!$C$111&lt;&gt;"",'ARDT Cutter Entry'!J114,'ARDT Cutter Entry'!J46))</f>
        <v/>
      </c>
      <c r="K21" s="167" t="str">
        <f>IF(OR(Data!$L$2=1,Data!$L$3=1),IF(OR(Data!BZ49=0,Data!BZ49=""),"","O"&amp;Data!BZ49),IF('ARDT Cutter Entry'!$C$111&lt;&gt;"",'ARDT Cutter Entry'!K114,'ARDT Cutter Entry'!K46))</f>
        <v/>
      </c>
      <c r="L21" s="167" t="str">
        <f>IF(OR(Data!$L$2=1,Data!$L$3=1),IF(OR(Data!CA49=0,Data!CA49=""),"","O"&amp;Data!CA49),IF('ARDT Cutter Entry'!$C$111&lt;&gt;"",'ARDT Cutter Entry'!L114,'ARDT Cutter Entry'!L46))</f>
        <v>S2</v>
      </c>
      <c r="M21" s="167" t="str">
        <f>IF(OR(Data!$L$2=1,Data!$L$3=1),IF(OR(Data!CB49=0,Data!CB49=""),"","O"&amp;Data!CB49),IF('ARDT Cutter Entry'!$C$111&lt;&gt;"",'ARDT Cutter Entry'!M114,'ARDT Cutter Entry'!M46))</f>
        <v>S2</v>
      </c>
      <c r="N21" s="167" t="str">
        <f>IF(OR(Data!$L$2=1,Data!$L$3=1),IF(OR(Data!CC49=0,Data!CC49=""),"","O"&amp;Data!CC49),IF('ARDT Cutter Entry'!$C$111&lt;&gt;"",'ARDT Cutter Entry'!N114,'ARDT Cutter Entry'!N46))</f>
        <v>S2</v>
      </c>
      <c r="O21" s="167" t="str">
        <f>IF(OR(Data!$L$2=1,Data!$L$3=1),IF(OR(Data!CD49=0,Data!CD49=""),"","O"&amp;Data!CD49),IF('ARDT Cutter Entry'!$C$111&lt;&gt;"",'ARDT Cutter Entry'!O114,'ARDT Cutter Entry'!O46))</f>
        <v>R2</v>
      </c>
      <c r="P21" s="167" t="str">
        <f>IF(OR(Data!$L$2=1,Data!$L$3=1),IF(OR(Data!CE49=0,Data!CE49=""),"","O"&amp;Data!CE49),IF('ARDT Cutter Entry'!$C$111&lt;&gt;"",'ARDT Cutter Entry'!P114,'ARDT Cutter Entry'!P46))</f>
        <v/>
      </c>
      <c r="Q21" s="167" t="str">
        <f>IF(OR(Data!$L$2=1,Data!$L$3=1),IF(OR(Data!CF49=0,Data!CF49=""),"","O"&amp;Data!CF49),IF('ARDT Cutter Entry'!$C$111&lt;&gt;"",'ARDT Cutter Entry'!Q114,'ARDT Cutter Entry'!Q46))</f>
        <v/>
      </c>
      <c r="R21" s="167" t="str">
        <f>IF(OR(Data!$L$2=1,Data!$L$3=1),IF(OR(Data!CG49=0,Data!CG49=""),"","O"&amp;Data!CG49),IF('ARDT Cutter Entry'!$C$111&lt;&gt;"",'ARDT Cutter Entry'!R114,'ARDT Cutter Entry'!R46))</f>
        <v/>
      </c>
      <c r="S21" s="167" t="str">
        <f>IF(OR(Data!$L$2=1,Data!$L$3=1),IF(OR(Data!CH49=0,Data!CH49=""),"","O"&amp;Data!CH49),IF('ARDT Cutter Entry'!$C$111&lt;&gt;"",'ARDT Cutter Entry'!S114,'ARDT Cutter Entry'!S46))</f>
        <v/>
      </c>
      <c r="T21" s="167" t="str">
        <f>IF(OR(Data!$L$2=1,Data!$L$3=1),IF(OR(Data!CI49=0,Data!CI49=""),"","O"&amp;Data!CI49),IF('ARDT Cutter Entry'!$C$111&lt;&gt;"",'ARDT Cutter Entry'!T114,'ARDT Cutter Entry'!T46))</f>
        <v/>
      </c>
      <c r="U21" s="167" t="str">
        <f>IF(OR(Data!$L$2=1,Data!$L$3=1),IF(OR(Data!CJ49=0,Data!CJ49=""),"","O"&amp;Data!CJ49),IF('ARDT Cutter Entry'!$C$111&lt;&gt;"",'ARDT Cutter Entry'!U114,'ARDT Cutter Entry'!U46))</f>
        <v/>
      </c>
      <c r="V21" s="167" t="str">
        <f>IF(OR(Data!$L$2=1,Data!$L$3=1),IF(OR(Data!CK49=0,Data!CK49=""),"","O"&amp;Data!CK49),IF('ARDT Cutter Entry'!$C$111&lt;&gt;"",'ARDT Cutter Entry'!V114,'ARDT Cutter Entry'!V46))</f>
        <v/>
      </c>
      <c r="W21" s="167" t="str">
        <f>IF(OR(Data!$L$2=1,Data!$L$3=1),IF(OR(Data!CL49=0,Data!CL49=""),"","O"&amp;Data!CL49),IF('ARDT Cutter Entry'!$C$111&lt;&gt;"",'ARDT Cutter Entry'!W114,'ARDT Cutter Entry'!W46))</f>
        <v/>
      </c>
      <c r="X21" s="167" t="str">
        <f>IF(OR(Data!$L$2=1,Data!$L$3=1),IF(OR(Data!CM49=0,Data!CM49=""),"","O"&amp;Data!CM49),IF('ARDT Cutter Entry'!$C$111&lt;&gt;"",'ARDT Cutter Entry'!X114,'ARDT Cutter Entry'!X46))</f>
        <v/>
      </c>
      <c r="Y21" s="167" t="str">
        <f>IF(OR(Data!$L$2=1,Data!$L$3=1),IF(OR(Data!CN49=0,Data!CN49=""),"","O"&amp;Data!CN49),IF('ARDT Cutter Entry'!$C$111&lt;&gt;"",'ARDT Cutter Entry'!Y114,'ARDT Cutter Entry'!Y46))</f>
        <v/>
      </c>
      <c r="Z21" s="167" t="str">
        <f>IF(OR(Data!$L$2=1,Data!$L$3=1),IF(OR(Data!CO49=0,Data!CO49=""),"","O"&amp;Data!CO49),IF('ARDT Cutter Entry'!$C$111&lt;&gt;"",'ARDT Cutter Entry'!Z114,'ARDT Cutter Entry'!Z46))</f>
        <v/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5">
      <c r="A22" s="2100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>S1</v>
      </c>
      <c r="D22" s="167" t="str">
        <f>IF(OR(Data!$L$2=1,Data!$L$3=1),IF(OR(Data!BS50=0,Data!BS50=""),"","O"&amp;Data!BS50),IF('ARDT Cutter Entry'!$C$111&lt;&gt;"",'ARDT Cutter Entry'!D115,'ARDT Cutter Entry'!D47))</f>
        <v>S1</v>
      </c>
      <c r="E22" s="167" t="str">
        <f>IF(OR(Data!$L$2=1,Data!$L$3=1),IF(OR(Data!BT50=0,Data!BT50=""),"","O"&amp;Data!BT50),IF('ARDT Cutter Entry'!$C$111&lt;&gt;"",'ARDT Cutter Entry'!E115,'ARDT Cutter Entry'!E47))</f>
        <v>S1</v>
      </c>
      <c r="F22" s="167" t="str">
        <f>IF(OR(Data!$L$2=1,Data!$L$3=1),IF(OR(Data!BU50=0,Data!BU50=""),"","O"&amp;Data!BU50),IF('ARDT Cutter Entry'!$C$111&lt;&gt;"",'ARDT Cutter Entry'!F115,'ARDT Cutter Entry'!F47))</f>
        <v>S1</v>
      </c>
      <c r="G22" s="167" t="str">
        <f>IF(OR(Data!$L$2=1,Data!$L$3=1),IF(OR(Data!BV50=0,Data!BV50=""),"","O"&amp;Data!BV50),IF('ARDT Cutter Entry'!$C$111&lt;&gt;"",'ARDT Cutter Entry'!G115,'ARDT Cutter Entry'!G47))</f>
        <v>S1</v>
      </c>
      <c r="H22" s="167" t="str">
        <f>IF(OR(Data!$L$2=1,Data!$L$3=1),IF(OR(Data!BW50=0,Data!BW50=""),"","O"&amp;Data!BW50),IF('ARDT Cutter Entry'!$C$111&lt;&gt;"",'ARDT Cutter Entry'!H115,'ARDT Cutter Entry'!H47))</f>
        <v>X1</v>
      </c>
      <c r="I22" s="167" t="str">
        <f>IF(OR(Data!$L$2=1,Data!$L$3=1),IF(OR(Data!BX50=0,Data!BX50=""),"","O"&amp;Data!BX50),IF('ARDT Cutter Entry'!$C$111&lt;&gt;"",'ARDT Cutter Entry'!I115,'ARDT Cutter Entry'!I47))</f>
        <v>R1</v>
      </c>
      <c r="J22" s="167" t="str">
        <f>IF(OR(Data!$L$2=1,Data!$L$3=1),IF(OR(Data!BY50=0,Data!BY50=""),"","O"&amp;Data!BY50),IF('ARDT Cutter Entry'!$C$111&lt;&gt;"",'ARDT Cutter Entry'!J115,'ARDT Cutter Entry'!J47))</f>
        <v>X3</v>
      </c>
      <c r="K22" s="167" t="str">
        <f>IF(OR(Data!$L$2=1,Data!$L$3=1),IF(OR(Data!BZ50=0,Data!BZ50=""),"","O"&amp;Data!BZ50),IF('ARDT Cutter Entry'!$C$111&lt;&gt;"",'ARDT Cutter Entry'!K115,'ARDT Cutter Entry'!K47))</f>
        <v/>
      </c>
      <c r="L22" s="167" t="str">
        <f>IF(OR(Data!$L$2=1,Data!$L$3=1),IF(OR(Data!CA50=0,Data!CA50=""),"","O"&amp;Data!CA50),IF('ARDT Cutter Entry'!$C$111&lt;&gt;"",'ARDT Cutter Entry'!L115,'ARDT Cutter Entry'!L47))</f>
        <v>S2</v>
      </c>
      <c r="M22" s="167" t="str">
        <f>IF(OR(Data!$L$2=1,Data!$L$3=1),IF(OR(Data!CB50=0,Data!CB50=""),"","O"&amp;Data!CB50),IF('ARDT Cutter Entry'!$C$111&lt;&gt;"",'ARDT Cutter Entry'!M115,'ARDT Cutter Entry'!M47))</f>
        <v>S2</v>
      </c>
      <c r="N22" s="167" t="str">
        <f>IF(OR(Data!$L$2=1,Data!$L$3=1),IF(OR(Data!CC50=0,Data!CC50=""),"","O"&amp;Data!CC50),IF('ARDT Cutter Entry'!$C$111&lt;&gt;"",'ARDT Cutter Entry'!N115,'ARDT Cutter Entry'!N47))</f>
        <v>X2</v>
      </c>
      <c r="O22" s="167" t="str">
        <f>IF(OR(Data!$L$2=1,Data!$L$3=1),IF(OR(Data!CD50=0,Data!CD50=""),"","O"&amp;Data!CD50),IF('ARDT Cutter Entry'!$C$111&lt;&gt;"",'ARDT Cutter Entry'!O115,'ARDT Cutter Entry'!O47))</f>
        <v>R2</v>
      </c>
      <c r="P22" s="167" t="str">
        <f>IF(OR(Data!$L$2=1,Data!$L$3=1),IF(OR(Data!CE50=0,Data!CE50=""),"","O"&amp;Data!CE50),IF('ARDT Cutter Entry'!$C$111&lt;&gt;"",'ARDT Cutter Entry'!P115,'ARDT Cutter Entry'!P47))</f>
        <v/>
      </c>
      <c r="Q22" s="167" t="str">
        <f>IF(OR(Data!$L$2=1,Data!$L$3=1),IF(OR(Data!CF50=0,Data!CF50=""),"","O"&amp;Data!CF50),IF('ARDT Cutter Entry'!$C$111&lt;&gt;"",'ARDT Cutter Entry'!Q115,'ARDT Cutter Entry'!Q47))</f>
        <v/>
      </c>
      <c r="R22" s="167" t="str">
        <f>IF(OR(Data!$L$2=1,Data!$L$3=1),IF(OR(Data!CG50=0,Data!CG50=""),"","O"&amp;Data!CG50),IF('ARDT Cutter Entry'!$C$111&lt;&gt;"",'ARDT Cutter Entry'!R115,'ARDT Cutter Entry'!R47))</f>
        <v/>
      </c>
      <c r="S22" s="167" t="str">
        <f>IF(OR(Data!$L$2=1,Data!$L$3=1),IF(OR(Data!CH50=0,Data!CH50=""),"","O"&amp;Data!CH50),IF('ARDT Cutter Entry'!$C$111&lt;&gt;"",'ARDT Cutter Entry'!S115,'ARDT Cutter Entry'!S47))</f>
        <v/>
      </c>
      <c r="T22" s="167" t="str">
        <f>IF(OR(Data!$L$2=1,Data!$L$3=1),IF(OR(Data!CI50=0,Data!CI50=""),"","O"&amp;Data!CI50),IF('ARDT Cutter Entry'!$C$111&lt;&gt;"",'ARDT Cutter Entry'!T115,'ARDT Cutter Entry'!T47))</f>
        <v/>
      </c>
      <c r="U22" s="167" t="str">
        <f>IF(OR(Data!$L$2=1,Data!$L$3=1),IF(OR(Data!CJ50=0,Data!CJ50=""),"","O"&amp;Data!CJ50),IF('ARDT Cutter Entry'!$C$111&lt;&gt;"",'ARDT Cutter Entry'!U115,'ARDT Cutter Entry'!U47))</f>
        <v/>
      </c>
      <c r="V22" s="167" t="str">
        <f>IF(OR(Data!$L$2=1,Data!$L$3=1),IF(OR(Data!CK50=0,Data!CK50=""),"","O"&amp;Data!CK50),IF('ARDT Cutter Entry'!$C$111&lt;&gt;"",'ARDT Cutter Entry'!V115,'ARDT Cutter Entry'!V47))</f>
        <v/>
      </c>
      <c r="W22" s="167" t="str">
        <f>IF(OR(Data!$L$2=1,Data!$L$3=1),IF(OR(Data!CL50=0,Data!CL50=""),"","O"&amp;Data!CL50),IF('ARDT Cutter Entry'!$C$111&lt;&gt;"",'ARDT Cutter Entry'!W115,'ARDT Cutter Entry'!W47))</f>
        <v/>
      </c>
      <c r="X22" s="167" t="str">
        <f>IF(OR(Data!$L$2=1,Data!$L$3=1),IF(OR(Data!CM50=0,Data!CM50=""),"","O"&amp;Data!CM50),IF('ARDT Cutter Entry'!$C$111&lt;&gt;"",'ARDT Cutter Entry'!X115,'ARDT Cutter Entry'!X47))</f>
        <v/>
      </c>
      <c r="Y22" s="167" t="str">
        <f>IF(OR(Data!$L$2=1,Data!$L$3=1),IF(OR(Data!CN50=0,Data!CN50=""),"","O"&amp;Data!CN50),IF('ARDT Cutter Entry'!$C$111&lt;&gt;"",'ARDT Cutter Entry'!Y115,'ARDT Cutter Entry'!Y47))</f>
        <v/>
      </c>
      <c r="Z22" s="167" t="str">
        <f>IF(OR(Data!$L$2=1,Data!$L$3=1),IF(OR(Data!CO50=0,Data!CO50=""),"","O"&amp;Data!CO50),IF('ARDT Cutter Entry'!$C$111&lt;&gt;"",'ARDT Cutter Entry'!Z115,'ARDT Cutter Entry'!Z47))</f>
        <v/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5">
      <c r="A23" s="2100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>S1</v>
      </c>
      <c r="D23" s="167" t="str">
        <f>IF(OR(Data!$L$2=1,Data!$L$3=1),IF(OR(Data!BS51=0,Data!BS51=""),"","O"&amp;Data!BS51),IF('ARDT Cutter Entry'!$C$111&lt;&gt;"",'ARDT Cutter Entry'!D116,'ARDT Cutter Entry'!D48))</f>
        <v>X1</v>
      </c>
      <c r="E23" s="167" t="str">
        <f>IF(OR(Data!$L$2=1,Data!$L$3=1),IF(OR(Data!BT51=0,Data!BT51=""),"","O"&amp;Data!BT51),IF('ARDT Cutter Entry'!$C$111&lt;&gt;"",'ARDT Cutter Entry'!E116,'ARDT Cutter Entry'!E48))</f>
        <v>S1</v>
      </c>
      <c r="F23" s="167" t="str">
        <f>IF(OR(Data!$L$2=1,Data!$L$3=1),IF(OR(Data!BU51=0,Data!BU51=""),"","O"&amp;Data!BU51),IF('ARDT Cutter Entry'!$C$111&lt;&gt;"",'ARDT Cutter Entry'!F116,'ARDT Cutter Entry'!F48))</f>
        <v>X1</v>
      </c>
      <c r="G23" s="167" t="str">
        <f>IF(OR(Data!$L$2=1,Data!$L$3=1),IF(OR(Data!BV51=0,Data!BV51=""),"","O"&amp;Data!BV51),IF('ARDT Cutter Entry'!$C$111&lt;&gt;"",'ARDT Cutter Entry'!G116,'ARDT Cutter Entry'!G48))</f>
        <v>X3</v>
      </c>
      <c r="H23" s="167" t="str">
        <f>IF(OR(Data!$L$2=1,Data!$L$3=1),IF(OR(Data!BW51=0,Data!BW51=""),"","O"&amp;Data!BW51),IF('ARDT Cutter Entry'!$C$111&lt;&gt;"",'ARDT Cutter Entry'!H116,'ARDT Cutter Entry'!H48))</f>
        <v/>
      </c>
      <c r="I23" s="167" t="str">
        <f>IF(OR(Data!$L$2=1,Data!$L$3=1),IF(OR(Data!BX51=0,Data!BX51=""),"","O"&amp;Data!BX51),IF('ARDT Cutter Entry'!$C$111&lt;&gt;"",'ARDT Cutter Entry'!I116,'ARDT Cutter Entry'!I48))</f>
        <v/>
      </c>
      <c r="J23" s="167" t="str">
        <f>IF(OR(Data!$L$2=1,Data!$L$3=1),IF(OR(Data!BY51=0,Data!BY51=""),"","O"&amp;Data!BY51),IF('ARDT Cutter Entry'!$C$111&lt;&gt;"",'ARDT Cutter Entry'!J116,'ARDT Cutter Entry'!J48))</f>
        <v/>
      </c>
      <c r="K23" s="167" t="str">
        <f>IF(OR(Data!$L$2=1,Data!$L$3=1),IF(OR(Data!BZ51=0,Data!BZ51=""),"","O"&amp;Data!BZ51),IF('ARDT Cutter Entry'!$C$111&lt;&gt;"",'ARDT Cutter Entry'!K116,'ARDT Cutter Entry'!K48))</f>
        <v/>
      </c>
      <c r="L23" s="167" t="str">
        <f>IF(OR(Data!$L$2=1,Data!$L$3=1),IF(OR(Data!CA51=0,Data!CA51=""),"","O"&amp;Data!CA51),IF('ARDT Cutter Entry'!$C$111&lt;&gt;"",'ARDT Cutter Entry'!L116,'ARDT Cutter Entry'!L48))</f>
        <v>S2</v>
      </c>
      <c r="M23" s="167" t="str">
        <f>IF(OR(Data!$L$2=1,Data!$L$3=1),IF(OR(Data!CB51=0,Data!CB51=""),"","O"&amp;Data!CB51),IF('ARDT Cutter Entry'!$C$111&lt;&gt;"",'ARDT Cutter Entry'!M116,'ARDT Cutter Entry'!M48))</f>
        <v>S2</v>
      </c>
      <c r="N23" s="167" t="str">
        <f>IF(OR(Data!$L$2=1,Data!$L$3=1),IF(OR(Data!CC51=0,Data!CC51=""),"","O"&amp;Data!CC51),IF('ARDT Cutter Entry'!$C$111&lt;&gt;"",'ARDT Cutter Entry'!N116,'ARDT Cutter Entry'!N48))</f>
        <v>S2</v>
      </c>
      <c r="O23" s="167" t="str">
        <f>IF(OR(Data!$L$2=1,Data!$L$3=1),IF(OR(Data!CD51=0,Data!CD51=""),"","O"&amp;Data!CD51),IF('ARDT Cutter Entry'!$C$111&lt;&gt;"",'ARDT Cutter Entry'!O116,'ARDT Cutter Entry'!O48))</f>
        <v>R2</v>
      </c>
      <c r="P23" s="167" t="str">
        <f>IF(OR(Data!$L$2=1,Data!$L$3=1),IF(OR(Data!CE51=0,Data!CE51=""),"","O"&amp;Data!CE51),IF('ARDT Cutter Entry'!$C$111&lt;&gt;"",'ARDT Cutter Entry'!P116,'ARDT Cutter Entry'!P48))</f>
        <v/>
      </c>
      <c r="Q23" s="167" t="str">
        <f>IF(OR(Data!$L$2=1,Data!$L$3=1),IF(OR(Data!CF51=0,Data!CF51=""),"","O"&amp;Data!CF51),IF('ARDT Cutter Entry'!$C$111&lt;&gt;"",'ARDT Cutter Entry'!Q116,'ARDT Cutter Entry'!Q48))</f>
        <v/>
      </c>
      <c r="R23" s="167" t="str">
        <f>IF(OR(Data!$L$2=1,Data!$L$3=1),IF(OR(Data!CG51=0,Data!CG51=""),"","O"&amp;Data!CG51),IF('ARDT Cutter Entry'!$C$111&lt;&gt;"",'ARDT Cutter Entry'!R116,'ARDT Cutter Entry'!R48))</f>
        <v/>
      </c>
      <c r="S23" s="167" t="str">
        <f>IF(OR(Data!$L$2=1,Data!$L$3=1),IF(OR(Data!CH51=0,Data!CH51=""),"","O"&amp;Data!CH51),IF('ARDT Cutter Entry'!$C$111&lt;&gt;"",'ARDT Cutter Entry'!S116,'ARDT Cutter Entry'!S48))</f>
        <v/>
      </c>
      <c r="T23" s="167" t="str">
        <f>IF(OR(Data!$L$2=1,Data!$L$3=1),IF(OR(Data!CI51=0,Data!CI51=""),"","O"&amp;Data!CI51),IF('ARDT Cutter Entry'!$C$111&lt;&gt;"",'ARDT Cutter Entry'!T116,'ARDT Cutter Entry'!T48))</f>
        <v/>
      </c>
      <c r="U23" s="167" t="str">
        <f>IF(OR(Data!$L$2=1,Data!$L$3=1),IF(OR(Data!CJ51=0,Data!CJ51=""),"","O"&amp;Data!CJ51),IF('ARDT Cutter Entry'!$C$111&lt;&gt;"",'ARDT Cutter Entry'!U116,'ARDT Cutter Entry'!U48))</f>
        <v/>
      </c>
      <c r="V23" s="167" t="str">
        <f>IF(OR(Data!$L$2=1,Data!$L$3=1),IF(OR(Data!CK51=0,Data!CK51=""),"","O"&amp;Data!CK51),IF('ARDT Cutter Entry'!$C$111&lt;&gt;"",'ARDT Cutter Entry'!V116,'ARDT Cutter Entry'!V48))</f>
        <v/>
      </c>
      <c r="W23" s="167" t="str">
        <f>IF(OR(Data!$L$2=1,Data!$L$3=1),IF(OR(Data!CL51=0,Data!CL51=""),"","O"&amp;Data!CL51),IF('ARDT Cutter Entry'!$C$111&lt;&gt;"",'ARDT Cutter Entry'!W116,'ARDT Cutter Entry'!W48))</f>
        <v/>
      </c>
      <c r="X23" s="167" t="str">
        <f>IF(OR(Data!$L$2=1,Data!$L$3=1),IF(OR(Data!CM51=0,Data!CM51=""),"","O"&amp;Data!CM51),IF('ARDT Cutter Entry'!$C$111&lt;&gt;"",'ARDT Cutter Entry'!X116,'ARDT Cutter Entry'!X48))</f>
        <v/>
      </c>
      <c r="Y23" s="167" t="str">
        <f>IF(OR(Data!$L$2=1,Data!$L$3=1),IF(OR(Data!CN51=0,Data!CN51=""),"","O"&amp;Data!CN51),IF('ARDT Cutter Entry'!$C$111&lt;&gt;"",'ARDT Cutter Entry'!Y116,'ARDT Cutter Entry'!Y48))</f>
        <v/>
      </c>
      <c r="Z23" s="167" t="str">
        <f>IF(OR(Data!$L$2=1,Data!$L$3=1),IF(OR(Data!CO51=0,Data!CO51=""),"","O"&amp;Data!CO51),IF('ARDT Cutter Entry'!$C$111&lt;&gt;"",'ARDT Cutter Entry'!Z116,'ARDT Cutter Entry'!Z48))</f>
        <v/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5">
      <c r="A24" s="2100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/>
      </c>
      <c r="D24" s="167" t="str">
        <f>IF(OR(Data!$L$2=1,Data!$L$3=1),IF(OR(Data!BS52=0,Data!BS52=""),"","O"&amp;Data!BS52),IF('ARDT Cutter Entry'!$C$111&lt;&gt;"",'ARDT Cutter Entry'!D117,'ARDT Cutter Entry'!D49))</f>
        <v/>
      </c>
      <c r="E24" s="167" t="str">
        <f>IF(OR(Data!$L$2=1,Data!$L$3=1),IF(OR(Data!BT52=0,Data!BT52=""),"","O"&amp;Data!BT52),IF('ARDT Cutter Entry'!$C$111&lt;&gt;"",'ARDT Cutter Entry'!E117,'ARDT Cutter Entry'!E49))</f>
        <v/>
      </c>
      <c r="F24" s="167" t="str">
        <f>IF(OR(Data!$L$2=1,Data!$L$3=1),IF(OR(Data!BU52=0,Data!BU52=""),"","O"&amp;Data!BU52),IF('ARDT Cutter Entry'!$C$111&lt;&gt;"",'ARDT Cutter Entry'!F117,'ARDT Cutter Entry'!F49))</f>
        <v/>
      </c>
      <c r="G24" s="167" t="str">
        <f>IF(OR(Data!$L$2=1,Data!$L$3=1),IF(OR(Data!BV52=0,Data!BV52=""),"","O"&amp;Data!BV52),IF('ARDT Cutter Entry'!$C$111&lt;&gt;"",'ARDT Cutter Entry'!G117,'ARDT Cutter Entry'!G49))</f>
        <v/>
      </c>
      <c r="H24" s="167" t="str">
        <f>IF(OR(Data!$L$2=1,Data!$L$3=1),IF(OR(Data!BW52=0,Data!BW52=""),"","O"&amp;Data!BW52),IF('ARDT Cutter Entry'!$C$111&lt;&gt;"",'ARDT Cutter Entry'!H117,'ARDT Cutter Entry'!H49))</f>
        <v/>
      </c>
      <c r="I24" s="167" t="str">
        <f>IF(OR(Data!$L$2=1,Data!$L$3=1),IF(OR(Data!BX52=0,Data!BX52=""),"","O"&amp;Data!BX52),IF('ARDT Cutter Entry'!$C$111&lt;&gt;"",'ARDT Cutter Entry'!I117,'ARDT Cutter Entry'!I49))</f>
        <v/>
      </c>
      <c r="J24" s="167" t="str">
        <f>IF(OR(Data!$L$2=1,Data!$L$3=1),IF(OR(Data!BY52=0,Data!BY52=""),"","O"&amp;Data!BY52),IF('ARDT Cutter Entry'!$C$111&lt;&gt;"",'ARDT Cutter Entry'!J117,'ARDT Cutter Entry'!J49))</f>
        <v/>
      </c>
      <c r="K24" s="167" t="str">
        <f>IF(OR(Data!$L$2=1,Data!$L$3=1),IF(OR(Data!BZ52=0,Data!BZ52=""),"","O"&amp;Data!BZ52),IF('ARDT Cutter Entry'!$C$111&lt;&gt;"",'ARDT Cutter Entry'!K117,'ARDT Cutter Entry'!K49))</f>
        <v/>
      </c>
      <c r="L24" s="167" t="str">
        <f>IF(OR(Data!$L$2=1,Data!$L$3=1),IF(OR(Data!CA52=0,Data!CA52=""),"","O"&amp;Data!CA52),IF('ARDT Cutter Entry'!$C$111&lt;&gt;"",'ARDT Cutter Entry'!L117,'ARDT Cutter Entry'!L49))</f>
        <v/>
      </c>
      <c r="M24" s="167" t="str">
        <f>IF(OR(Data!$L$2=1,Data!$L$3=1),IF(OR(Data!CB52=0,Data!CB52=""),"","O"&amp;Data!CB52),IF('ARDT Cutter Entry'!$C$111&lt;&gt;"",'ARDT Cutter Entry'!M117,'ARDT Cutter Entry'!M49))</f>
        <v/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/>
      </c>
      <c r="U24" s="167" t="str">
        <f>IF(OR(Data!$L$2=1,Data!$L$3=1),IF(OR(Data!CJ52=0,Data!CJ52=""),"","O"&amp;Data!CJ52),IF('ARDT Cutter Entry'!$C$111&lt;&gt;"",'ARDT Cutter Entry'!U117,'ARDT Cutter Entry'!U49))</f>
        <v/>
      </c>
      <c r="V24" s="167" t="str">
        <f>IF(OR(Data!$L$2=1,Data!$L$3=1),IF(OR(Data!CK52=0,Data!CK52=""),"","O"&amp;Data!CK52),IF('ARDT Cutter Entry'!$C$111&lt;&gt;"",'ARDT Cutter Entry'!V117,'ARDT Cutter Entry'!V49))</f>
        <v/>
      </c>
      <c r="W24" s="167" t="str">
        <f>IF(OR(Data!$L$2=1,Data!$L$3=1),IF(OR(Data!CL52=0,Data!CL52=""),"","O"&amp;Data!CL52),IF('ARDT Cutter Entry'!$C$111&lt;&gt;"",'ARDT Cutter Entry'!W117,'ARDT Cutter Entry'!W49))</f>
        <v/>
      </c>
      <c r="X24" s="167" t="str">
        <f>IF(OR(Data!$L$2=1,Data!$L$3=1),IF(OR(Data!CM52=0,Data!CM52=""),"","O"&amp;Data!CM52),IF('ARDT Cutter Entry'!$C$111&lt;&gt;"",'ARDT Cutter Entry'!X117,'ARDT Cutter Entry'!X49))</f>
        <v/>
      </c>
      <c r="Y24" s="167" t="str">
        <f>IF(OR(Data!$L$2=1,Data!$L$3=1),IF(OR(Data!CN52=0,Data!CN52=""),"","O"&amp;Data!CN52),IF('ARDT Cutter Entry'!$C$111&lt;&gt;"",'ARDT Cutter Entry'!Y117,'ARDT Cutter Entry'!Y49))</f>
        <v/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5">
      <c r="A25" s="2100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/>
      </c>
      <c r="D25" s="167" t="str">
        <f>IF(OR(Data!$L$2=1,Data!$L$3=1),IF(OR(Data!BS53=0,Data!BS53=""),"","O"&amp;Data!BS53),IF('ARDT Cutter Entry'!$C$111&lt;&gt;"",'ARDT Cutter Entry'!D118,'ARDT Cutter Entry'!D50))</f>
        <v/>
      </c>
      <c r="E25" s="167" t="str">
        <f>IF(OR(Data!$L$2=1,Data!$L$3=1),IF(OR(Data!BT53=0,Data!BT53=""),"","O"&amp;Data!BT53),IF('ARDT Cutter Entry'!$C$111&lt;&gt;"",'ARDT Cutter Entry'!E118,'ARDT Cutter Entry'!E50))</f>
        <v/>
      </c>
      <c r="F25" s="167" t="str">
        <f>IF(OR(Data!$L$2=1,Data!$L$3=1),IF(OR(Data!BU53=0,Data!BU53=""),"","O"&amp;Data!BU53),IF('ARDT Cutter Entry'!$C$111&lt;&gt;"",'ARDT Cutter Entry'!F118,'ARDT Cutter Entry'!F50))</f>
        <v/>
      </c>
      <c r="G25" s="167" t="str">
        <f>IF(OR(Data!$L$2=1,Data!$L$3=1),IF(OR(Data!BV53=0,Data!BV53=""),"","O"&amp;Data!BV53),IF('ARDT Cutter Entry'!$C$111&lt;&gt;"",'ARDT Cutter Entry'!G118,'ARDT Cutter Entry'!G50))</f>
        <v/>
      </c>
      <c r="H25" s="167" t="str">
        <f>IF(OR(Data!$L$2=1,Data!$L$3=1),IF(OR(Data!BW53=0,Data!BW53=""),"","O"&amp;Data!BW53),IF('ARDT Cutter Entry'!$C$111&lt;&gt;"",'ARDT Cutter Entry'!H118,'ARDT Cutter Entry'!H50))</f>
        <v/>
      </c>
      <c r="I25" s="167" t="str">
        <f>IF(OR(Data!$L$2=1,Data!$L$3=1),IF(OR(Data!BX53=0,Data!BX53=""),"","O"&amp;Data!BX53),IF('ARDT Cutter Entry'!$C$111&lt;&gt;"",'ARDT Cutter Entry'!I118,'ARDT Cutter Entry'!I50))</f>
        <v/>
      </c>
      <c r="J25" s="167" t="str">
        <f>IF(OR(Data!$L$2=1,Data!$L$3=1),IF(OR(Data!BY53=0,Data!BY53=""),"","O"&amp;Data!BY53),IF('ARDT Cutter Entry'!$C$111&lt;&gt;"",'ARDT Cutter Entry'!J118,'ARDT Cutter Entry'!J50))</f>
        <v/>
      </c>
      <c r="K25" s="167" t="str">
        <f>IF(OR(Data!$L$2=1,Data!$L$3=1),IF(OR(Data!BZ53=0,Data!BZ53=""),"","O"&amp;Data!BZ53),IF('ARDT Cutter Entry'!$C$111&lt;&gt;"",'ARDT Cutter Entry'!K118,'ARDT Cutter Entry'!K50))</f>
        <v/>
      </c>
      <c r="L25" s="167" t="str">
        <f>IF(OR(Data!$L$2=1,Data!$L$3=1),IF(OR(Data!CA53=0,Data!CA53=""),"","O"&amp;Data!CA53),IF('ARDT Cutter Entry'!$C$111&lt;&gt;"",'ARDT Cutter Entry'!L118,'ARDT Cutter Entry'!L50))</f>
        <v/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/>
      </c>
      <c r="U25" s="167" t="str">
        <f>IF(OR(Data!$L$2=1,Data!$L$3=1),IF(OR(Data!CJ53=0,Data!CJ53=""),"","O"&amp;Data!CJ53),IF('ARDT Cutter Entry'!$C$111&lt;&gt;"",'ARDT Cutter Entry'!U118,'ARDT Cutter Entry'!U50))</f>
        <v/>
      </c>
      <c r="V25" s="167" t="str">
        <f>IF(OR(Data!$L$2=1,Data!$L$3=1),IF(OR(Data!CK53=0,Data!CK53=""),"","O"&amp;Data!CK53),IF('ARDT Cutter Entry'!$C$111&lt;&gt;"",'ARDT Cutter Entry'!V118,'ARDT Cutter Entry'!V50))</f>
        <v/>
      </c>
      <c r="W25" s="167" t="str">
        <f>IF(OR(Data!$L$2=1,Data!$L$3=1),IF(OR(Data!CL53=0,Data!CL53=""),"","O"&amp;Data!CL53),IF('ARDT Cutter Entry'!$C$111&lt;&gt;"",'ARDT Cutter Entry'!W118,'ARDT Cutter Entry'!W50))</f>
        <v/>
      </c>
      <c r="X25" s="167" t="str">
        <f>IF(OR(Data!$L$2=1,Data!$L$3=1),IF(OR(Data!CM53=0,Data!CM53=""),"","O"&amp;Data!CM53),IF('ARDT Cutter Entry'!$C$111&lt;&gt;"",'ARDT Cutter Entry'!X118,'ARDT Cutter Entry'!X50))</f>
        <v/>
      </c>
      <c r="Y25" s="167" t="str">
        <f>IF(OR(Data!$L$2=1,Data!$L$3=1),IF(OR(Data!CN53=0,Data!CN53=""),"","O"&amp;Data!CN53),IF('ARDT Cutter Entry'!$C$111&lt;&gt;"",'ARDT Cutter Entry'!Y118,'ARDT Cutter Entry'!Y50))</f>
        <v/>
      </c>
      <c r="Z25" s="167" t="str">
        <f>IF(OR(Data!$L$2=1,Data!$L$3=1),IF(OR(Data!CO53=0,Data!CO53=""),"","O"&amp;Data!CO53),IF('ARDT Cutter Entry'!$C$111&lt;&gt;"",'ARDT Cutter Entry'!Z118,'ARDT Cutter Entry'!Z50))</f>
        <v/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5">
      <c r="A26" s="2100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5">
      <c r="A27" s="2100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5">
      <c r="A28" s="2100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3">
      <c r="A29" s="2101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3">
      <c r="A30" s="505"/>
      <c r="B30" s="506"/>
      <c r="C30" s="506"/>
    </row>
    <row r="31" spans="1:35" ht="15.75" customHeight="1" thickBot="1" x14ac:dyDescent="0.35">
      <c r="A31" s="2090" t="s">
        <v>826</v>
      </c>
      <c r="B31" s="2009"/>
      <c r="C31" s="2009"/>
      <c r="D31" s="2009"/>
      <c r="E31" s="2009"/>
      <c r="F31" s="1975" t="str">
        <f>IF(Data!B11&lt;&gt;"",Data!B11," ")</f>
        <v>Ali Alhammad</v>
      </c>
      <c r="G31" s="1975"/>
      <c r="H31" s="1975"/>
      <c r="I31" s="1975"/>
      <c r="J31" s="2091" t="s">
        <v>949</v>
      </c>
      <c r="K31" s="2091"/>
      <c r="L31" s="2092" t="str">
        <f>IF(Data!B12&lt;&gt;"",Data!B12," ")</f>
        <v>Habeeb Radi</v>
      </c>
      <c r="M31" s="2092"/>
      <c r="N31" s="2092"/>
      <c r="O31" s="2092"/>
      <c r="P31" s="2092"/>
      <c r="Q31" s="2091" t="s">
        <v>1079</v>
      </c>
      <c r="R31" s="2091"/>
      <c r="S31" s="2093">
        <f>IF(Data!B13&lt;&gt;"",Data!B13," ")</f>
        <v>46029</v>
      </c>
      <c r="T31" s="2093"/>
      <c r="U31" s="2093"/>
      <c r="V31" s="2093"/>
      <c r="W31" s="2093"/>
      <c r="X31" s="507"/>
      <c r="Y31" s="498"/>
      <c r="Z31" s="498"/>
      <c r="AA31" s="498"/>
      <c r="AB31" s="498"/>
      <c r="AC31" s="2087" t="s">
        <v>37</v>
      </c>
      <c r="AD31" s="2087"/>
      <c r="AE31" s="2087"/>
      <c r="AF31" s="2087"/>
      <c r="AG31" s="2088" t="str">
        <f>IF(AG33&lt;&gt;"","","√")</f>
        <v>√</v>
      </c>
      <c r="AH31" s="2089"/>
    </row>
    <row r="32" spans="1:35" ht="11.25" customHeight="1" thickBot="1" x14ac:dyDescent="0.3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3">
      <c r="A33" s="2081" t="s">
        <v>1080</v>
      </c>
      <c r="B33" s="2082"/>
      <c r="C33" s="2083"/>
      <c r="D33" s="2081" t="s">
        <v>1081</v>
      </c>
      <c r="E33" s="2082"/>
      <c r="F33" s="2082"/>
      <c r="G33" s="2081" t="s">
        <v>1082</v>
      </c>
      <c r="H33" s="2082"/>
      <c r="I33" s="2083"/>
      <c r="J33" s="2081" t="s">
        <v>1083</v>
      </c>
      <c r="K33" s="2082"/>
      <c r="L33" s="2083"/>
      <c r="M33" s="2081" t="s">
        <v>1084</v>
      </c>
      <c r="N33" s="2082"/>
      <c r="O33" s="2082"/>
      <c r="P33" s="2081" t="s">
        <v>1085</v>
      </c>
      <c r="Q33" s="2082"/>
      <c r="R33" s="2083"/>
      <c r="S33" s="2081" t="s">
        <v>21</v>
      </c>
      <c r="T33" s="2082"/>
      <c r="U33" s="2083"/>
      <c r="AC33" s="2087" t="s">
        <v>38</v>
      </c>
      <c r="AD33" s="2087"/>
      <c r="AE33" s="2087"/>
      <c r="AF33" s="2087"/>
      <c r="AG33" s="2076" t="str">
        <f>IF(Data!L5=1, "√", "")</f>
        <v/>
      </c>
      <c r="AH33" s="2077"/>
    </row>
    <row r="34" spans="1:45" ht="15.75" customHeight="1" thickBot="1" x14ac:dyDescent="0.35">
      <c r="A34" s="2078">
        <f>IF('Eng. Cutter Entry'!C4&lt;&gt;"",'ARDT Cutter Entry'!BI62,'ARDT Cutter Entry'!BI6)</f>
        <v>10</v>
      </c>
      <c r="B34" s="2079"/>
      <c r="C34" s="2080"/>
      <c r="D34" s="2078">
        <f>IF('Eng. Cutter Entry'!C4&lt;&gt;"",'ARDT Cutter Entry'!BI63,'ARDT Cutter Entry'!BI5)</f>
        <v>0</v>
      </c>
      <c r="E34" s="2079"/>
      <c r="F34" s="2079"/>
      <c r="G34" s="2078">
        <f>IF('Eng. Cutter Entry'!C4&lt;&gt;"",'ARDT Cutter Entry'!BI65,'ARDT Cutter Entry'!BI9)</f>
        <v>0</v>
      </c>
      <c r="H34" s="2079"/>
      <c r="I34" s="2080"/>
      <c r="J34" s="2081">
        <f>IF('Eng. Cutter Entry'!C4&lt;&gt;"",'ARDT Cutter Entry'!BI64,'ARDT Cutter Entry'!BI8)</f>
        <v>0</v>
      </c>
      <c r="K34" s="2082"/>
      <c r="L34" s="2083"/>
      <c r="M34" s="2078">
        <f>IF('Eng. Cutter Entry'!C4&lt;&gt;"",'ARDT Cutter Entry'!BI58+'ARDT Cutter Entry'!BI59,'ARDT Cutter Entry'!BI2+'ARDT Cutter Entry'!BI3)</f>
        <v>17</v>
      </c>
      <c r="N34" s="2079"/>
      <c r="O34" s="2079"/>
      <c r="P34" s="2084">
        <f>IF('Eng. Cutter Entry'!C4&lt;&gt;"",'ARDT Cutter Entry'!BI60+'ARDT Cutter Entry'!BI61,'ARDT Cutter Entry'!BI4+'ARDT Cutter Entry'!BI5)</f>
        <v>0</v>
      </c>
      <c r="Q34" s="2085"/>
      <c r="R34" s="2086"/>
      <c r="S34" s="2081">
        <f>IF(Data!BO63&lt;&gt;"",Data!BO63," ")</f>
        <v>62</v>
      </c>
      <c r="T34" s="2082"/>
      <c r="U34" s="2083"/>
      <c r="V34" s="2011"/>
      <c r="W34" s="2011"/>
      <c r="X34" s="2011"/>
      <c r="Y34" s="2011"/>
      <c r="Z34" s="2011"/>
      <c r="AA34" s="498"/>
    </row>
    <row r="35" spans="1:45" ht="5.25" hidden="1" customHeight="1" x14ac:dyDescent="0.25">
      <c r="A35" s="508"/>
      <c r="AH35" s="502"/>
    </row>
    <row r="36" spans="1:45" ht="12.75" customHeight="1" x14ac:dyDescent="0.25">
      <c r="A36" s="2049" t="s">
        <v>19</v>
      </c>
      <c r="B36" s="2050"/>
      <c r="C36" s="2050"/>
      <c r="D36" s="2051"/>
      <c r="E36" s="2058" t="str">
        <f>IF(Data!L2=1,"The bit is Rerunable, No need for repair. ",IF('ARDT Cutter Entry'!Y57=1,"Accepted as rerun by LSTK engineer.",IF('ARDT Cutter Entry'!D21&lt;&gt;"",'ARDT Cutter Entry'!D21," ")))</f>
        <v>Shank need machining, Breaker slot needs cleaning. Build up the following: pockets B1P6, B1P11, B3P7 and B4P6.</v>
      </c>
      <c r="F36" s="2059"/>
      <c r="G36" s="2059"/>
      <c r="H36" s="2059"/>
      <c r="I36" s="2059"/>
      <c r="J36" s="2059"/>
      <c r="K36" s="2059"/>
      <c r="L36" s="2059"/>
      <c r="M36" s="2059"/>
      <c r="N36" s="2059"/>
      <c r="O36" s="2059"/>
      <c r="P36" s="2059"/>
      <c r="Q36" s="2059"/>
      <c r="R36" s="2059"/>
      <c r="S36" s="2059"/>
      <c r="T36" s="2059"/>
      <c r="U36" s="2059"/>
      <c r="V36" s="2059"/>
      <c r="W36" s="2059"/>
      <c r="X36" s="2059"/>
      <c r="Y36" s="2059"/>
      <c r="Z36" s="2059"/>
      <c r="AA36" s="2059"/>
      <c r="AB36" s="2059"/>
      <c r="AC36" s="2059"/>
      <c r="AD36" s="2059"/>
      <c r="AE36" s="2059"/>
      <c r="AF36" s="2059"/>
      <c r="AG36" s="2059"/>
      <c r="AH36" s="2059"/>
      <c r="AI36" s="2060"/>
    </row>
    <row r="37" spans="1:45" ht="16.5" customHeight="1" x14ac:dyDescent="0.25">
      <c r="A37" s="2052"/>
      <c r="B37" s="2053"/>
      <c r="C37" s="2053"/>
      <c r="D37" s="2054"/>
      <c r="E37" s="2061"/>
      <c r="F37" s="2062"/>
      <c r="G37" s="2062"/>
      <c r="H37" s="2062"/>
      <c r="I37" s="2062"/>
      <c r="J37" s="2062"/>
      <c r="K37" s="2062"/>
      <c r="L37" s="2062"/>
      <c r="M37" s="2062"/>
      <c r="N37" s="2062"/>
      <c r="O37" s="2062"/>
      <c r="P37" s="2062"/>
      <c r="Q37" s="2062"/>
      <c r="R37" s="2062"/>
      <c r="S37" s="2062"/>
      <c r="T37" s="2062"/>
      <c r="U37" s="2062"/>
      <c r="V37" s="2062"/>
      <c r="W37" s="2062"/>
      <c r="X37" s="2062"/>
      <c r="Y37" s="2062"/>
      <c r="Z37" s="2062"/>
      <c r="AA37" s="2062"/>
      <c r="AB37" s="2062"/>
      <c r="AC37" s="2062"/>
      <c r="AD37" s="2062"/>
      <c r="AE37" s="2062"/>
      <c r="AF37" s="2062"/>
      <c r="AG37" s="2062"/>
      <c r="AH37" s="2062"/>
      <c r="AI37" s="2063"/>
    </row>
    <row r="38" spans="1:45" ht="15.75" customHeight="1" x14ac:dyDescent="0.25">
      <c r="A38" s="2055"/>
      <c r="B38" s="2056"/>
      <c r="C38" s="2056"/>
      <c r="D38" s="2057"/>
      <c r="E38" s="2064"/>
      <c r="F38" s="2065"/>
      <c r="G38" s="2065"/>
      <c r="H38" s="2065"/>
      <c r="I38" s="2065"/>
      <c r="J38" s="2065"/>
      <c r="K38" s="2065"/>
      <c r="L38" s="2065"/>
      <c r="M38" s="2065"/>
      <c r="N38" s="2065"/>
      <c r="O38" s="2065"/>
      <c r="P38" s="2065"/>
      <c r="Q38" s="2065"/>
      <c r="R38" s="2065"/>
      <c r="S38" s="2065"/>
      <c r="T38" s="2065"/>
      <c r="U38" s="2065"/>
      <c r="V38" s="2065"/>
      <c r="W38" s="2065"/>
      <c r="X38" s="2065"/>
      <c r="Y38" s="2065"/>
      <c r="Z38" s="2065"/>
      <c r="AA38" s="2065"/>
      <c r="AB38" s="2065"/>
      <c r="AC38" s="2065"/>
      <c r="AD38" s="2065"/>
      <c r="AE38" s="2065"/>
      <c r="AF38" s="2065"/>
      <c r="AG38" s="2065"/>
      <c r="AH38" s="2065"/>
      <c r="AI38" s="2066"/>
    </row>
    <row r="39" spans="1:45" ht="15.75" customHeight="1" x14ac:dyDescent="0.25">
      <c r="A39" s="2067" t="s">
        <v>1086</v>
      </c>
      <c r="B39" s="2068"/>
      <c r="C39" s="2068"/>
      <c r="D39" s="2068"/>
      <c r="E39" s="2068"/>
      <c r="F39" s="2068"/>
      <c r="G39" s="2068"/>
      <c r="H39" s="2068"/>
      <c r="I39" s="2069">
        <f>SUM(M34+P34)</f>
        <v>17</v>
      </c>
      <c r="J39" s="2069"/>
      <c r="K39" s="2069"/>
      <c r="L39" s="2069"/>
      <c r="M39" s="2069"/>
      <c r="N39" s="2069"/>
      <c r="O39" s="2069"/>
      <c r="P39" s="2069"/>
      <c r="Q39" s="2069"/>
      <c r="R39" s="2070"/>
      <c r="S39" s="2071"/>
      <c r="T39" s="2071"/>
      <c r="U39" s="2071"/>
      <c r="V39" s="2071"/>
      <c r="W39" s="2071"/>
      <c r="X39" s="2071"/>
      <c r="Y39" s="2071"/>
      <c r="Z39" s="2071"/>
      <c r="AA39" s="2071"/>
      <c r="AB39" s="2071"/>
      <c r="AC39" s="2071"/>
      <c r="AD39" s="2071"/>
      <c r="AE39" s="2071"/>
      <c r="AF39" s="2071"/>
      <c r="AG39" s="2071"/>
      <c r="AH39" s="2071"/>
      <c r="AI39" s="2072"/>
    </row>
    <row r="40" spans="1:45" ht="15.75" customHeight="1" x14ac:dyDescent="0.3">
      <c r="A40" s="2073" t="s">
        <v>1087</v>
      </c>
      <c r="B40" s="2074"/>
      <c r="C40" s="2074"/>
      <c r="D40" s="2074"/>
      <c r="E40" s="2074"/>
      <c r="F40" s="2074"/>
      <c r="G40" s="2074"/>
      <c r="H40" s="2074"/>
      <c r="I40" s="2074"/>
      <c r="J40" s="2074"/>
      <c r="K40" s="2074"/>
      <c r="L40" s="2074"/>
      <c r="M40" s="2074"/>
      <c r="N40" s="2074"/>
      <c r="O40" s="2074"/>
      <c r="P40" s="2074"/>
      <c r="Q40" s="2074"/>
      <c r="R40" s="2074"/>
      <c r="S40" s="2074"/>
      <c r="T40" s="2074"/>
      <c r="U40" s="2074"/>
      <c r="V40" s="2074"/>
      <c r="W40" s="2074"/>
      <c r="X40" s="2074"/>
      <c r="Y40" s="2074"/>
      <c r="Z40" s="2074"/>
      <c r="AA40" s="2074"/>
      <c r="AB40" s="2074"/>
      <c r="AC40" s="2074"/>
      <c r="AD40" s="2074"/>
      <c r="AE40" s="2074"/>
      <c r="AF40" s="2074"/>
      <c r="AG40" s="2074"/>
      <c r="AH40" s="2074"/>
      <c r="AI40" s="2075"/>
    </row>
    <row r="41" spans="1:45" ht="15.75" customHeight="1" x14ac:dyDescent="0.25">
      <c r="A41" s="2048" t="s">
        <v>1088</v>
      </c>
      <c r="B41" s="2039"/>
      <c r="C41" s="2039"/>
      <c r="D41" s="2039"/>
      <c r="E41" s="2039" t="s">
        <v>1088</v>
      </c>
      <c r="F41" s="2039"/>
      <c r="G41" s="2039"/>
      <c r="H41" s="2039" t="s">
        <v>1089</v>
      </c>
      <c r="I41" s="2039"/>
      <c r="J41" s="2039"/>
      <c r="K41" s="2039"/>
      <c r="L41" s="2039" t="s">
        <v>1090</v>
      </c>
      <c r="M41" s="2039"/>
      <c r="N41" s="2039"/>
      <c r="O41" s="2039"/>
      <c r="P41" s="2039" t="s">
        <v>1091</v>
      </c>
      <c r="Q41" s="2039"/>
      <c r="R41" s="2039"/>
      <c r="S41" s="2039"/>
      <c r="T41" s="2039" t="s">
        <v>1092</v>
      </c>
      <c r="U41" s="2041"/>
      <c r="V41" s="2041"/>
      <c r="W41" s="2041"/>
      <c r="X41" s="2039" t="s">
        <v>1093</v>
      </c>
      <c r="Y41" s="2039"/>
      <c r="Z41" s="2039"/>
      <c r="AA41" s="2039"/>
      <c r="AB41" s="2040" t="s">
        <v>16</v>
      </c>
      <c r="AC41" s="2041"/>
      <c r="AD41" s="2041"/>
      <c r="AE41" s="2042"/>
      <c r="AF41" s="2043"/>
      <c r="AG41" s="2043"/>
      <c r="AH41" s="2043"/>
      <c r="AI41" s="2044"/>
    </row>
    <row r="42" spans="1:45" ht="15.75" customHeight="1" thickBot="1" x14ac:dyDescent="0.3">
      <c r="A42" s="614" t="s">
        <v>108</v>
      </c>
      <c r="B42" s="1969" t="s">
        <v>1094</v>
      </c>
      <c r="C42" s="1970"/>
      <c r="D42" s="1971"/>
      <c r="E42" s="2036" t="s">
        <v>1095</v>
      </c>
      <c r="F42" s="2036"/>
      <c r="G42" s="2036"/>
      <c r="H42" s="2036" t="s">
        <v>728</v>
      </c>
      <c r="I42" s="2036"/>
      <c r="J42" s="2036" t="s">
        <v>1096</v>
      </c>
      <c r="K42" s="2036"/>
      <c r="L42" s="2036" t="s">
        <v>728</v>
      </c>
      <c r="M42" s="2036"/>
      <c r="N42" s="2036" t="s">
        <v>1096</v>
      </c>
      <c r="O42" s="2036"/>
      <c r="P42" s="2036" t="s">
        <v>728</v>
      </c>
      <c r="Q42" s="2036"/>
      <c r="R42" s="2036" t="s">
        <v>1096</v>
      </c>
      <c r="S42" s="2036"/>
      <c r="T42" s="2036" t="s">
        <v>728</v>
      </c>
      <c r="U42" s="2036"/>
      <c r="V42" s="2036" t="s">
        <v>1096</v>
      </c>
      <c r="W42" s="2036"/>
      <c r="X42" s="2036" t="s">
        <v>728</v>
      </c>
      <c r="Y42" s="2036"/>
      <c r="Z42" s="2036" t="s">
        <v>1096</v>
      </c>
      <c r="AA42" s="2036"/>
      <c r="AB42" s="2037" t="s">
        <v>1097</v>
      </c>
      <c r="AC42" s="2038"/>
      <c r="AD42" s="2038"/>
      <c r="AE42" s="2045"/>
      <c r="AF42" s="2046"/>
      <c r="AG42" s="2046"/>
      <c r="AH42" s="2046"/>
      <c r="AI42" s="2047"/>
    </row>
    <row r="43" spans="1:45" ht="15.75" customHeight="1" x14ac:dyDescent="0.35">
      <c r="A43" s="615">
        <v>1</v>
      </c>
      <c r="B43" s="1961">
        <f>IF(Data!G12&gt;0,IF(Data!G12&lt;&gt;"", Data!G12, " ")," ")</f>
        <v>1130198</v>
      </c>
      <c r="C43" s="1962"/>
      <c r="D43" s="1963"/>
      <c r="E43" s="2032">
        <f>IF(Data!F12&gt;0,IF(Data!F12&lt;&gt;"", Data!F12, ""),"")</f>
        <v>1613</v>
      </c>
      <c r="F43" s="2033"/>
      <c r="G43" s="2034"/>
      <c r="H43" s="2032">
        <f>IF(Quotation!$W$27=550,0,IF('Eng. Cutter Entry'!C4&lt;&gt;"",IF(Data!K12&gt;0,IF(Data!K12&lt;&gt;"",Data!K12," ")," "),Quotation!D48-Quotation!Q48))</f>
        <v>8</v>
      </c>
      <c r="I43" s="2035"/>
      <c r="J43" s="2030" t="str">
        <f>IF(Data!L12&lt;&gt;0,IF(Quotation!$W$27=550,0,IF(Data!L12&gt;0,IF(Data!L12&lt;&gt;"",Data!L12,0),0)),"")</f>
        <v/>
      </c>
      <c r="K43" s="2031"/>
      <c r="L43" s="2029"/>
      <c r="M43" s="2030"/>
      <c r="N43" s="2030"/>
      <c r="O43" s="2031"/>
      <c r="P43" s="2029"/>
      <c r="Q43" s="2030"/>
      <c r="R43" s="1962"/>
      <c r="S43" s="1963"/>
      <c r="T43" s="2029"/>
      <c r="U43" s="2030"/>
      <c r="V43" s="2030"/>
      <c r="W43" s="2031"/>
      <c r="X43" s="2029"/>
      <c r="Y43" s="2030"/>
      <c r="Z43" s="2030"/>
      <c r="AA43" s="2031"/>
      <c r="AB43" s="2022">
        <f>IF(OR(Data!L4=1,Data!L5=1),0,IF(AND(TRIM(Quotation!S48)&lt;&gt;"",Quotation!S48&lt;&gt;0),Data!GQ2,0))</f>
        <v>497</v>
      </c>
      <c r="AC43" s="2023"/>
      <c r="AD43" s="2024"/>
      <c r="AE43" s="2025">
        <f>AB43*SUM(H43)+L43+P43+T43+X43</f>
        <v>3976</v>
      </c>
      <c r="AF43" s="2026"/>
      <c r="AG43" s="2026"/>
      <c r="AH43" s="2026"/>
      <c r="AI43" s="2027"/>
    </row>
    <row r="44" spans="1:45" ht="15.75" customHeight="1" x14ac:dyDescent="0.35">
      <c r="A44" s="616">
        <v>2</v>
      </c>
      <c r="B44" s="1964">
        <f>IF(Data!G13&gt;0,IF(Data!G13&lt;&gt;"", Data!G13, " ")," ")</f>
        <v>647435</v>
      </c>
      <c r="C44" s="1644"/>
      <c r="D44" s="1965"/>
      <c r="E44" s="1987">
        <f>IF(Data!F13&gt;0,IF(Data!F13&lt;&gt;"", Data!F13, ""),"")</f>
        <v>1608</v>
      </c>
      <c r="F44" s="1988"/>
      <c r="G44" s="1989"/>
      <c r="H44" s="1987">
        <f>IF(Quotation!$W$27=550,0,IF('Eng. Cutter Entry'!C5&lt;&gt;"",IF(Data!K13&gt;0,IF(Data!K13&lt;&gt;"",Data!K13," ")," "),Quotation!D49-Quotation!Q49))</f>
        <v>3</v>
      </c>
      <c r="I44" s="2028"/>
      <c r="J44" s="1992" t="str">
        <f>IF(Data!L13&lt;&gt;0,IF(Quotation!$W$27=550,0,IF(Data!L13&gt;0,IF(Data!L13&lt;&gt;"",Data!L13,0),0)),"")</f>
        <v/>
      </c>
      <c r="K44" s="1993"/>
      <c r="L44" s="1984"/>
      <c r="M44" s="1985"/>
      <c r="N44" s="1985"/>
      <c r="O44" s="1986"/>
      <c r="P44" s="1984"/>
      <c r="Q44" s="1985"/>
      <c r="R44" s="1644"/>
      <c r="S44" s="1965"/>
      <c r="T44" s="1984"/>
      <c r="U44" s="1985"/>
      <c r="V44" s="1985"/>
      <c r="W44" s="1986"/>
      <c r="X44" s="1984"/>
      <c r="Y44" s="1985"/>
      <c r="Z44" s="1985"/>
      <c r="AA44" s="1986"/>
      <c r="AB44" s="2019">
        <f>IF(OR(Data!L4=1,Data!L5=1),0,IF(AND(TRIM(Quotation!S49)&lt;&gt;"",Quotation!S49&lt;&gt;0),Data!GQ3,0))</f>
        <v>497</v>
      </c>
      <c r="AC44" s="2020"/>
      <c r="AD44" s="2021"/>
      <c r="AE44" s="2013">
        <f t="shared" ref="AE44:AE49" si="0">AB44*SUM(H44:Z44)</f>
        <v>1491</v>
      </c>
      <c r="AF44" s="2014"/>
      <c r="AG44" s="2014"/>
      <c r="AH44" s="2014"/>
      <c r="AI44" s="2015"/>
      <c r="AS44" s="491">
        <v>853551</v>
      </c>
    </row>
    <row r="45" spans="1:45" ht="15.75" customHeight="1" x14ac:dyDescent="0.35">
      <c r="A45" s="616">
        <v>3</v>
      </c>
      <c r="B45" s="1964">
        <f>IF(Data!G14&gt;0,IF(Data!G14&lt;&gt;"", Data!G14, " ")," ")</f>
        <v>418525</v>
      </c>
      <c r="C45" s="1644"/>
      <c r="D45" s="1965"/>
      <c r="E45" s="1987">
        <f>IF(Data!F14&gt;0,IF(Data!F14&lt;&gt;"", Data!F14, ""),"")</f>
        <v>1308</v>
      </c>
      <c r="F45" s="1988"/>
      <c r="G45" s="1989"/>
      <c r="H45" s="1990">
        <f>IF(Quotation!$W$27=550,0,IF('Eng. Cutter Entry'!C6&lt;&gt;"",IF(Data!K14&gt;0,IF(Data!K14&lt;&gt;"",Data!K14," ")," "),Quotation!D50-Quotation!Q50))</f>
        <v>6</v>
      </c>
      <c r="I45" s="1991"/>
      <c r="J45" s="1992" t="str">
        <f>IF(Data!L14&lt;&gt;0,IF(Quotation!$W$27=550,0,IF(Data!L14&gt;0,IF(Data!L14&lt;&gt;"",Data!L14,0),0)),"")</f>
        <v/>
      </c>
      <c r="K45" s="1993"/>
      <c r="L45" s="1984"/>
      <c r="M45" s="1985"/>
      <c r="N45" s="1985"/>
      <c r="O45" s="1986"/>
      <c r="P45" s="1984"/>
      <c r="Q45" s="1985"/>
      <c r="R45" s="1985"/>
      <c r="S45" s="1986"/>
      <c r="T45" s="1984"/>
      <c r="U45" s="1985"/>
      <c r="V45" s="1985"/>
      <c r="W45" s="1986"/>
      <c r="X45" s="1984"/>
      <c r="Y45" s="1985"/>
      <c r="Z45" s="1985"/>
      <c r="AA45" s="1986"/>
      <c r="AB45" s="2019">
        <f>IF(OR(Data!L4=1,Data!L5=1),0,IF(AND(TRIM(Quotation!S50)&lt;&gt;"",Quotation!S50&lt;&gt;0),Data!GQ4,0))</f>
        <v>100</v>
      </c>
      <c r="AC45" s="2020"/>
      <c r="AD45" s="2021"/>
      <c r="AE45" s="2013">
        <f t="shared" si="0"/>
        <v>600</v>
      </c>
      <c r="AF45" s="2014"/>
      <c r="AG45" s="2014"/>
      <c r="AH45" s="2014"/>
      <c r="AI45" s="2015"/>
      <c r="AS45" s="491">
        <v>983150</v>
      </c>
    </row>
    <row r="46" spans="1:45" ht="15.75" customHeight="1" x14ac:dyDescent="0.35">
      <c r="A46" s="616">
        <v>4</v>
      </c>
      <c r="B46" s="1964" t="str">
        <f>IF(Data!G15&gt;0,IF(Data!G15&lt;&gt;"", Data!G15, " ")," ")</f>
        <v xml:space="preserve"> </v>
      </c>
      <c r="C46" s="1644"/>
      <c r="D46" s="1965"/>
      <c r="E46" s="1987" t="str">
        <f>IF(Data!F15&gt;0,IF(Data!F15&lt;&gt;"", Data!F15, ""),"")</f>
        <v xml:space="preserve"> </v>
      </c>
      <c r="F46" s="1988"/>
      <c r="G46" s="1989"/>
      <c r="H46" s="1990">
        <f>IF(Quotation!$W$27=550,0,IF('Eng. Cutter Entry'!C7&lt;&gt;"",IF(Data!K15&gt;0,IF(Data!K15&lt;&gt;"",Data!K15," ")," "),Quotation!D51-Quotation!Q51))</f>
        <v>0</v>
      </c>
      <c r="I46" s="1991"/>
      <c r="J46" s="1992" t="str">
        <f>IF(Data!L15&lt;&gt;0,IF(Quotation!$W$27=550,0,IF(Data!L15&gt;0,IF(Data!L15&lt;&gt;"",Data!L15,0),0)),"")</f>
        <v/>
      </c>
      <c r="K46" s="1993"/>
      <c r="L46" s="1984"/>
      <c r="M46" s="1985"/>
      <c r="N46" s="1985"/>
      <c r="O46" s="1986"/>
      <c r="P46" s="1984"/>
      <c r="Q46" s="1985"/>
      <c r="R46" s="1985"/>
      <c r="S46" s="1986"/>
      <c r="T46" s="1984" t="s">
        <v>304</v>
      </c>
      <c r="U46" s="1985"/>
      <c r="V46" s="1985"/>
      <c r="W46" s="1986"/>
      <c r="X46" s="1984"/>
      <c r="Y46" s="1985"/>
      <c r="Z46" s="1985"/>
      <c r="AA46" s="1986"/>
      <c r="AB46" s="2019">
        <f>IF(OR(Data!L4=1,Data!L5=1),0,IF(AND(TRIM(Quotation!S51)&lt;&gt;"",Quotation!S51&lt;&gt;0),Data!GQ5,0))</f>
        <v>0</v>
      </c>
      <c r="AC46" s="2020"/>
      <c r="AD46" s="2021"/>
      <c r="AE46" s="2013">
        <f>AB46*SUM(H46:Z46)</f>
        <v>0</v>
      </c>
      <c r="AF46" s="2014"/>
      <c r="AG46" s="2014"/>
      <c r="AH46" s="2014"/>
      <c r="AI46" s="2015"/>
      <c r="AS46" s="491">
        <v>625854</v>
      </c>
    </row>
    <row r="47" spans="1:45" ht="15.75" customHeight="1" x14ac:dyDescent="0.35">
      <c r="A47" s="616">
        <v>5</v>
      </c>
      <c r="B47" s="1964" t="str">
        <f>IF(Data!G16&gt;0,IF(Data!G16&lt;&gt;"", Data!G16, " ")," ")</f>
        <v xml:space="preserve"> </v>
      </c>
      <c r="C47" s="1644"/>
      <c r="D47" s="1965"/>
      <c r="E47" s="1987" t="str">
        <f>IF(Data!F16&gt;0,IF(Data!F16&lt;&gt;"", Data!F16, ""),"")</f>
        <v xml:space="preserve"> </v>
      </c>
      <c r="F47" s="1988"/>
      <c r="G47" s="1989"/>
      <c r="H47" s="1990">
        <f>IF(Quotation!$W$27=550,0,IF('Eng. Cutter Entry'!C8&lt;&gt;"",IF(Data!K16&gt;0,IF(Data!K16&lt;&gt;"",Data!K16," ")," "),Quotation!D52-Quotation!Q52))</f>
        <v>0</v>
      </c>
      <c r="I47" s="1991"/>
      <c r="J47" s="1992" t="str">
        <f>IF(Data!L16&lt;&gt;0,IF(Quotation!$W$27=550,0,IF(Data!L16&gt;0,IF(Data!L16&lt;&gt;"",Data!L16,0),0)),"")</f>
        <v/>
      </c>
      <c r="K47" s="1993"/>
      <c r="L47" s="1984"/>
      <c r="M47" s="1985"/>
      <c r="N47" s="1985"/>
      <c r="O47" s="1986"/>
      <c r="P47" s="1984"/>
      <c r="Q47" s="1985"/>
      <c r="R47" s="1985"/>
      <c r="S47" s="1986"/>
      <c r="T47" s="1984"/>
      <c r="U47" s="1985"/>
      <c r="V47" s="1985"/>
      <c r="W47" s="1986"/>
      <c r="X47" s="1984"/>
      <c r="Y47" s="1985"/>
      <c r="Z47" s="1985"/>
      <c r="AA47" s="1986"/>
      <c r="AB47" s="2019">
        <f>IF(OR(Data!L4=1,Data!L5=1),0,IF(AND(TRIM(Quotation!S52)&lt;&gt;"",Quotation!S52&lt;&gt;0),Data!GQ6,0))</f>
        <v>0</v>
      </c>
      <c r="AC47" s="2020"/>
      <c r="AD47" s="2021"/>
      <c r="AE47" s="2013">
        <f t="shared" si="0"/>
        <v>0</v>
      </c>
      <c r="AF47" s="2014"/>
      <c r="AG47" s="2014"/>
      <c r="AH47" s="2014"/>
      <c r="AI47" s="2015"/>
      <c r="AS47" s="491">
        <v>418525</v>
      </c>
    </row>
    <row r="48" spans="1:45" ht="15.75" customHeight="1" x14ac:dyDescent="0.35">
      <c r="A48" s="616">
        <v>6</v>
      </c>
      <c r="B48" s="1964" t="str">
        <f>IF(Data!G17&gt;0,IF(Data!G17&lt;&gt;"", Data!G17, " ")," ")</f>
        <v xml:space="preserve"> </v>
      </c>
      <c r="C48" s="1644"/>
      <c r="D48" s="1965"/>
      <c r="E48" s="1987" t="str">
        <f>IF(Data!F17&gt;0,IF(Data!F17&lt;&gt;"", Data!F17, ""),"")</f>
        <v xml:space="preserve"> </v>
      </c>
      <c r="F48" s="1988"/>
      <c r="G48" s="1989"/>
      <c r="H48" s="1990">
        <f>IF(Quotation!$W$27=550,0,IF('Eng. Cutter Entry'!C9&lt;&gt;"",IF(Data!K17&gt;0,IF(Data!K17&lt;&gt;"",Data!K17," ")," "),Quotation!D53-Quotation!Q53))</f>
        <v>0</v>
      </c>
      <c r="I48" s="1991"/>
      <c r="J48" s="1992" t="str">
        <f>IF(Data!L17&lt;&gt;0,IF(Quotation!$W$27=550,0,IF(Data!L17&gt;0,IF(Data!L17&lt;&gt;"",Data!L17,0),0)),"")</f>
        <v/>
      </c>
      <c r="K48" s="1993"/>
      <c r="L48" s="1984"/>
      <c r="M48" s="1985"/>
      <c r="N48" s="1985"/>
      <c r="O48" s="1986"/>
      <c r="P48" s="1984"/>
      <c r="Q48" s="1985"/>
      <c r="R48" s="1985"/>
      <c r="S48" s="1986"/>
      <c r="T48" s="1984"/>
      <c r="U48" s="1985"/>
      <c r="V48" s="1985"/>
      <c r="W48" s="1986"/>
      <c r="X48" s="1984"/>
      <c r="Y48" s="1985"/>
      <c r="Z48" s="1985"/>
      <c r="AA48" s="1986"/>
      <c r="AB48" s="2019">
        <f>IF(OR(Data!L4=1,Data!L5=1),0,IF(AND(TRIM(Quotation!S53)&lt;&gt;"",Quotation!S53&lt;&gt;0),Data!GQ7,0))</f>
        <v>0</v>
      </c>
      <c r="AC48" s="2020"/>
      <c r="AD48" s="2021"/>
      <c r="AE48" s="2013">
        <f t="shared" si="0"/>
        <v>0</v>
      </c>
      <c r="AF48" s="2014"/>
      <c r="AG48" s="2014"/>
      <c r="AH48" s="2014"/>
      <c r="AI48" s="2015"/>
    </row>
    <row r="49" spans="1:46" ht="15.75" customHeight="1" thickBot="1" x14ac:dyDescent="0.4">
      <c r="A49" s="617">
        <v>7</v>
      </c>
      <c r="B49" s="1966" t="str">
        <f>IF(Data!G18&gt;0,IF(Data!G18&lt;&gt;"", Data!G18, " ")," ")</f>
        <v xml:space="preserve"> </v>
      </c>
      <c r="C49" s="1967"/>
      <c r="D49" s="1968"/>
      <c r="E49" s="1974" t="str">
        <f>IF(Data!F18&gt;0,IF(Data!F18&lt;&gt;"", Data!F18, ""),"")</f>
        <v xml:space="preserve"> </v>
      </c>
      <c r="F49" s="1975"/>
      <c r="G49" s="1976"/>
      <c r="H49" s="1977">
        <f>IF(Quotation!$W$27=550,0,IF('Eng. Cutter Entry'!C10&lt;&gt;"",IF(Data!K18&gt;0,IF(Data!K18&lt;&gt;"",Data!K18," ")," "),Quotation!D54-Quotation!Q54))</f>
        <v>0</v>
      </c>
      <c r="I49" s="1978"/>
      <c r="J49" s="1979" t="str">
        <f>IF(Data!L18&lt;&gt;0,IF(Quotation!$W$27=550,0,IF(Data!L18&gt;0,IF(Data!L18&lt;&gt;"",Data!L18,0),0)),"")</f>
        <v/>
      </c>
      <c r="K49" s="1980"/>
      <c r="L49" s="1981"/>
      <c r="M49" s="1982"/>
      <c r="N49" s="1982"/>
      <c r="O49" s="1983"/>
      <c r="P49" s="1981"/>
      <c r="Q49" s="1982"/>
      <c r="R49" s="1982"/>
      <c r="S49" s="1983"/>
      <c r="T49" s="1981"/>
      <c r="U49" s="1982"/>
      <c r="V49" s="1982"/>
      <c r="W49" s="1983"/>
      <c r="X49" s="1981"/>
      <c r="Y49" s="1982"/>
      <c r="Z49" s="1982"/>
      <c r="AA49" s="1983"/>
      <c r="AB49" s="2016">
        <f>IF(OR(Data!L4=1,Data!L5=1),0,IF(AND(TRIM(Quotation!S54)&lt;&gt;"",Quotation!S54&lt;&gt;0),Data!GQ8,0))</f>
        <v>0</v>
      </c>
      <c r="AC49" s="2017"/>
      <c r="AD49" s="2018"/>
      <c r="AE49" s="2013">
        <f t="shared" si="0"/>
        <v>0</v>
      </c>
      <c r="AF49" s="2014"/>
      <c r="AG49" s="2014"/>
      <c r="AH49" s="2014"/>
      <c r="AI49" s="2015"/>
    </row>
    <row r="50" spans="1:46" ht="15.75" customHeight="1" x14ac:dyDescent="0.3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2013">
        <f>IF(Data!L5=1,550,IF(Data!L2=1,550,IF(Data!B28="",IF(OR(COUNTIF(Data!B43,"*x*"),COUNTIF(Data!B43,"*X*")),Data!F109,IF(OR(Data!B7="ARDTS",Data!B7="Halliburton Reg."),Data!C109,0)),Data!B28)))</f>
        <v>0</v>
      </c>
      <c r="AF50" s="2014"/>
      <c r="AG50" s="2014"/>
      <c r="AH50" s="2014"/>
      <c r="AI50" s="2015"/>
    </row>
    <row r="51" spans="1:46" ht="15.75" customHeight="1" x14ac:dyDescent="0.3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11</v>
      </c>
      <c r="Y51" s="520" t="s">
        <v>1100</v>
      </c>
      <c r="Z51" s="517"/>
      <c r="AA51" s="519" t="s">
        <v>110</v>
      </c>
      <c r="AB51" s="1995">
        <v>60</v>
      </c>
      <c r="AC51" s="1995"/>
      <c r="AD51" s="1995"/>
      <c r="AE51" s="2013">
        <f>IF(Data!L5=1,0,IF(Data!L2=1,0,SUM(X51*AB51)))</f>
        <v>660</v>
      </c>
      <c r="AF51" s="2014"/>
      <c r="AG51" s="2014"/>
      <c r="AH51" s="2014"/>
      <c r="AI51" s="2015"/>
      <c r="AT51" s="491" t="s">
        <v>1101</v>
      </c>
    </row>
    <row r="52" spans="1:46" ht="15.75" customHeight="1" x14ac:dyDescent="0.3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2013">
        <f>IF(OR(Data!L4=1,Data!L5=1),0,IF(Data!G31&lt;&gt;"",Data!G31,0))</f>
        <v>0</v>
      </c>
      <c r="AF52" s="2014"/>
      <c r="AG52" s="2014"/>
      <c r="AH52" s="2014"/>
      <c r="AI52" s="2015"/>
    </row>
    <row r="53" spans="1:46" ht="15.75" customHeight="1" x14ac:dyDescent="0.3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2013">
        <f>IF(Data!L5=1,0,IF(Data!L2=1,0,IF(Data!G32=1,Data!G108,0)))</f>
        <v>0</v>
      </c>
      <c r="AF53" s="2014"/>
      <c r="AG53" s="2014"/>
      <c r="AH53" s="2014"/>
      <c r="AI53" s="2015"/>
    </row>
    <row r="54" spans="1:46" ht="15.75" customHeight="1" thickBot="1" x14ac:dyDescent="0.3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1972">
        <v>90</v>
      </c>
      <c r="AC54" s="1972"/>
      <c r="AD54" s="1973"/>
      <c r="AE54" s="1994">
        <f>IF(Data!L5=1,0,IF(Data!L2=1,0,SUM(X54*AB54)))</f>
        <v>0</v>
      </c>
      <c r="AF54" s="1995"/>
      <c r="AG54" s="1995"/>
      <c r="AH54" s="1995"/>
      <c r="AI54" s="1996"/>
    </row>
    <row r="55" spans="1:46" ht="15.75" customHeight="1" thickBot="1" x14ac:dyDescent="0.35">
      <c r="A55" s="1997" t="s">
        <v>1401</v>
      </c>
      <c r="B55" s="1998"/>
      <c r="C55" s="1998"/>
      <c r="D55" s="1998"/>
      <c r="E55" s="1998"/>
      <c r="F55" s="1998"/>
      <c r="G55" s="1998"/>
      <c r="H55" s="1998"/>
      <c r="I55" s="1998"/>
      <c r="J55" s="1998"/>
      <c r="K55" s="1998"/>
      <c r="L55" s="1998"/>
      <c r="M55" s="1998"/>
      <c r="N55" s="1998"/>
      <c r="O55" s="1998"/>
      <c r="P55" s="1998"/>
      <c r="Q55" s="1998"/>
      <c r="R55" s="1998"/>
      <c r="S55" s="1999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2000">
        <f>IF(OR(Data!L4=1,Data!L5=1),0,100)</f>
        <v>100</v>
      </c>
      <c r="Z55" s="2001"/>
      <c r="AA55" s="2001"/>
      <c r="AB55" s="2002"/>
      <c r="AC55" s="528"/>
      <c r="AD55" s="528"/>
      <c r="AE55" s="2003">
        <f>IF(Data!L5=1,0,IF(Data!L2=1,0,SUM(W55*Y55)))</f>
        <v>0</v>
      </c>
      <c r="AF55" s="1972"/>
      <c r="AG55" s="1972"/>
      <c r="AH55" s="1972"/>
      <c r="AI55" s="1973"/>
    </row>
    <row r="56" spans="1:46" ht="15.75" customHeight="1" thickBot="1" x14ac:dyDescent="0.4">
      <c r="W56" s="2004"/>
      <c r="X56" s="2004"/>
      <c r="AA56" s="2004" t="s">
        <v>21</v>
      </c>
      <c r="AB56" s="2004"/>
      <c r="AC56" s="2005"/>
      <c r="AD56" s="2006">
        <f>SUM(AE43:AI55)</f>
        <v>6727</v>
      </c>
      <c r="AE56" s="2007"/>
      <c r="AF56" s="2007"/>
      <c r="AG56" s="2007"/>
      <c r="AH56" s="2007"/>
      <c r="AI56" s="2008"/>
    </row>
    <row r="57" spans="1:46" ht="15.75" customHeight="1" thickBot="1" x14ac:dyDescent="0.35">
      <c r="A57" s="2009" t="s">
        <v>1105</v>
      </c>
      <c r="B57" s="2009"/>
      <c r="C57" s="2009"/>
      <c r="D57" s="2009"/>
      <c r="E57" s="2009"/>
      <c r="F57" s="2009"/>
      <c r="G57" s="2009"/>
      <c r="H57" s="2010" t="str">
        <f>IF(Data!B19&lt;&gt;"",Data!B19," ")</f>
        <v xml:space="preserve"> </v>
      </c>
      <c r="I57" s="2010"/>
      <c r="J57" s="2010"/>
      <c r="K57" s="2010"/>
      <c r="L57" s="2010"/>
      <c r="M57" s="2010"/>
      <c r="N57" s="498"/>
      <c r="O57" s="2011" t="s">
        <v>1079</v>
      </c>
      <c r="P57" s="2011"/>
      <c r="Q57" s="2012" t="str">
        <f>IF(Data!B20&lt;&gt;"",Data!B20," ")</f>
        <v xml:space="preserve"> </v>
      </c>
      <c r="R57" s="1975"/>
      <c r="S57" s="1975"/>
      <c r="T57" s="1975"/>
      <c r="U57" s="1975"/>
      <c r="W57" s="2011" t="s">
        <v>831</v>
      </c>
      <c r="X57" s="2011"/>
      <c r="Y57" s="2011"/>
      <c r="Z57" s="2011"/>
      <c r="AA57" s="2011"/>
      <c r="AB57" s="2010" t="str">
        <f>IF(Data!B21&lt;&gt;"",Data!B21," ")</f>
        <v xml:space="preserve"> </v>
      </c>
      <c r="AC57" s="2010"/>
      <c r="AD57" s="2010"/>
      <c r="AE57" s="2010"/>
      <c r="AF57" s="2010"/>
      <c r="AG57" s="2010"/>
      <c r="AH57" s="2010"/>
    </row>
    <row r="58" spans="1:46" ht="15.75" customHeight="1" x14ac:dyDescent="0.25">
      <c r="Q58" s="529"/>
      <c r="R58" s="529"/>
      <c r="S58" s="529"/>
      <c r="T58" s="529"/>
      <c r="U58" s="529"/>
    </row>
    <row r="59" spans="1:46" ht="13" x14ac:dyDescent="0.3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</mergeCells>
  <conditionalFormatting sqref="A34:U34">
    <cfRule type="cellIs" dxfId="194" priority="2" operator="equal">
      <formula>0</formula>
    </cfRule>
  </conditionalFormatting>
  <conditionalFormatting sqref="I39:Q39">
    <cfRule type="cellIs" dxfId="19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ColWidth="9.1796875" defaultRowHeight="13" x14ac:dyDescent="0.35"/>
  <cols>
    <col min="1" max="1" width="5.81640625" style="1028" customWidth="1"/>
    <col min="2" max="2" width="17" style="1028" customWidth="1"/>
    <col min="3" max="4" width="7.453125" style="1028" customWidth="1"/>
    <col min="5" max="6" width="13.54296875" style="1028" customWidth="1"/>
    <col min="7" max="7" width="1.54296875" style="1028" customWidth="1"/>
    <col min="8" max="8" width="2.81640625" style="1028" customWidth="1"/>
    <col min="9" max="9" width="11" style="1028" customWidth="1"/>
    <col min="10" max="10" width="3" style="1028" customWidth="1"/>
    <col min="11" max="11" width="7.26953125" style="1028" customWidth="1"/>
    <col min="12" max="12" width="18.7265625" style="1028" customWidth="1"/>
    <col min="13" max="16384" width="9.1796875" style="1028"/>
  </cols>
  <sheetData>
    <row r="1" spans="1:12" ht="20.25" customHeight="1" x14ac:dyDescent="0.35">
      <c r="A1" s="2127" t="s">
        <v>2379</v>
      </c>
      <c r="B1" s="2128"/>
      <c r="C1" s="2128"/>
      <c r="D1" s="2128"/>
      <c r="E1" s="2128"/>
      <c r="F1" s="2128"/>
      <c r="G1" s="2129"/>
      <c r="H1" s="2133" t="s">
        <v>2380</v>
      </c>
      <c r="I1" s="2134"/>
      <c r="J1" s="2134"/>
      <c r="K1" s="2134"/>
      <c r="L1" s="2135"/>
    </row>
    <row r="2" spans="1:12" ht="20.25" customHeight="1" x14ac:dyDescent="0.35">
      <c r="A2" s="2130"/>
      <c r="B2" s="2131"/>
      <c r="C2" s="2131"/>
      <c r="D2" s="2131"/>
      <c r="E2" s="2131"/>
      <c r="F2" s="2131"/>
      <c r="G2" s="2132"/>
      <c r="H2" s="2136" t="s">
        <v>2381</v>
      </c>
      <c r="I2" s="2137"/>
      <c r="J2" s="2137"/>
      <c r="K2" s="2137"/>
      <c r="L2" s="2138"/>
    </row>
    <row r="3" spans="1:12" ht="20.25" customHeight="1" x14ac:dyDescent="0.35">
      <c r="A3" s="2139" t="s">
        <v>2382</v>
      </c>
      <c r="B3" s="2140"/>
      <c r="C3" s="2140"/>
      <c r="D3" s="2140"/>
      <c r="E3" s="2140"/>
      <c r="F3" s="2140"/>
      <c r="G3" s="2141"/>
      <c r="H3" s="2136" t="s">
        <v>2383</v>
      </c>
      <c r="I3" s="2137"/>
      <c r="J3" s="2137"/>
      <c r="K3" s="2137"/>
      <c r="L3" s="2138"/>
    </row>
    <row r="4" spans="1:12" ht="20.25" customHeight="1" thickBot="1" x14ac:dyDescent="0.4">
      <c r="A4" s="2142"/>
      <c r="B4" s="2143"/>
      <c r="C4" s="2143"/>
      <c r="D4" s="2143"/>
      <c r="E4" s="2143"/>
      <c r="F4" s="2143"/>
      <c r="G4" s="2144"/>
      <c r="H4" s="2145" t="s">
        <v>2384</v>
      </c>
      <c r="I4" s="2146"/>
      <c r="J4" s="2146"/>
      <c r="K4" s="2146"/>
      <c r="L4" s="2147"/>
    </row>
    <row r="5" spans="1:12" ht="46.5" customHeight="1" thickBot="1" x14ac:dyDescent="0.4">
      <c r="A5" s="1036" t="s">
        <v>2410</v>
      </c>
      <c r="B5" s="1043" t="str">
        <f>IF(Data!B1&lt;&gt;"", Data!B1, " ")</f>
        <v>2025-AR-109</v>
      </c>
      <c r="C5" s="1036" t="s">
        <v>1032</v>
      </c>
      <c r="D5" s="2148">
        <f>IF(Data!B2&lt;&gt;"", Data!B2, " ")</f>
        <v>13845937</v>
      </c>
      <c r="E5" s="2149"/>
      <c r="F5" s="1036" t="s">
        <v>1894</v>
      </c>
      <c r="G5" s="2148" t="str">
        <f>IF(LEN(Data!B3)&gt;3,IF(AND(Data!B43&lt;&gt;"",Data!B43&lt;&gt;"0 0/1"""),Data!B43,""),IF(Data!B3&lt;&gt;"",Data!B3&amp;"""",""))</f>
        <v>8 3/8"</v>
      </c>
      <c r="H5" s="2148"/>
      <c r="I5" s="2149"/>
      <c r="J5" s="2150" t="s">
        <v>1895</v>
      </c>
      <c r="K5" s="2151"/>
      <c r="L5" s="1043" t="str">
        <f>IF(Data!B4&lt;&gt;"",Data!B4," ")</f>
        <v>MM65DH-1</v>
      </c>
    </row>
    <row r="6" spans="1:12" ht="37.5" customHeight="1" x14ac:dyDescent="0.35">
      <c r="A6" s="2119" t="s">
        <v>2385</v>
      </c>
      <c r="B6" s="2119" t="s">
        <v>2386</v>
      </c>
      <c r="C6" s="2121" t="s">
        <v>2377</v>
      </c>
      <c r="D6" s="2122"/>
      <c r="E6" s="2122"/>
      <c r="F6" s="2122"/>
      <c r="G6" s="2122"/>
      <c r="H6" s="2123"/>
      <c r="I6" s="2124" t="s">
        <v>2387</v>
      </c>
      <c r="J6" s="2125"/>
      <c r="K6" s="2125"/>
      <c r="L6" s="2126"/>
    </row>
    <row r="7" spans="1:12" ht="38.25" customHeight="1" x14ac:dyDescent="0.35">
      <c r="A7" s="2120"/>
      <c r="B7" s="2120"/>
      <c r="C7" s="1035" t="s">
        <v>2388</v>
      </c>
      <c r="D7" s="1029" t="s">
        <v>2389</v>
      </c>
      <c r="E7" s="2158" t="s">
        <v>2390</v>
      </c>
      <c r="F7" s="2159"/>
      <c r="G7" s="2159"/>
      <c r="H7" s="2160"/>
      <c r="I7" s="1037" t="s">
        <v>2378</v>
      </c>
      <c r="J7" s="2152" t="s">
        <v>2390</v>
      </c>
      <c r="K7" s="2153"/>
      <c r="L7" s="2154"/>
    </row>
    <row r="8" spans="1:12" ht="57.75" customHeight="1" x14ac:dyDescent="0.35">
      <c r="A8" s="1032">
        <v>1</v>
      </c>
      <c r="B8" s="1033" t="s">
        <v>2391</v>
      </c>
      <c r="C8" s="1034"/>
      <c r="D8" s="1031"/>
      <c r="E8" s="1030"/>
      <c r="F8" s="2155"/>
      <c r="G8" s="2156"/>
      <c r="H8" s="2157"/>
      <c r="I8" s="1034"/>
      <c r="J8" s="2155"/>
      <c r="K8" s="2156"/>
      <c r="L8" s="2157"/>
    </row>
    <row r="9" spans="1:12" ht="57.75" customHeight="1" x14ac:dyDescent="0.35">
      <c r="A9" s="1032">
        <v>2</v>
      </c>
      <c r="B9" s="1033" t="s">
        <v>2392</v>
      </c>
      <c r="C9" s="1034"/>
      <c r="D9" s="1031"/>
      <c r="E9" s="1030"/>
      <c r="F9" s="2155"/>
      <c r="G9" s="2156"/>
      <c r="H9" s="2157"/>
      <c r="I9" s="1034"/>
      <c r="J9" s="2155"/>
      <c r="K9" s="2156"/>
      <c r="L9" s="2157"/>
    </row>
    <row r="10" spans="1:12" ht="57.75" customHeight="1" x14ac:dyDescent="0.35">
      <c r="A10" s="1032">
        <v>3</v>
      </c>
      <c r="B10" s="1033" t="s">
        <v>2393</v>
      </c>
      <c r="C10" s="1034"/>
      <c r="D10" s="1031"/>
      <c r="E10" s="1030"/>
      <c r="F10" s="2199"/>
      <c r="G10" s="2200"/>
      <c r="H10" s="2201"/>
      <c r="I10" s="1034"/>
      <c r="J10" s="2155"/>
      <c r="K10" s="2156"/>
      <c r="L10" s="2157"/>
    </row>
    <row r="11" spans="1:12" ht="57.75" customHeight="1" x14ac:dyDescent="0.35">
      <c r="A11" s="1032">
        <v>4</v>
      </c>
      <c r="B11" s="1033" t="s">
        <v>2394</v>
      </c>
      <c r="C11" s="1034"/>
      <c r="D11" s="1031"/>
      <c r="E11" s="1030"/>
      <c r="F11" s="2155"/>
      <c r="G11" s="2156"/>
      <c r="H11" s="2157"/>
      <c r="I11" s="1034"/>
      <c r="J11" s="2155"/>
      <c r="K11" s="2156"/>
      <c r="L11" s="2157"/>
    </row>
    <row r="12" spans="1:12" ht="57.75" customHeight="1" x14ac:dyDescent="0.35">
      <c r="A12" s="1032">
        <v>5</v>
      </c>
      <c r="B12" s="1033" t="s">
        <v>2395</v>
      </c>
      <c r="C12" s="1034"/>
      <c r="D12" s="1031"/>
      <c r="E12" s="1030"/>
      <c r="F12" s="2155"/>
      <c r="G12" s="2156"/>
      <c r="H12" s="2157"/>
      <c r="I12" s="1034"/>
      <c r="J12" s="2155"/>
      <c r="K12" s="2156"/>
      <c r="L12" s="2157"/>
    </row>
    <row r="13" spans="1:12" ht="57.75" customHeight="1" x14ac:dyDescent="0.35">
      <c r="A13" s="1032">
        <v>6</v>
      </c>
      <c r="B13" s="1033" t="s">
        <v>2396</v>
      </c>
      <c r="C13" s="1034"/>
      <c r="D13" s="1031"/>
      <c r="E13" s="1030"/>
      <c r="F13" s="2155"/>
      <c r="G13" s="2156"/>
      <c r="H13" s="2157"/>
      <c r="I13" s="1034"/>
      <c r="J13" s="2155"/>
      <c r="K13" s="2156"/>
      <c r="L13" s="2157"/>
    </row>
    <row r="14" spans="1:12" ht="57.75" customHeight="1" thickBot="1" x14ac:dyDescent="0.4">
      <c r="A14" s="1038">
        <v>7</v>
      </c>
      <c r="B14" s="1039" t="s">
        <v>2397</v>
      </c>
      <c r="C14" s="1040"/>
      <c r="D14" s="1041"/>
      <c r="E14" s="1042"/>
      <c r="F14" s="2175"/>
      <c r="G14" s="2173"/>
      <c r="H14" s="2174"/>
      <c r="I14" s="1040"/>
      <c r="J14" s="2175"/>
      <c r="K14" s="2173"/>
      <c r="L14" s="2174"/>
    </row>
    <row r="15" spans="1:12" ht="45.75" customHeight="1" x14ac:dyDescent="0.35">
      <c r="A15" s="2176" t="s">
        <v>2398</v>
      </c>
      <c r="B15" s="2178" t="s">
        <v>2399</v>
      </c>
      <c r="C15" s="2179"/>
      <c r="D15" s="2179"/>
      <c r="E15" s="2179"/>
      <c r="F15" s="2179"/>
      <c r="G15" s="2179"/>
      <c r="H15" s="2180"/>
      <c r="I15" s="2184" t="s">
        <v>2400</v>
      </c>
      <c r="J15" s="2185"/>
      <c r="K15" s="2186"/>
      <c r="L15" s="1044" t="s">
        <v>2401</v>
      </c>
    </row>
    <row r="16" spans="1:12" ht="45.75" customHeight="1" thickBot="1" x14ac:dyDescent="0.4">
      <c r="A16" s="2177"/>
      <c r="B16" s="2181"/>
      <c r="C16" s="2182"/>
      <c r="D16" s="2182"/>
      <c r="E16" s="2182"/>
      <c r="F16" s="2182"/>
      <c r="G16" s="2182"/>
      <c r="H16" s="2183"/>
      <c r="I16" s="2187" t="s">
        <v>2402</v>
      </c>
      <c r="J16" s="2188"/>
      <c r="K16" s="2189"/>
      <c r="L16" s="1045" t="s">
        <v>2403</v>
      </c>
    </row>
    <row r="17" spans="1:12" ht="45.75" customHeight="1" x14ac:dyDescent="0.35">
      <c r="A17" s="2190" t="s">
        <v>2404</v>
      </c>
      <c r="B17" s="2178" t="s">
        <v>2399</v>
      </c>
      <c r="C17" s="2179"/>
      <c r="D17" s="2179"/>
      <c r="E17" s="2179"/>
      <c r="F17" s="2179"/>
      <c r="G17" s="2179"/>
      <c r="H17" s="2180"/>
      <c r="I17" s="2184" t="s">
        <v>2405</v>
      </c>
      <c r="J17" s="2185"/>
      <c r="K17" s="2186"/>
      <c r="L17" s="1044" t="s">
        <v>2401</v>
      </c>
    </row>
    <row r="18" spans="1:12" ht="45.75" customHeight="1" x14ac:dyDescent="0.35">
      <c r="A18" s="2191"/>
      <c r="B18" s="2193"/>
      <c r="C18" s="2194"/>
      <c r="D18" s="2194"/>
      <c r="E18" s="2194"/>
      <c r="F18" s="2194"/>
      <c r="G18" s="2194"/>
      <c r="H18" s="2195"/>
      <c r="I18" s="2196" t="s">
        <v>2402</v>
      </c>
      <c r="J18" s="2197"/>
      <c r="K18" s="2198"/>
      <c r="L18" s="1046" t="s">
        <v>2403</v>
      </c>
    </row>
    <row r="19" spans="1:12" ht="45.75" customHeight="1" thickBot="1" x14ac:dyDescent="0.4">
      <c r="A19" s="2192"/>
      <c r="B19" s="2181"/>
      <c r="C19" s="2182"/>
      <c r="D19" s="2182"/>
      <c r="E19" s="2182"/>
      <c r="F19" s="2182"/>
      <c r="G19" s="2182"/>
      <c r="H19" s="2183"/>
      <c r="I19" s="2172" t="s">
        <v>2411</v>
      </c>
      <c r="J19" s="2173"/>
      <c r="K19" s="2173"/>
      <c r="L19" s="2174"/>
    </row>
    <row r="20" spans="1:12" ht="45.75" customHeight="1" x14ac:dyDescent="0.35">
      <c r="A20" s="2161" t="s">
        <v>2406</v>
      </c>
      <c r="B20" s="2163" t="s">
        <v>2407</v>
      </c>
      <c r="C20" s="2164"/>
      <c r="D20" s="2164"/>
      <c r="E20" s="2164"/>
      <c r="F20" s="2164"/>
      <c r="G20" s="2164"/>
      <c r="H20" s="2165"/>
      <c r="I20" s="2169" t="s">
        <v>2408</v>
      </c>
      <c r="J20" s="2170"/>
      <c r="K20" s="2171"/>
      <c r="L20" s="1047" t="s">
        <v>2409</v>
      </c>
    </row>
    <row r="21" spans="1:12" ht="45.75" customHeight="1" thickBot="1" x14ac:dyDescent="0.4">
      <c r="A21" s="2162"/>
      <c r="B21" s="2166"/>
      <c r="C21" s="2167"/>
      <c r="D21" s="2167"/>
      <c r="E21" s="2167"/>
      <c r="F21" s="2167"/>
      <c r="G21" s="2167"/>
      <c r="H21" s="2168"/>
      <c r="I21" s="2172" t="s">
        <v>2412</v>
      </c>
      <c r="J21" s="2173"/>
      <c r="K21" s="2173"/>
      <c r="L21" s="2174"/>
    </row>
  </sheetData>
  <mergeCells count="42">
    <mergeCell ref="F12:H12"/>
    <mergeCell ref="J12:L12"/>
    <mergeCell ref="F13:H13"/>
    <mergeCell ref="J13:L13"/>
    <mergeCell ref="F10:H10"/>
    <mergeCell ref="J10:L10"/>
    <mergeCell ref="F11:H11"/>
    <mergeCell ref="J11:L11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8:H8"/>
    <mergeCell ref="J8:L8"/>
    <mergeCell ref="F9:H9"/>
    <mergeCell ref="J9:L9"/>
    <mergeCell ref="E7:H7"/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</mergeCells>
  <pageMargins left="0.7" right="0.7" top="0.75" bottom="0.75" header="0.3" footer="0.3"/>
  <pageSetup paperSize="9" scale="8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796875" defaultRowHeight="14.5" x14ac:dyDescent="0.35"/>
  <cols>
    <col min="1" max="1" width="3.7265625" customWidth="1"/>
    <col min="2" max="2" width="4.7265625" customWidth="1"/>
    <col min="3" max="36" width="3.81640625" customWidth="1"/>
    <col min="37" max="37" width="38.1796875" bestFit="1" customWidth="1"/>
    <col min="38" max="38" width="4.1796875" bestFit="1" customWidth="1"/>
    <col min="39" max="39" width="8.7265625" bestFit="1" customWidth="1"/>
    <col min="40" max="40" width="53.453125" style="13" customWidth="1"/>
    <col min="41" max="42" width="6.26953125" style="13" bestFit="1" customWidth="1"/>
    <col min="43" max="43" width="12.26953125" style="13" bestFit="1" customWidth="1"/>
    <col min="44" max="44" width="21.54296875" style="13" bestFit="1" customWidth="1"/>
    <col min="45" max="45" width="22" style="13" bestFit="1" customWidth="1"/>
    <col min="46" max="47" width="15.54296875" style="13" bestFit="1" customWidth="1"/>
    <col min="48" max="51" width="6.26953125" style="13" bestFit="1" customWidth="1"/>
    <col min="52" max="52" width="7" style="13" bestFit="1" customWidth="1"/>
    <col min="53" max="54" width="8.453125" style="13" bestFit="1" customWidth="1"/>
    <col min="55" max="63" width="0" hidden="1" customWidth="1"/>
  </cols>
  <sheetData>
    <row r="1" spans="1:54" ht="21" customHeight="1" thickBot="1" x14ac:dyDescent="0.65">
      <c r="A1" s="2202" t="s">
        <v>843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2203"/>
      <c r="R1" s="2203"/>
      <c r="S1" s="2203"/>
      <c r="T1" s="2203"/>
      <c r="U1" s="2203"/>
      <c r="V1" s="2203"/>
      <c r="W1" s="2203"/>
      <c r="X1" s="2203"/>
      <c r="Y1" s="2203"/>
      <c r="Z1" s="2203"/>
      <c r="AA1" s="2203"/>
      <c r="AB1" s="2203"/>
      <c r="AC1" s="2203"/>
      <c r="AD1" s="2203"/>
      <c r="AE1" s="2203"/>
      <c r="AF1" s="2203"/>
      <c r="AG1" s="2203"/>
      <c r="AH1" s="2203"/>
      <c r="AI1" s="2203"/>
      <c r="AJ1" s="2203"/>
    </row>
    <row r="2" spans="1:54" ht="21" customHeight="1" thickBot="1" x14ac:dyDescent="0.4">
      <c r="A2" s="2231" t="s">
        <v>17</v>
      </c>
      <c r="B2" s="2229"/>
      <c r="C2" s="2229"/>
      <c r="D2" s="2229"/>
      <c r="E2" s="2229"/>
      <c r="F2" s="2229"/>
      <c r="G2" s="2229"/>
      <c r="H2" s="2229"/>
      <c r="I2" s="2229"/>
      <c r="J2" s="2229"/>
      <c r="K2" s="2230"/>
      <c r="L2" s="2228" t="s">
        <v>788</v>
      </c>
      <c r="M2" s="2229"/>
      <c r="N2" s="2230"/>
      <c r="O2" s="2228"/>
      <c r="P2" s="2229"/>
      <c r="Q2" s="2230"/>
      <c r="R2" s="2223" t="s">
        <v>785</v>
      </c>
      <c r="S2" s="2224"/>
      <c r="T2" s="2224"/>
      <c r="U2" s="2224"/>
      <c r="V2" s="2224"/>
      <c r="W2" s="2224"/>
      <c r="X2" s="2225"/>
      <c r="Y2" s="11"/>
      <c r="Z2" s="11"/>
      <c r="AA2" s="2204" t="s">
        <v>785</v>
      </c>
      <c r="AB2" s="2204"/>
      <c r="AC2" s="2204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4">
      <c r="A3" s="373"/>
      <c r="B3" s="16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4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35">
      <c r="A5" s="2208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35">
      <c r="A6" s="2208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35">
      <c r="A7" s="2208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35">
      <c r="A8" s="2208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35">
      <c r="A9" s="2208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35">
      <c r="A10" s="2208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35">
      <c r="A11" s="2208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35">
      <c r="A12" s="2208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35">
      <c r="A13" s="2208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35">
      <c r="A14" s="2208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35">
      <c r="A15" s="2208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4">
      <c r="A16" s="2208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3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4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6" customHeight="1" x14ac:dyDescent="0.35">
      <c r="A19" s="2247" t="s">
        <v>19</v>
      </c>
      <c r="B19" s="2248"/>
      <c r="C19" s="2249"/>
      <c r="D19" s="2232"/>
      <c r="E19" s="2233"/>
      <c r="F19" s="2233"/>
      <c r="G19" s="2233"/>
      <c r="H19" s="2233"/>
      <c r="I19" s="2233"/>
      <c r="J19" s="2233"/>
      <c r="K19" s="2233"/>
      <c r="L19" s="2233"/>
      <c r="M19" s="2233"/>
      <c r="N19" s="2233"/>
      <c r="O19" s="2233"/>
      <c r="P19" s="2233"/>
      <c r="Q19" s="2233"/>
      <c r="R19" s="2233"/>
      <c r="S19" s="2233"/>
      <c r="T19" s="2233"/>
      <c r="U19" s="2233"/>
      <c r="V19" s="2233"/>
      <c r="W19" s="2233"/>
      <c r="X19" s="2233"/>
      <c r="Y19" s="2233"/>
      <c r="Z19" s="2234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6" customHeight="1" x14ac:dyDescent="0.35">
      <c r="A20" s="2250"/>
      <c r="B20" s="2251"/>
      <c r="C20" s="2252"/>
      <c r="D20" s="2235"/>
      <c r="E20" s="2236"/>
      <c r="F20" s="2236"/>
      <c r="G20" s="2236"/>
      <c r="H20" s="2236"/>
      <c r="I20" s="2236"/>
      <c r="J20" s="2236"/>
      <c r="K20" s="2236"/>
      <c r="L20" s="2236"/>
      <c r="M20" s="2236"/>
      <c r="N20" s="2236"/>
      <c r="O20" s="2236"/>
      <c r="P20" s="2236"/>
      <c r="Q20" s="2236"/>
      <c r="R20" s="2236"/>
      <c r="S20" s="2236"/>
      <c r="T20" s="2236"/>
      <c r="U20" s="2236"/>
      <c r="V20" s="2236"/>
      <c r="W20" s="2236"/>
      <c r="X20" s="2236"/>
      <c r="Y20" s="2236"/>
      <c r="Z20" s="2237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4">
      <c r="A21" s="2253"/>
      <c r="B21" s="2254"/>
      <c r="C21" s="2255"/>
      <c r="D21" s="2238"/>
      <c r="E21" s="2239"/>
      <c r="F21" s="2239"/>
      <c r="G21" s="2239"/>
      <c r="H21" s="2239"/>
      <c r="I21" s="2239"/>
      <c r="J21" s="2239"/>
      <c r="K21" s="2239"/>
      <c r="L21" s="2239"/>
      <c r="M21" s="2239"/>
      <c r="N21" s="2239"/>
      <c r="O21" s="2239"/>
      <c r="P21" s="2239"/>
      <c r="Q21" s="2239"/>
      <c r="R21" s="2239"/>
      <c r="S21" s="2239"/>
      <c r="T21" s="2239"/>
      <c r="U21" s="2239"/>
      <c r="V21" s="2239"/>
      <c r="W21" s="2239"/>
      <c r="X21" s="2239"/>
      <c r="Y21" s="2239"/>
      <c r="Z21" s="2240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4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4">
      <c r="A23" s="2231" t="s">
        <v>17</v>
      </c>
      <c r="B23" s="2229"/>
      <c r="C23" s="2229"/>
      <c r="D23" s="2229"/>
      <c r="E23" s="2229"/>
      <c r="F23" s="2229"/>
      <c r="G23" s="2229"/>
      <c r="H23" s="2229"/>
      <c r="I23" s="2229"/>
      <c r="J23" s="2229"/>
      <c r="K23" s="2230"/>
      <c r="L23" s="2228" t="s">
        <v>788</v>
      </c>
      <c r="M23" s="2229"/>
      <c r="N23" s="2230"/>
      <c r="O23" s="2228"/>
      <c r="P23" s="2229"/>
      <c r="Q23" s="2230"/>
      <c r="R23" s="2223" t="s">
        <v>786</v>
      </c>
      <c r="S23" s="2224"/>
      <c r="T23" s="2224"/>
      <c r="U23" s="2224"/>
      <c r="V23" s="2224"/>
      <c r="W23" s="2224"/>
      <c r="X23" s="2225"/>
      <c r="Y23" s="10"/>
      <c r="Z23" s="10"/>
      <c r="AA23" s="2205" t="s">
        <v>786</v>
      </c>
      <c r="AB23" s="2205"/>
      <c r="AC23" s="2205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4">
      <c r="A24" s="2226"/>
      <c r="B24" s="2227"/>
      <c r="C24" s="35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1b</v>
      </c>
      <c r="M24" s="35" t="str">
        <f>IF(Data!CB42&lt;&gt;"",Data!CB42,"")</f>
        <v>2b</v>
      </c>
      <c r="N24" s="35" t="str">
        <f>IF(Data!CC42&lt;&gt;"",Data!CC42,"")</f>
        <v>3b</v>
      </c>
      <c r="O24" s="35" t="str">
        <f>IF(Data!CD42&lt;&gt;"",Data!CD42,"")</f>
        <v>4b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4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35">
      <c r="A26" s="2209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35">
      <c r="A27" s="2208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35">
      <c r="A28" s="2208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35">
      <c r="A29" s="2208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35">
      <c r="A30" s="2208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35">
      <c r="A31" s="2208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35">
      <c r="A32" s="2208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35">
      <c r="A33" s="2208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35">
      <c r="A34" s="2208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35">
      <c r="A35" s="2208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35">
      <c r="A36" s="2208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4">
      <c r="A37" s="2210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3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4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6" customHeight="1" x14ac:dyDescent="0.35">
      <c r="A40" s="2211" t="s">
        <v>19</v>
      </c>
      <c r="B40" s="2212"/>
      <c r="C40" s="2213"/>
      <c r="D40" s="2232"/>
      <c r="E40" s="2233"/>
      <c r="F40" s="2233"/>
      <c r="G40" s="2233"/>
      <c r="H40" s="2233"/>
      <c r="I40" s="2233"/>
      <c r="J40" s="2233"/>
      <c r="K40" s="2233"/>
      <c r="L40" s="2233"/>
      <c r="M40" s="2233"/>
      <c r="N40" s="2233"/>
      <c r="O40" s="2233"/>
      <c r="P40" s="2233"/>
      <c r="Q40" s="2233"/>
      <c r="R40" s="2233"/>
      <c r="S40" s="2233"/>
      <c r="T40" s="2233"/>
      <c r="U40" s="2233"/>
      <c r="V40" s="2233"/>
      <c r="W40" s="2233"/>
      <c r="X40" s="2233"/>
      <c r="Y40" s="2233"/>
      <c r="Z40" s="2234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6" customHeight="1" x14ac:dyDescent="0.35">
      <c r="A41" s="2214"/>
      <c r="B41" s="2215"/>
      <c r="C41" s="2216"/>
      <c r="D41" s="2235"/>
      <c r="E41" s="2236"/>
      <c r="F41" s="2236"/>
      <c r="G41" s="2236"/>
      <c r="H41" s="2236"/>
      <c r="I41" s="2236"/>
      <c r="J41" s="2236"/>
      <c r="K41" s="2236"/>
      <c r="L41" s="2236"/>
      <c r="M41" s="2236"/>
      <c r="N41" s="2236"/>
      <c r="O41" s="2236"/>
      <c r="P41" s="2236"/>
      <c r="Q41" s="2236"/>
      <c r="R41" s="2236"/>
      <c r="S41" s="2236"/>
      <c r="T41" s="2236"/>
      <c r="U41" s="2236"/>
      <c r="V41" s="2236"/>
      <c r="W41" s="2236"/>
      <c r="X41" s="2236"/>
      <c r="Y41" s="2236"/>
      <c r="Z41" s="2237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4">
      <c r="A42" s="2217"/>
      <c r="B42" s="2218"/>
      <c r="C42" s="2219"/>
      <c r="D42" s="2238"/>
      <c r="E42" s="2239"/>
      <c r="F42" s="2239"/>
      <c r="G42" s="2239"/>
      <c r="H42" s="2239"/>
      <c r="I42" s="2239"/>
      <c r="J42" s="2239"/>
      <c r="K42" s="2239"/>
      <c r="L42" s="2239"/>
      <c r="M42" s="2239"/>
      <c r="N42" s="2239"/>
      <c r="O42" s="2239"/>
      <c r="P42" s="2239"/>
      <c r="Q42" s="2239"/>
      <c r="R42" s="2239"/>
      <c r="S42" s="2239"/>
      <c r="T42" s="2239"/>
      <c r="U42" s="2239"/>
      <c r="V42" s="2239"/>
      <c r="W42" s="2239"/>
      <c r="X42" s="2239"/>
      <c r="Y42" s="2239"/>
      <c r="Z42" s="2240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4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4">
      <c r="A44" s="2231" t="s">
        <v>17</v>
      </c>
      <c r="B44" s="2229"/>
      <c r="C44" s="2229"/>
      <c r="D44" s="2229"/>
      <c r="E44" s="2229"/>
      <c r="F44" s="2229"/>
      <c r="G44" s="2229"/>
      <c r="H44" s="2229"/>
      <c r="I44" s="2229"/>
      <c r="J44" s="2229"/>
      <c r="K44" s="2230"/>
      <c r="L44" s="2228" t="s">
        <v>788</v>
      </c>
      <c r="M44" s="2229"/>
      <c r="N44" s="2230"/>
      <c r="O44" s="2228"/>
      <c r="P44" s="2229"/>
      <c r="Q44" s="2230"/>
      <c r="R44" s="2223" t="s">
        <v>787</v>
      </c>
      <c r="S44" s="2224"/>
      <c r="T44" s="2224"/>
      <c r="U44" s="2224"/>
      <c r="V44" s="2224"/>
      <c r="W44" s="2224"/>
      <c r="X44" s="2225"/>
      <c r="Y44" s="10"/>
      <c r="Z44" s="10"/>
      <c r="AA44" s="2205" t="s">
        <v>787</v>
      </c>
      <c r="AB44" s="2205"/>
      <c r="AC44" s="2205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35">
      <c r="A45" s="2206"/>
      <c r="B45" s="2207"/>
      <c r="C45" s="35" t="str">
        <f>IF(Data!BR42&lt;&gt;"",Data!BR42,"")</f>
        <v>1a</v>
      </c>
      <c r="D45" s="35" t="str">
        <f>IF(Data!BS42&lt;&gt;"",Data!BS42,"")</f>
        <v>2a</v>
      </c>
      <c r="E45" s="35" t="str">
        <f>IF(Data!BT42&lt;&gt;"",Data!BT42,"")</f>
        <v>3a</v>
      </c>
      <c r="F45" s="35" t="str">
        <f>IF(Data!BU42&lt;&gt;"",Data!BU42,"")</f>
        <v>4a</v>
      </c>
      <c r="G45" s="35" t="str">
        <f>IF(Data!BV42&lt;&gt;"",Data!BV42,"")</f>
        <v>5a</v>
      </c>
      <c r="H45" s="35" t="str">
        <f>IF(Data!BW42&lt;&gt;"",Data!BW42,"")</f>
        <v>6a</v>
      </c>
      <c r="I45" s="35" t="str">
        <f>IF(Data!BX42&lt;&gt;"",Data!BX42,"")</f>
        <v>7a</v>
      </c>
      <c r="J45" s="35" t="str">
        <f>IF(Data!BY42&lt;&gt;"",Data!BY42,"")</f>
        <v>8a</v>
      </c>
      <c r="K45" s="35" t="str">
        <f>IF(Data!BZ42&lt;&gt;"",Data!BZ42,"")</f>
        <v>0a</v>
      </c>
      <c r="L45" s="35" t="str">
        <f>IF(Data!CA42&lt;&gt;"",Data!CA42,"")</f>
        <v>1b</v>
      </c>
      <c r="M45" s="35" t="str">
        <f>IF(Data!CB42&lt;&gt;"",Data!CB42,"")</f>
        <v>2b</v>
      </c>
      <c r="N45" s="35" t="str">
        <f>IF(Data!CC42&lt;&gt;"",Data!CC42,"")</f>
        <v>3b</v>
      </c>
      <c r="O45" s="35" t="str">
        <f>IF(Data!CD42&lt;&gt;"",Data!CD42,"")</f>
        <v>4b</v>
      </c>
      <c r="P45" s="35" t="str">
        <f>IF(Data!CE42&lt;&gt;"",Data!CE42,"")</f>
        <v>0a</v>
      </c>
      <c r="Q45" s="35" t="str">
        <f>IF(Data!CF42&lt;&gt;"",Data!CF42,"")</f>
        <v>0a</v>
      </c>
      <c r="R45" s="35" t="str">
        <f>IF(Data!CG42&lt;&gt;"",Data!CG42,"")</f>
        <v>0a</v>
      </c>
      <c r="S45" s="35" t="str">
        <f>IF(Data!CH42&lt;&gt;"",Data!CH42,"")</f>
        <v>0a</v>
      </c>
      <c r="T45" s="35" t="str">
        <f>IF(Data!CI42&lt;&gt;"",Data!CI42,"")</f>
        <v>0a</v>
      </c>
      <c r="U45" s="35" t="str">
        <f>IF(Data!CJ42&lt;&gt;"",Data!CJ42,"")</f>
        <v>0a</v>
      </c>
      <c r="V45" s="35" t="str">
        <f>IF(Data!CK42&lt;&gt;"",Data!CK42,"")</f>
        <v>0a</v>
      </c>
      <c r="W45" s="35" t="str">
        <f>IF(Data!CL42&lt;&gt;"",Data!CL42,"")</f>
        <v>0a</v>
      </c>
      <c r="X45" s="35" t="str">
        <f>IF(Data!CM42&lt;&gt;"",Data!CM42,"")</f>
        <v>0a</v>
      </c>
      <c r="Y45" s="35" t="str">
        <f>IF(Data!CN42&lt;&gt;"",Data!CN42,"")</f>
        <v>0a</v>
      </c>
      <c r="Z45" s="35" t="str">
        <f>IF(Data!CO42&lt;&gt;"",Data!CO42,"")</f>
        <v>0a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4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35">
      <c r="A47" s="2220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35">
      <c r="A48" s="2221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35">
      <c r="A49" s="2221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35">
      <c r="A50" s="2221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35">
      <c r="A51" s="2221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35">
      <c r="A52" s="2221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35">
      <c r="A53" s="2221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35">
      <c r="A54" s="2221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35">
      <c r="A55" s="2221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35">
      <c r="A56" s="2221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35">
      <c r="A57" s="2221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4">
      <c r="A58" s="2222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3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4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6" customHeight="1" x14ac:dyDescent="0.35">
      <c r="A61" s="2211" t="s">
        <v>19</v>
      </c>
      <c r="B61" s="2212"/>
      <c r="C61" s="2213"/>
      <c r="D61" s="2232"/>
      <c r="E61" s="2233"/>
      <c r="F61" s="2233"/>
      <c r="G61" s="2233"/>
      <c r="H61" s="2233"/>
      <c r="I61" s="2233"/>
      <c r="J61" s="2233"/>
      <c r="K61" s="2233"/>
      <c r="L61" s="2233"/>
      <c r="M61" s="2233"/>
      <c r="N61" s="2233"/>
      <c r="O61" s="2233"/>
      <c r="P61" s="2233"/>
      <c r="Q61" s="2233"/>
      <c r="R61" s="2233"/>
      <c r="S61" s="2233"/>
      <c r="T61" s="2233"/>
      <c r="U61" s="2233"/>
      <c r="V61" s="2233"/>
      <c r="W61" s="2233"/>
      <c r="X61" s="2233"/>
      <c r="Y61" s="2233"/>
      <c r="Z61" s="2234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6" customHeight="1" x14ac:dyDescent="0.35">
      <c r="A62" s="2214"/>
      <c r="B62" s="2215"/>
      <c r="C62" s="2216"/>
      <c r="D62" s="2235"/>
      <c r="E62" s="2236"/>
      <c r="F62" s="2236"/>
      <c r="G62" s="2236"/>
      <c r="H62" s="2236"/>
      <c r="I62" s="2236"/>
      <c r="J62" s="2236"/>
      <c r="K62" s="2236"/>
      <c r="L62" s="2236"/>
      <c r="M62" s="2236"/>
      <c r="N62" s="2236"/>
      <c r="O62" s="2236"/>
      <c r="P62" s="2236"/>
      <c r="Q62" s="2236"/>
      <c r="R62" s="2236"/>
      <c r="S62" s="2236"/>
      <c r="T62" s="2236"/>
      <c r="U62" s="2236"/>
      <c r="V62" s="2236"/>
      <c r="W62" s="2236"/>
      <c r="X62" s="2236"/>
      <c r="Y62" s="2236"/>
      <c r="Z62" s="2237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4">
      <c r="A63" s="2241"/>
      <c r="B63" s="2242"/>
      <c r="C63" s="2243"/>
      <c r="D63" s="2244"/>
      <c r="E63" s="2245"/>
      <c r="F63" s="2245"/>
      <c r="G63" s="2245"/>
      <c r="H63" s="2245"/>
      <c r="I63" s="2245"/>
      <c r="J63" s="2245"/>
      <c r="K63" s="2245"/>
      <c r="L63" s="2245"/>
      <c r="M63" s="2245"/>
      <c r="N63" s="2245"/>
      <c r="O63" s="2245"/>
      <c r="P63" s="2245"/>
      <c r="Q63" s="2245"/>
      <c r="R63" s="2245"/>
      <c r="S63" s="2245"/>
      <c r="T63" s="2245"/>
      <c r="U63" s="2245"/>
      <c r="V63" s="2245"/>
      <c r="W63" s="2245"/>
      <c r="X63" s="2245"/>
      <c r="Y63" s="2245"/>
      <c r="Z63" s="2246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4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3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3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" thickBot="1" x14ac:dyDescent="0.4"/>
    <row r="68" spans="1:54" x14ac:dyDescent="0.35">
      <c r="A68" s="1285"/>
      <c r="B68" s="1286"/>
      <c r="C68" s="1289" t="s">
        <v>17</v>
      </c>
      <c r="D68" s="1289"/>
      <c r="E68" s="1289"/>
      <c r="F68" s="1289"/>
      <c r="G68" s="1289"/>
      <c r="H68" s="1289"/>
      <c r="I68" s="1289"/>
      <c r="J68" s="1289"/>
      <c r="K68" s="1289"/>
      <c r="L68" s="1289"/>
      <c r="M68" s="1289"/>
      <c r="N68" s="1289"/>
      <c r="O68" s="1289"/>
      <c r="P68" s="1289"/>
      <c r="Q68" s="1289"/>
      <c r="R68" s="1289"/>
      <c r="S68" s="1289"/>
      <c r="T68" s="1289"/>
      <c r="U68" s="1289"/>
      <c r="V68" s="1290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" thickBot="1" x14ac:dyDescent="0.4">
      <c r="A69" s="1287"/>
      <c r="B69" s="1288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35">
      <c r="A70" s="1283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35">
      <c r="A71" s="1283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35">
      <c r="A72" s="1283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35">
      <c r="A73" s="1283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35">
      <c r="A74" s="1283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35">
      <c r="A75" s="1283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35">
      <c r="A76" s="1283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35">
      <c r="A77" s="1283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35">
      <c r="A78" s="1283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35">
      <c r="A79" s="1283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35">
      <c r="A80" s="1283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" thickBot="1" x14ac:dyDescent="0.4">
      <c r="A81" s="1284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" thickBot="1" x14ac:dyDescent="0.4">
      <c r="C83" s="1333" t="s">
        <v>306</v>
      </c>
      <c r="D83" s="1333"/>
      <c r="E83" s="1333"/>
      <c r="F83" s="1333"/>
      <c r="G83" s="1333"/>
      <c r="H83" s="1333"/>
      <c r="I83" s="1333"/>
      <c r="J83" s="1333"/>
      <c r="K83" s="1333"/>
      <c r="L83" s="1333"/>
      <c r="M83" s="1333"/>
      <c r="N83" s="1333"/>
      <c r="O83" s="1333"/>
      <c r="P83" s="1333"/>
      <c r="Q83" s="1333"/>
      <c r="R83" s="1333"/>
      <c r="S83" s="1333"/>
      <c r="T83" s="1333"/>
      <c r="U83" s="1333"/>
      <c r="V83" s="1333"/>
      <c r="W83" s="1333"/>
      <c r="X83" s="1333"/>
      <c r="Y83" s="1333"/>
      <c r="Z83" s="1333"/>
      <c r="AA83" s="1333"/>
      <c r="AB83" s="1333"/>
      <c r="AC83" s="1333"/>
      <c r="AD83" s="1333"/>
      <c r="AE83" s="1333"/>
      <c r="AF83" s="1333"/>
      <c r="AG83" s="1333"/>
      <c r="AH83" s="1333"/>
      <c r="AI83" s="1333"/>
    </row>
    <row r="84" spans="1:37" x14ac:dyDescent="0.35">
      <c r="A84" s="1285"/>
      <c r="B84" s="1286"/>
      <c r="C84" s="1289" t="s">
        <v>17</v>
      </c>
      <c r="D84" s="1289"/>
      <c r="E84" s="1289"/>
      <c r="F84" s="1289"/>
      <c r="G84" s="1289"/>
      <c r="H84" s="1289"/>
      <c r="I84" s="1289"/>
      <c r="J84" s="1289"/>
      <c r="K84" s="1289"/>
      <c r="L84" s="1289"/>
      <c r="M84" s="1289"/>
      <c r="N84" s="1289"/>
      <c r="O84" s="1289"/>
      <c r="P84" s="1289"/>
      <c r="Q84" s="1289"/>
      <c r="R84" s="1289"/>
      <c r="S84" s="1289"/>
      <c r="T84" s="1289"/>
      <c r="U84" s="1289"/>
      <c r="V84" s="1290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" thickBot="1" x14ac:dyDescent="0.4">
      <c r="A85" s="1287"/>
      <c r="B85" s="1288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" thickBot="1" x14ac:dyDescent="0.4">
      <c r="A86" s="1283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" thickBot="1" x14ac:dyDescent="0.4">
      <c r="A87" s="1283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" thickBot="1" x14ac:dyDescent="0.4">
      <c r="A88" s="1283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" thickBot="1" x14ac:dyDescent="0.4">
      <c r="A89" s="1283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" thickBot="1" x14ac:dyDescent="0.4">
      <c r="A90" s="1283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" thickBot="1" x14ac:dyDescent="0.4">
      <c r="A91" s="1283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" thickBot="1" x14ac:dyDescent="0.4">
      <c r="A92" s="1283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" thickBot="1" x14ac:dyDescent="0.4">
      <c r="A93" s="1283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" thickBot="1" x14ac:dyDescent="0.4">
      <c r="A94" s="1283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" thickBot="1" x14ac:dyDescent="0.4">
      <c r="A95" s="1283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" thickBot="1" x14ac:dyDescent="0.4">
      <c r="A96" s="1283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" thickBot="1" x14ac:dyDescent="0.4">
      <c r="A97" s="1284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35">
      <c r="AK98" s="63" t="str">
        <f>CONCATENATE(AK86,AK87,AK88,AK89,AK90,AK91,AK92,AK93,AK94,AK95,AK96,AK97)</f>
        <v/>
      </c>
    </row>
    <row r="99" spans="1:37" x14ac:dyDescent="0.35">
      <c r="AK99" s="63" t="s">
        <v>712</v>
      </c>
    </row>
    <row r="100" spans="1:37" x14ac:dyDescent="0.35">
      <c r="AK100" s="63" t="s">
        <v>713</v>
      </c>
    </row>
    <row r="101" spans="1:37" ht="15" thickBot="1" x14ac:dyDescent="0.4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35"/>
    <row r="104" spans="1:37" ht="15" thickBot="1" x14ac:dyDescent="0.4">
      <c r="C104" s="1333" t="s">
        <v>709</v>
      </c>
      <c r="D104" s="1333"/>
      <c r="E104" s="1333"/>
      <c r="F104" s="1333"/>
      <c r="G104" s="1333"/>
      <c r="H104" s="1333"/>
      <c r="I104" s="1333"/>
      <c r="J104" s="1333"/>
      <c r="K104" s="1333"/>
      <c r="L104" s="1333"/>
      <c r="M104" s="1333"/>
      <c r="N104" s="1333"/>
      <c r="O104" s="1333"/>
      <c r="P104" s="1333"/>
      <c r="Q104" s="1333"/>
      <c r="R104" s="1333"/>
      <c r="S104" s="1333"/>
      <c r="T104" s="1333"/>
      <c r="U104" s="1333"/>
      <c r="V104" s="1333"/>
      <c r="W104" s="1333"/>
      <c r="X104" s="1333"/>
      <c r="Y104" s="1333"/>
      <c r="Z104" s="1333"/>
      <c r="AA104" s="1333"/>
      <c r="AB104" s="1333"/>
      <c r="AC104" s="1333"/>
      <c r="AD104" s="1333"/>
      <c r="AE104" s="1333"/>
      <c r="AF104" s="1333"/>
      <c r="AG104" s="1333"/>
      <c r="AH104" s="1333"/>
      <c r="AI104" s="1333"/>
    </row>
    <row r="105" spans="1:37" x14ac:dyDescent="0.35">
      <c r="A105" s="1285"/>
      <c r="B105" s="1286"/>
      <c r="C105" s="1289" t="s">
        <v>17</v>
      </c>
      <c r="D105" s="1289"/>
      <c r="E105" s="1289"/>
      <c r="F105" s="1289"/>
      <c r="G105" s="1289"/>
      <c r="H105" s="1289"/>
      <c r="I105" s="1289"/>
      <c r="J105" s="1289"/>
      <c r="K105" s="1289"/>
      <c r="L105" s="1289"/>
      <c r="M105" s="1289"/>
      <c r="N105" s="1289"/>
      <c r="O105" s="1289"/>
      <c r="P105" s="1289"/>
      <c r="Q105" s="1289"/>
      <c r="R105" s="1289"/>
      <c r="S105" s="1289"/>
      <c r="T105" s="1289"/>
      <c r="U105" s="1289"/>
      <c r="V105" s="1290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" thickBot="1" x14ac:dyDescent="0.4">
      <c r="A106" s="1287"/>
      <c r="B106" s="1288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" thickBot="1" x14ac:dyDescent="0.4">
      <c r="A107" s="1283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" thickBot="1" x14ac:dyDescent="0.4">
      <c r="A108" s="1283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" thickBot="1" x14ac:dyDescent="0.4">
      <c r="A109" s="1283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" thickBot="1" x14ac:dyDescent="0.4">
      <c r="A110" s="1283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" thickBot="1" x14ac:dyDescent="0.4">
      <c r="A111" s="1283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" thickBot="1" x14ac:dyDescent="0.4">
      <c r="A112" s="1283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" thickBot="1" x14ac:dyDescent="0.4">
      <c r="A113" s="1283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" thickBot="1" x14ac:dyDescent="0.4">
      <c r="A114" s="1283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" thickBot="1" x14ac:dyDescent="0.4">
      <c r="A115" s="1283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" thickBot="1" x14ac:dyDescent="0.4">
      <c r="A116" s="1283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" thickBot="1" x14ac:dyDescent="0.4">
      <c r="A117" s="1283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" thickBot="1" x14ac:dyDescent="0.4">
      <c r="A118" s="1284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35">
      <c r="AK119" s="63" t="str">
        <f>SUBSTITUTE(CONCATENATE(AK107,AK108,AK109,AK110,AK111,AK112,AK113,AK114,AK115,AK116,AK117,AK118),"P","I")</f>
        <v/>
      </c>
    </row>
    <row r="120" spans="1:37" x14ac:dyDescent="0.35">
      <c r="AK120" s="63" t="s">
        <v>714</v>
      </c>
    </row>
    <row r="121" spans="1:37" x14ac:dyDescent="0.35">
      <c r="AK121" s="63" t="s">
        <v>714</v>
      </c>
    </row>
    <row r="122" spans="1:37" ht="15" thickBot="1" x14ac:dyDescent="0.4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" thickBot="1" x14ac:dyDescent="0.4">
      <c r="C125" s="1333" t="s">
        <v>710</v>
      </c>
      <c r="D125" s="1333"/>
      <c r="E125" s="1333"/>
      <c r="F125" s="1333"/>
      <c r="G125" s="1333"/>
      <c r="H125" s="1333"/>
      <c r="I125" s="1333"/>
      <c r="J125" s="1333"/>
      <c r="K125" s="1333"/>
      <c r="L125" s="1333"/>
      <c r="M125" s="1333"/>
      <c r="N125" s="1333"/>
      <c r="O125" s="1333"/>
      <c r="P125" s="1333"/>
      <c r="Q125" s="1333"/>
      <c r="R125" s="1333"/>
      <c r="S125" s="1333"/>
      <c r="T125" s="1333"/>
      <c r="U125" s="1333"/>
      <c r="V125" s="1333"/>
      <c r="W125" s="1333"/>
      <c r="X125" s="1333"/>
      <c r="Y125" s="1333"/>
      <c r="Z125" s="1333"/>
      <c r="AA125" s="1333"/>
      <c r="AB125" s="1333"/>
      <c r="AC125" s="1333"/>
      <c r="AD125" s="1333"/>
      <c r="AE125" s="1333"/>
      <c r="AF125" s="1333"/>
      <c r="AG125" s="1333"/>
      <c r="AH125" s="1333"/>
      <c r="AI125" s="1333"/>
    </row>
    <row r="126" spans="1:37" x14ac:dyDescent="0.35">
      <c r="A126" s="1285"/>
      <c r="B126" s="1286"/>
      <c r="C126" s="1289" t="s">
        <v>17</v>
      </c>
      <c r="D126" s="1289"/>
      <c r="E126" s="1289"/>
      <c r="F126" s="1289"/>
      <c r="G126" s="1289"/>
      <c r="H126" s="1289"/>
      <c r="I126" s="1289"/>
      <c r="J126" s="1289"/>
      <c r="K126" s="1289"/>
      <c r="L126" s="1289"/>
      <c r="M126" s="1289"/>
      <c r="N126" s="1289"/>
      <c r="O126" s="1289"/>
      <c r="P126" s="1289"/>
      <c r="Q126" s="1289"/>
      <c r="R126" s="1289"/>
      <c r="S126" s="1289"/>
      <c r="T126" s="1289"/>
      <c r="U126" s="1289"/>
      <c r="V126" s="1290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" thickBot="1" x14ac:dyDescent="0.4">
      <c r="A127" s="1287"/>
      <c r="B127" s="1288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" thickBot="1" x14ac:dyDescent="0.4">
      <c r="A128" s="1283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" thickBot="1" x14ac:dyDescent="0.4">
      <c r="A129" s="1283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" thickBot="1" x14ac:dyDescent="0.4">
      <c r="A130" s="1283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" thickBot="1" x14ac:dyDescent="0.4">
      <c r="A131" s="1283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" thickBot="1" x14ac:dyDescent="0.4">
      <c r="A132" s="1283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" thickBot="1" x14ac:dyDescent="0.4">
      <c r="A133" s="1283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" thickBot="1" x14ac:dyDescent="0.4">
      <c r="A134" s="1283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" thickBot="1" x14ac:dyDescent="0.4">
      <c r="A135" s="1283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" thickBot="1" x14ac:dyDescent="0.4">
      <c r="A136" s="1283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" thickBot="1" x14ac:dyDescent="0.4">
      <c r="A137" s="1283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" thickBot="1" x14ac:dyDescent="0.4">
      <c r="A138" s="1283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" thickBot="1" x14ac:dyDescent="0.4">
      <c r="A139" s="1284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35">
      <c r="AK140" s="63" t="str">
        <f>CONCATENATE(AK128,AK129,AK130,AK131,AK132,AK133,AK134,AK135,AK136,AK137,AK138,AK139)</f>
        <v/>
      </c>
    </row>
    <row r="141" spans="1:37" x14ac:dyDescent="0.35">
      <c r="AK141" s="63" t="s">
        <v>715</v>
      </c>
    </row>
    <row r="142" spans="1:37" x14ac:dyDescent="0.35">
      <c r="AK142" s="63" t="s">
        <v>715</v>
      </c>
    </row>
    <row r="143" spans="1:37" ht="15" thickBot="1" x14ac:dyDescent="0.4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" thickBot="1" x14ac:dyDescent="0.4">
      <c r="D146" s="1333" t="s">
        <v>711</v>
      </c>
      <c r="E146" s="1333"/>
      <c r="F146" s="1333"/>
      <c r="G146" s="1333"/>
      <c r="H146" s="1333"/>
      <c r="I146" s="1333"/>
      <c r="J146" s="1333"/>
      <c r="K146" s="1333"/>
      <c r="L146" s="1333"/>
      <c r="M146" s="1333"/>
      <c r="N146" s="1333"/>
      <c r="O146" s="1333"/>
      <c r="P146" s="1333"/>
      <c r="Q146" s="1333"/>
      <c r="R146" s="1333"/>
      <c r="S146" s="1333"/>
      <c r="T146" s="1333"/>
      <c r="U146" s="1333"/>
      <c r="V146" s="1333"/>
      <c r="W146" s="1333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" thickBot="1" x14ac:dyDescent="0.4">
      <c r="D147" s="1333" t="s">
        <v>711</v>
      </c>
      <c r="E147" s="1333"/>
      <c r="F147" s="1333"/>
      <c r="G147" s="1333"/>
      <c r="H147" s="1333"/>
      <c r="I147" s="1333"/>
      <c r="J147" s="1333"/>
      <c r="K147" s="1333"/>
      <c r="L147" s="1333"/>
      <c r="M147" s="1333"/>
      <c r="N147" s="1333"/>
      <c r="O147" s="1333"/>
      <c r="P147" s="1333"/>
      <c r="Q147" s="1333"/>
      <c r="R147" s="1333"/>
      <c r="S147" s="1333"/>
      <c r="T147" s="1333"/>
      <c r="U147" s="1333"/>
      <c r="V147" s="1333"/>
      <c r="W147" s="1333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35">
      <c r="A148" s="1285"/>
      <c r="B148" s="1286"/>
      <c r="D148" s="1327" t="s">
        <v>17</v>
      </c>
      <c r="E148" s="1289"/>
      <c r="F148" s="1289"/>
      <c r="G148" s="1289"/>
      <c r="H148" s="1289"/>
      <c r="I148" s="1289"/>
      <c r="J148" s="1289"/>
      <c r="K148" s="1289"/>
      <c r="L148" s="1289"/>
      <c r="M148" s="1289"/>
      <c r="N148" s="1289"/>
      <c r="O148" s="1289"/>
      <c r="P148" s="1289"/>
      <c r="Q148" s="1289"/>
      <c r="R148" s="1289"/>
      <c r="S148" s="1289"/>
      <c r="T148" s="1289"/>
      <c r="U148" s="1289"/>
      <c r="V148" s="1289"/>
      <c r="W148" s="1290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" thickBot="1" x14ac:dyDescent="0.4">
      <c r="A149" s="1287"/>
      <c r="B149" s="1288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35">
      <c r="A150" s="1283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35">
      <c r="A151" s="1283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35">
      <c r="A152" s="1283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35">
      <c r="A153" s="1283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35">
      <c r="A154" s="1283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35">
      <c r="A155" s="1283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35">
      <c r="A156" s="1283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35">
      <c r="A157" s="1283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35">
      <c r="A158" s="1283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35">
      <c r="A159" s="1283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35">
      <c r="A160" s="1283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" thickBot="1" x14ac:dyDescent="0.4">
      <c r="A161" s="1284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35"/>
    <row r="163" spans="1:40" ht="3.75" customHeight="1" x14ac:dyDescent="0.35">
      <c r="G163" s="65"/>
    </row>
    <row r="164" spans="1:40" ht="3.75" customHeight="1" x14ac:dyDescent="0.35"/>
    <row r="165" spans="1:40" ht="3.75" customHeight="1" x14ac:dyDescent="0.35"/>
    <row r="166" spans="1:40" ht="3.75" customHeight="1" x14ac:dyDescent="0.35"/>
    <row r="167" spans="1:40" ht="3.75" customHeight="1" x14ac:dyDescent="0.3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" thickBot="1" x14ac:dyDescent="0.4">
      <c r="D168" s="1333" t="s">
        <v>822</v>
      </c>
      <c r="E168" s="1333"/>
      <c r="F168" s="1333"/>
      <c r="G168" s="1333"/>
      <c r="H168" s="1333"/>
      <c r="I168" s="1333"/>
      <c r="J168" s="1333"/>
      <c r="K168" s="1333"/>
      <c r="L168" s="1333"/>
      <c r="M168" s="1333"/>
      <c r="N168" s="1333"/>
      <c r="O168" s="1333"/>
      <c r="P168" s="1333"/>
      <c r="Q168" s="1333"/>
      <c r="R168" s="1333"/>
      <c r="S168" s="1333"/>
      <c r="T168" s="1333"/>
      <c r="U168" s="1333"/>
      <c r="V168" s="1333"/>
      <c r="W168" s="1333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35">
      <c r="A169" s="1285"/>
      <c r="B169" s="1286"/>
      <c r="D169" s="1327" t="s">
        <v>17</v>
      </c>
      <c r="E169" s="1289"/>
      <c r="F169" s="1289"/>
      <c r="G169" s="1289"/>
      <c r="H169" s="1289"/>
      <c r="I169" s="1289"/>
      <c r="J169" s="1289"/>
      <c r="K169" s="1289"/>
      <c r="L169" s="1289"/>
      <c r="M169" s="1289"/>
      <c r="N169" s="1289"/>
      <c r="O169" s="1289"/>
      <c r="P169" s="1289"/>
      <c r="Q169" s="1289"/>
      <c r="R169" s="1289"/>
      <c r="S169" s="1289"/>
      <c r="T169" s="1289"/>
      <c r="U169" s="1289"/>
      <c r="V169" s="1289"/>
      <c r="W169" s="1290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" thickBot="1" x14ac:dyDescent="0.4">
      <c r="A170" s="1287"/>
      <c r="B170" s="1288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" thickBot="1" x14ac:dyDescent="0.4">
      <c r="A171" s="1283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" thickBot="1" x14ac:dyDescent="0.4">
      <c r="A172" s="1283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" thickBot="1" x14ac:dyDescent="0.4">
      <c r="A173" s="1283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" thickBot="1" x14ac:dyDescent="0.4">
      <c r="A174" s="1283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" thickBot="1" x14ac:dyDescent="0.4">
      <c r="A175" s="1283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" thickBot="1" x14ac:dyDescent="0.4">
      <c r="A176" s="1283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" thickBot="1" x14ac:dyDescent="0.4">
      <c r="A177" s="1283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4">
      <c r="A178" s="1283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" thickBot="1" x14ac:dyDescent="0.4">
      <c r="A179" s="1283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" thickBot="1" x14ac:dyDescent="0.4">
      <c r="A180" s="1283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" thickBot="1" x14ac:dyDescent="0.4">
      <c r="A181" s="1283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" thickBot="1" x14ac:dyDescent="0.4">
      <c r="A182" s="1284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35">
      <c r="AN183" s="113" t="str">
        <f>CONCATENATE(AN171,AN172,AN173,AN174,AN175,AN176,AN177,AN178,AN179,AN180,AN181,AN182)</f>
        <v/>
      </c>
    </row>
    <row r="184" spans="1:40" x14ac:dyDescent="0.3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35">
      <c r="AN185" s="113"/>
    </row>
    <row r="186" spans="1:40" x14ac:dyDescent="0.35">
      <c r="AN186" s="113" t="s">
        <v>820</v>
      </c>
    </row>
    <row r="187" spans="1:40" x14ac:dyDescent="0.35">
      <c r="AN187" s="113" t="s">
        <v>821</v>
      </c>
    </row>
    <row r="188" spans="1:40" ht="15.75" customHeight="1" thickBot="1" x14ac:dyDescent="0.4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35">
      <c r="C189" s="2256" t="str">
        <f>CONCATENATE("Build up the following: ",AK101,AK122,AK143,IF(COUNTIF(AN188,"fins inbetween . "),"",AN188))</f>
        <v xml:space="preserve">Build up the following: </v>
      </c>
      <c r="D189" s="2256"/>
      <c r="E189" s="2256"/>
      <c r="F189" s="2256"/>
      <c r="G189" s="2256"/>
      <c r="H189" s="2256"/>
      <c r="I189" s="2256"/>
      <c r="J189" s="2256"/>
      <c r="K189" s="2256"/>
      <c r="L189" s="2256"/>
      <c r="M189" s="2256"/>
      <c r="N189" s="2256"/>
      <c r="O189" s="2256"/>
      <c r="P189" s="2256"/>
      <c r="Q189" s="2256"/>
      <c r="R189" s="2256"/>
      <c r="S189" s="2256"/>
      <c r="T189" s="2256"/>
      <c r="U189" s="2256"/>
      <c r="V189" s="2256"/>
      <c r="W189" s="2256"/>
      <c r="X189" s="2256"/>
      <c r="Y189" s="2256"/>
      <c r="Z189" s="2256"/>
      <c r="AA189" s="2256"/>
      <c r="AB189" s="2256"/>
      <c r="AC189" s="2256"/>
      <c r="AD189" s="66"/>
      <c r="AE189" s="66"/>
      <c r="AF189" s="66"/>
    </row>
    <row r="190" spans="1:40" x14ac:dyDescent="0.3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3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35">
      <c r="C192" s="2256" t="str">
        <f>CONCATENATE(D19,IF(COUNTIF(C189,"Build up the following: "),"",C189))</f>
        <v/>
      </c>
      <c r="D192" s="2256"/>
      <c r="E192" s="2256"/>
      <c r="F192" s="2256"/>
      <c r="G192" s="2256"/>
      <c r="H192" s="2256"/>
      <c r="I192" s="2256"/>
      <c r="J192" s="2256"/>
      <c r="K192" s="2256"/>
      <c r="L192" s="2256"/>
      <c r="M192" s="2256"/>
      <c r="N192" s="2256"/>
      <c r="O192" s="2256"/>
      <c r="P192" s="2256"/>
      <c r="Q192" s="2256"/>
      <c r="R192" s="2256"/>
      <c r="S192" s="2256"/>
      <c r="T192" s="2256"/>
      <c r="U192" s="2256"/>
      <c r="V192" s="2256"/>
      <c r="W192" s="2256"/>
      <c r="X192" s="2256"/>
      <c r="Y192" s="2256"/>
      <c r="Z192" s="2256"/>
      <c r="AA192" s="2256"/>
      <c r="AB192" s="2256"/>
      <c r="AC192" s="2256"/>
      <c r="AD192" s="66"/>
      <c r="AE192" s="66"/>
      <c r="AF192" s="66"/>
    </row>
    <row r="194" spans="1:37" ht="39.75" customHeight="1" x14ac:dyDescent="0.35">
      <c r="C194" s="2256" t="str">
        <f>CONCATENATE(D40,IF(COUNTIF(C189,"Build up the following: "),"",C189))</f>
        <v/>
      </c>
      <c r="D194" s="2256"/>
      <c r="E194" s="2256"/>
      <c r="F194" s="2256"/>
      <c r="G194" s="2256"/>
      <c r="H194" s="2256"/>
      <c r="I194" s="2256"/>
      <c r="J194" s="2256"/>
      <c r="K194" s="2256"/>
      <c r="L194" s="2256"/>
      <c r="M194" s="2256"/>
      <c r="N194" s="2256"/>
      <c r="O194" s="2256"/>
      <c r="P194" s="2256"/>
      <c r="Q194" s="2256"/>
      <c r="R194" s="2256"/>
      <c r="S194" s="2256"/>
      <c r="T194" s="2256"/>
      <c r="U194" s="2256"/>
      <c r="V194" s="2256"/>
      <c r="W194" s="2256"/>
      <c r="X194" s="2256"/>
      <c r="Y194" s="2256"/>
      <c r="Z194" s="2256"/>
      <c r="AA194" s="2256"/>
      <c r="AB194" s="2256"/>
      <c r="AC194" s="2256"/>
      <c r="AD194" s="66"/>
      <c r="AE194" s="66"/>
      <c r="AF194" s="66"/>
    </row>
    <row r="196" spans="1:37" ht="39.75" customHeight="1" x14ac:dyDescent="0.35">
      <c r="C196" s="2256" t="str">
        <f>CONCATENATE(D61,IF(COUNTIF(C189,"Build up the following: "),"",C189))</f>
        <v/>
      </c>
      <c r="D196" s="2256"/>
      <c r="E196" s="2256"/>
      <c r="F196" s="2256"/>
      <c r="G196" s="2256"/>
      <c r="H196" s="2256"/>
      <c r="I196" s="2256"/>
      <c r="J196" s="2256"/>
      <c r="K196" s="2256"/>
      <c r="L196" s="2256"/>
      <c r="M196" s="2256"/>
      <c r="N196" s="2256"/>
      <c r="O196" s="2256"/>
      <c r="P196" s="2256"/>
      <c r="Q196" s="2256"/>
      <c r="R196" s="2256"/>
      <c r="S196" s="2256"/>
      <c r="T196" s="2256"/>
      <c r="U196" s="2256"/>
      <c r="V196" s="2256"/>
      <c r="W196" s="2256"/>
      <c r="X196" s="2256"/>
      <c r="Y196" s="2256"/>
      <c r="Z196" s="2256"/>
      <c r="AA196" s="2256"/>
      <c r="AB196" s="2256"/>
      <c r="AC196" s="2256"/>
      <c r="AD196" s="66"/>
      <c r="AE196" s="66"/>
      <c r="AF196" s="66"/>
    </row>
    <row r="198" spans="1:37" ht="10" customHeight="1" thickBot="1" x14ac:dyDescent="0.4">
      <c r="A198" s="1322" t="s">
        <v>305</v>
      </c>
      <c r="B198" s="1322"/>
      <c r="C198" s="1322"/>
      <c r="D198" s="1322"/>
      <c r="E198" s="1322"/>
      <c r="F198" s="1322"/>
      <c r="G198" s="1322"/>
      <c r="H198" s="1322"/>
      <c r="I198" s="1322"/>
      <c r="J198" s="1322"/>
      <c r="K198" s="1322"/>
      <c r="L198" s="1322"/>
      <c r="M198" s="1322"/>
      <c r="N198" s="1322"/>
      <c r="O198" s="1322"/>
      <c r="P198" s="1322"/>
      <c r="Q198" s="1322"/>
      <c r="R198" s="1322"/>
      <c r="S198" s="1322"/>
      <c r="T198" s="1322"/>
      <c r="U198" s="1322"/>
      <c r="V198" s="1322"/>
      <c r="W198" s="1322"/>
      <c r="X198" s="1322"/>
      <c r="Y198" s="1322"/>
      <c r="Z198" s="1322"/>
      <c r="AA198" s="1322"/>
      <c r="AB198" s="1322"/>
      <c r="AC198" s="1322"/>
      <c r="AD198" s="1322"/>
      <c r="AE198" s="1322"/>
      <c r="AF198" s="1322"/>
      <c r="AG198" s="1322"/>
      <c r="AH198" s="1322"/>
      <c r="AI198" s="1322"/>
    </row>
    <row r="199" spans="1:37" ht="15" customHeight="1" x14ac:dyDescent="0.35">
      <c r="A199" s="1285"/>
      <c r="B199" s="1286"/>
      <c r="C199" s="1289" t="s">
        <v>17</v>
      </c>
      <c r="D199" s="1289"/>
      <c r="E199" s="1289"/>
      <c r="F199" s="1289"/>
      <c r="G199" s="1289"/>
      <c r="H199" s="1289"/>
      <c r="I199" s="1289"/>
      <c r="J199" s="1289"/>
      <c r="K199" s="1289"/>
      <c r="L199" s="1289"/>
      <c r="M199" s="1289"/>
      <c r="N199" s="1289"/>
      <c r="O199" s="1289"/>
      <c r="P199" s="1289"/>
      <c r="Q199" s="1289"/>
      <c r="R199" s="1289"/>
      <c r="S199" s="1289"/>
      <c r="T199" s="1289"/>
      <c r="U199" s="1289"/>
      <c r="V199" s="1290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4">
      <c r="A200" s="1287"/>
      <c r="B200" s="1288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35">
      <c r="A201" s="1283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35">
      <c r="A202" s="1283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35">
      <c r="A203" s="1283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35">
      <c r="A204" s="1283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35">
      <c r="A205" s="1283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35">
      <c r="A206" s="1283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35">
      <c r="A207" s="1283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35">
      <c r="A208" s="1283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35">
      <c r="A209" s="1283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35">
      <c r="A210" s="1283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35">
      <c r="A211" s="1283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4">
      <c r="A212" s="1284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3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10" customHeight="1" thickBot="1" x14ac:dyDescent="0.4">
      <c r="A215" s="1322" t="s">
        <v>305</v>
      </c>
      <c r="B215" s="1322"/>
      <c r="C215" s="1322"/>
      <c r="D215" s="1322"/>
      <c r="E215" s="1322"/>
      <c r="F215" s="1322"/>
      <c r="G215" s="1322"/>
      <c r="H215" s="1322"/>
      <c r="I215" s="1322"/>
      <c r="J215" s="1322"/>
      <c r="K215" s="1322"/>
      <c r="L215" s="1322"/>
      <c r="M215" s="1322"/>
      <c r="N215" s="1322"/>
      <c r="O215" s="1322"/>
      <c r="P215" s="1322"/>
      <c r="Q215" s="1322"/>
      <c r="R215" s="1322"/>
      <c r="S215" s="1322"/>
      <c r="T215" s="1322"/>
      <c r="U215" s="1322"/>
      <c r="V215" s="1322"/>
      <c r="W215" s="1322"/>
      <c r="X215" s="1322"/>
      <c r="Y215" s="1322"/>
      <c r="Z215" s="1322"/>
      <c r="AA215" s="1322"/>
      <c r="AB215" s="1322"/>
      <c r="AC215" s="1322"/>
      <c r="AD215" s="1322"/>
      <c r="AE215" s="1322"/>
      <c r="AF215" s="1322"/>
      <c r="AG215" s="1322"/>
      <c r="AH215" s="1322"/>
      <c r="AI215" s="1322"/>
    </row>
    <row r="216" spans="1:37" ht="15" customHeight="1" x14ac:dyDescent="0.35">
      <c r="A216" s="1285"/>
      <c r="B216" s="1286"/>
      <c r="C216" s="1289" t="s">
        <v>17</v>
      </c>
      <c r="D216" s="1289"/>
      <c r="E216" s="1289"/>
      <c r="F216" s="1289"/>
      <c r="G216" s="1289"/>
      <c r="H216" s="1289"/>
      <c r="I216" s="1289"/>
      <c r="J216" s="1289"/>
      <c r="K216" s="1289"/>
      <c r="L216" s="1289"/>
      <c r="M216" s="1289"/>
      <c r="N216" s="1289"/>
      <c r="O216" s="1289"/>
      <c r="P216" s="1289"/>
      <c r="Q216" s="1289"/>
      <c r="R216" s="1289"/>
      <c r="S216" s="1289"/>
      <c r="T216" s="1289"/>
      <c r="U216" s="1289"/>
      <c r="V216" s="1290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4">
      <c r="A217" s="1287"/>
      <c r="B217" s="1288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35">
      <c r="A218" s="1283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35">
      <c r="A219" s="1283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35">
      <c r="A220" s="1283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35">
      <c r="A221" s="1283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35">
      <c r="A222" s="1283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35">
      <c r="A223" s="1283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35">
      <c r="A224" s="1283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35">
      <c r="A225" s="1283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35">
      <c r="A226" s="1283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35">
      <c r="A227" s="1283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35">
      <c r="A228" s="1283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4">
      <c r="A229" s="1284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3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10" customHeight="1" thickBot="1" x14ac:dyDescent="0.4">
      <c r="A231" s="1322" t="s">
        <v>133</v>
      </c>
      <c r="B231" s="1322"/>
      <c r="C231" s="1322"/>
      <c r="D231" s="1322"/>
      <c r="E231" s="1322"/>
      <c r="F231" s="1322"/>
      <c r="G231" s="1322"/>
      <c r="H231" s="1322"/>
      <c r="I231" s="1322"/>
      <c r="J231" s="1322"/>
      <c r="K231" s="1322"/>
      <c r="L231" s="1322"/>
      <c r="M231" s="1322"/>
      <c r="N231" s="1322"/>
      <c r="O231" s="1322"/>
      <c r="P231" s="1322"/>
      <c r="Q231" s="1322"/>
      <c r="R231" s="1322"/>
      <c r="S231" s="1322"/>
      <c r="T231" s="1322"/>
      <c r="U231" s="1322"/>
      <c r="V231" s="1322"/>
      <c r="W231" s="1322"/>
      <c r="X231" s="1322"/>
      <c r="Y231" s="1322"/>
      <c r="Z231" s="1322"/>
      <c r="AA231" s="1322"/>
      <c r="AB231" s="1322"/>
      <c r="AC231" s="1322"/>
      <c r="AD231" s="1322"/>
      <c r="AE231" s="1322"/>
      <c r="AF231" s="1322"/>
      <c r="AG231" s="1322"/>
      <c r="AH231" s="1322"/>
      <c r="AI231" s="1322"/>
    </row>
    <row r="232" spans="1:54" ht="24" customHeight="1" thickBot="1" x14ac:dyDescent="0.4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35">
      <c r="A233" s="1285"/>
      <c r="B233" s="1286"/>
      <c r="C233" s="1289" t="s">
        <v>17</v>
      </c>
      <c r="D233" s="1289"/>
      <c r="E233" s="1289"/>
      <c r="F233" s="1289"/>
      <c r="G233" s="1289"/>
      <c r="H233" s="1289"/>
      <c r="I233" s="1289"/>
      <c r="J233" s="1289"/>
      <c r="K233" s="1289"/>
      <c r="L233" s="1289"/>
      <c r="M233" s="1289"/>
      <c r="N233" s="1289"/>
      <c r="O233" s="1289"/>
      <c r="P233" s="1289"/>
      <c r="Q233" s="1289"/>
      <c r="R233" s="1289"/>
      <c r="S233" s="1289"/>
      <c r="T233" s="1289"/>
      <c r="U233" s="1289"/>
      <c r="V233" s="1290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4">
      <c r="A234" s="1287"/>
      <c r="B234" s="1288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35">
      <c r="A235" s="1283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>O</v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>O</v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>O</v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>O</v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>O</v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>O</v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>O</v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>O</v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/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>O</v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>O</v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>O</v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>O</v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/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/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/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/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/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/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/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/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/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/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/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35">
      <c r="A236" s="1283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>O</v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>O</v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>O</v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>O</v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>O</v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/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/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/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/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>O</v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>O</v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>O</v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>O</v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/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/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/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/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/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/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/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/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/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/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/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35">
      <c r="A237" s="1283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>O</v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>O</v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>O</v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>O</v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>O</v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>O</v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>O</v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/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/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>O</v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>O</v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>O</v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/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/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/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/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/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/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/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/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/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/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/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35">
      <c r="A238" s="1283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>O</v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>O</v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>O</v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>O</v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>O</v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>O</v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/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/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/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>O</v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>O</v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>O</v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>O</v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/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/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/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/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/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/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/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/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/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/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/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35">
      <c r="A239" s="1283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>O</v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>O</v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>O</v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>O</v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>O</v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>O</v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>O</v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>O</v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/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>O</v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>O</v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>O</v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>O</v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/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/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/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/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/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/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/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/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/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/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/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35">
      <c r="A240" s="1283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>O</v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>O</v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>O</v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>O</v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>O</v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/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/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/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/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>O</v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>O</v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>O</v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>O</v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/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/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/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/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/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/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/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/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/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/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/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35">
      <c r="A241" s="1283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/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/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/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/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/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/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/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/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/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/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/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/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/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/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/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/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/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35">
      <c r="A242" s="1283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/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/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/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/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/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/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/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/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/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/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/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/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/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/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/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/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/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35">
      <c r="A243" s="1283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35">
      <c r="A244" s="1283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35">
      <c r="A245" s="1283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4">
      <c r="A246" s="1284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35"/>
    <row r="250" spans="1:63" x14ac:dyDescent="0.3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  <mergeCell ref="C192:AC192"/>
    <mergeCell ref="C194:AC194"/>
    <mergeCell ref="C196:AC196"/>
    <mergeCell ref="C83:AI83"/>
    <mergeCell ref="C125:AI125"/>
    <mergeCell ref="C189:AC189"/>
    <mergeCell ref="D147:W147"/>
    <mergeCell ref="R2:X2"/>
    <mergeCell ref="A19:C21"/>
    <mergeCell ref="D19:Z21"/>
    <mergeCell ref="O2:Q2"/>
    <mergeCell ref="L2:N2"/>
    <mergeCell ref="A2:K2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</mergeCells>
  <conditionalFormatting sqref="C3:AJ3">
    <cfRule type="expression" dxfId="191" priority="2705">
      <formula>COUNTIF(C3,"0a")</formula>
    </cfRule>
  </conditionalFormatting>
  <conditionalFormatting sqref="C5:AJ16">
    <cfRule type="expression" dxfId="190" priority="2">
      <formula>AND(COUNTIF(C5,"*V*"),AND(NOT(COUNTIF(B5,"*V*")),NOT(COUNTIF(D5,"*V*"))))</formula>
    </cfRule>
    <cfRule type="expression" dxfId="189" priority="3">
      <formula>COUNTIF(C5,"*7*")</formula>
    </cfRule>
    <cfRule type="expression" dxfId="188" priority="4">
      <formula>COUNTIF(C5,"*6*")</formula>
    </cfRule>
    <cfRule type="expression" dxfId="187" priority="5">
      <formula>COUNTIF(C5,"*5*")</formula>
    </cfRule>
    <cfRule type="expression" dxfId="186" priority="6">
      <formula>COUNTIF(C5,"*4*")</formula>
    </cfRule>
    <cfRule type="expression" dxfId="185" priority="7">
      <formula>COUNTIF(C5,"*3*")</formula>
    </cfRule>
    <cfRule type="expression" dxfId="184" priority="8">
      <formula>COUNTIF(C5,"*2*")</formula>
    </cfRule>
    <cfRule type="expression" dxfId="183" priority="9">
      <formula>COUNTIF(C5,"*1*")</formula>
    </cfRule>
  </conditionalFormatting>
  <conditionalFormatting sqref="C24:AJ24">
    <cfRule type="expression" dxfId="175" priority="34">
      <formula>COUNTIF(C24,"0a")</formula>
    </cfRule>
  </conditionalFormatting>
  <conditionalFormatting sqref="C45:AJ45">
    <cfRule type="expression" dxfId="17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796875" defaultRowHeight="14.5" x14ac:dyDescent="0.35"/>
  <cols>
    <col min="1" max="2" width="2.453125" customWidth="1"/>
    <col min="3" max="4" width="4.453125" customWidth="1"/>
    <col min="5" max="10" width="4.54296875" customWidth="1"/>
    <col min="11" max="24" width="4.1796875" customWidth="1"/>
    <col min="25" max="25" width="2.54296875" customWidth="1"/>
    <col min="26" max="26" width="3" customWidth="1"/>
    <col min="27" max="28" width="3.1796875" customWidth="1"/>
    <col min="128" max="128" width="9.1796875" customWidth="1"/>
  </cols>
  <sheetData>
    <row r="1" spans="1:24" ht="18.75" customHeight="1" x14ac:dyDescent="0.35">
      <c r="A1" s="1885"/>
      <c r="B1" s="1878"/>
      <c r="C1" s="2259" t="s">
        <v>977</v>
      </c>
      <c r="D1" s="2259"/>
      <c r="E1" s="2259"/>
      <c r="F1" s="2259"/>
      <c r="G1" s="2259"/>
      <c r="H1" s="2259"/>
      <c r="I1" s="2259"/>
      <c r="J1" s="2259"/>
      <c r="K1" s="2259"/>
      <c r="L1" s="2259"/>
      <c r="M1" s="2259"/>
      <c r="N1" s="2259"/>
      <c r="O1" s="2259"/>
      <c r="P1" s="2260"/>
      <c r="Q1" s="1813" t="s">
        <v>1058</v>
      </c>
      <c r="R1" s="1554"/>
      <c r="S1" s="1554"/>
      <c r="T1" s="1554"/>
      <c r="U1" s="1554"/>
      <c r="V1" s="1554"/>
      <c r="W1" s="1554"/>
      <c r="X1" s="1554"/>
    </row>
    <row r="2" spans="1:24" ht="18.75" customHeight="1" x14ac:dyDescent="0.35">
      <c r="A2" s="2257"/>
      <c r="B2" s="2258"/>
      <c r="C2" s="1541"/>
      <c r="D2" s="1541"/>
      <c r="E2" s="1541"/>
      <c r="F2" s="1541"/>
      <c r="G2" s="1541"/>
      <c r="H2" s="1541"/>
      <c r="I2" s="1541"/>
      <c r="J2" s="1541"/>
      <c r="K2" s="1541"/>
      <c r="L2" s="1541"/>
      <c r="M2" s="1541"/>
      <c r="N2" s="1541"/>
      <c r="O2" s="1541"/>
      <c r="P2" s="1542"/>
      <c r="Q2" s="1815" t="s">
        <v>1580</v>
      </c>
      <c r="R2" s="1558"/>
      <c r="S2" s="1558"/>
      <c r="T2" s="1558"/>
      <c r="U2" s="1558"/>
      <c r="V2" s="1558"/>
      <c r="W2" s="1558"/>
      <c r="X2" s="1558"/>
    </row>
    <row r="3" spans="1:24" ht="18.75" customHeight="1" x14ac:dyDescent="0.35">
      <c r="A3" s="2261" t="s">
        <v>1120</v>
      </c>
      <c r="B3" s="1879"/>
      <c r="C3" s="1879"/>
      <c r="D3" s="1879"/>
      <c r="E3" s="1879"/>
      <c r="F3" s="1879"/>
      <c r="G3" s="1879"/>
      <c r="H3" s="1879"/>
      <c r="I3" s="1879"/>
      <c r="J3" s="1879"/>
      <c r="K3" s="1879"/>
      <c r="L3" s="1879"/>
      <c r="M3" s="1879"/>
      <c r="N3" s="1879"/>
      <c r="O3" s="1879"/>
      <c r="P3" s="1879"/>
      <c r="Q3" s="1558" t="s">
        <v>1040</v>
      </c>
      <c r="R3" s="1558"/>
      <c r="S3" s="1558"/>
      <c r="T3" s="1558"/>
      <c r="U3" s="1558"/>
      <c r="V3" s="1558"/>
      <c r="W3" s="1558"/>
      <c r="X3" s="1558"/>
    </row>
    <row r="4" spans="1:24" ht="18.75" customHeight="1" thickBot="1" x14ac:dyDescent="0.4">
      <c r="A4" s="1850"/>
      <c r="B4" s="1847"/>
      <c r="C4" s="1847"/>
      <c r="D4" s="1847"/>
      <c r="E4" s="1847"/>
      <c r="F4" s="1847"/>
      <c r="G4" s="1847"/>
      <c r="H4" s="1847"/>
      <c r="I4" s="1847"/>
      <c r="J4" s="1847"/>
      <c r="K4" s="1847"/>
      <c r="L4" s="1847"/>
      <c r="M4" s="1847"/>
      <c r="N4" s="1847"/>
      <c r="O4" s="1847"/>
      <c r="P4" s="1847"/>
      <c r="Q4" s="1561" t="s">
        <v>1041</v>
      </c>
      <c r="R4" s="1561"/>
      <c r="S4" s="1561"/>
      <c r="T4" s="1561"/>
      <c r="U4" s="1561"/>
      <c r="V4" s="1561"/>
      <c r="W4" s="1561"/>
      <c r="X4" s="1561"/>
    </row>
    <row r="5" spans="1:24" ht="6" customHeight="1" thickBot="1" x14ac:dyDescent="0.4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4">
      <c r="A6" s="1522" t="s">
        <v>27</v>
      </c>
      <c r="B6" s="1522"/>
      <c r="C6" s="1522"/>
      <c r="D6" s="1522"/>
      <c r="E6" s="1523"/>
      <c r="F6" s="2265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2025-AR-109 </v>
      </c>
      <c r="G6" s="2266"/>
      <c r="H6" s="2266"/>
      <c r="I6" s="2267"/>
      <c r="J6" s="2263" t="s">
        <v>28</v>
      </c>
      <c r="K6" s="2264"/>
      <c r="L6" s="2264"/>
      <c r="M6" s="1556">
        <f>IF(Data!B2&lt;&gt;"", Data!B2, " ")</f>
        <v>13845937</v>
      </c>
      <c r="N6" s="1653"/>
      <c r="O6" s="1653"/>
      <c r="P6" s="1557"/>
      <c r="Q6" s="1526" t="s">
        <v>1043</v>
      </c>
      <c r="R6" s="1522"/>
      <c r="S6" s="1522"/>
      <c r="T6" s="1522"/>
      <c r="U6" s="1556"/>
      <c r="V6" s="1653"/>
      <c r="W6" s="1653"/>
      <c r="X6" s="1557"/>
    </row>
    <row r="7" spans="1:24" ht="6" customHeight="1" thickBot="1" x14ac:dyDescent="0.4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262" t="s">
        <v>1044</v>
      </c>
      <c r="R7" s="2262"/>
      <c r="S7" s="2262"/>
      <c r="T7" s="2262"/>
      <c r="U7" s="449"/>
      <c r="V7" s="449"/>
      <c r="W7" s="449"/>
      <c r="X7" s="450"/>
    </row>
    <row r="8" spans="1:24" ht="18" customHeight="1" thickBot="1" x14ac:dyDescent="0.4">
      <c r="A8" s="1522" t="s">
        <v>29</v>
      </c>
      <c r="B8" s="1522"/>
      <c r="C8" s="1522"/>
      <c r="D8" s="1522"/>
      <c r="E8" s="1523"/>
      <c r="F8" s="1556" t="str">
        <f>IF(LEN(Data!B3)&gt;3,IF(AND(Data!B43&lt;&gt;"",Data!B43&lt;&gt;"0 0/1"""),Data!B43,""),IF(Data!B3&lt;&gt;"",Data!B3&amp;"""",""))</f>
        <v>8 3/8"</v>
      </c>
      <c r="G8" s="1653"/>
      <c r="H8" s="1653"/>
      <c r="I8" s="1557"/>
      <c r="J8" s="2263" t="s">
        <v>30</v>
      </c>
      <c r="K8" s="2264"/>
      <c r="L8" s="2264"/>
      <c r="M8" s="1556">
        <f>IF(Data!B5&lt;&gt;"",Data!B5," ")</f>
        <v>1080537</v>
      </c>
      <c r="N8" s="1653"/>
      <c r="O8" s="1653"/>
      <c r="P8" s="1557"/>
      <c r="Q8" s="2262"/>
      <c r="R8" s="2262"/>
      <c r="S8" s="2262"/>
      <c r="T8" s="2262"/>
      <c r="U8" s="1678">
        <f>IF(Data!B6&lt;&gt;"",Data!B6," ")</f>
        <v>46002</v>
      </c>
      <c r="V8" s="1679"/>
      <c r="W8" s="1679"/>
      <c r="X8" s="1680"/>
    </row>
    <row r="9" spans="1:24" ht="6" customHeight="1" thickBot="1" x14ac:dyDescent="0.4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262"/>
      <c r="R9" s="2262"/>
      <c r="S9" s="2262"/>
      <c r="T9" s="2262"/>
      <c r="U9" s="449"/>
      <c r="V9" s="449"/>
      <c r="W9" s="449"/>
    </row>
    <row r="10" spans="1:24" ht="18" customHeight="1" thickBot="1" x14ac:dyDescent="0.4">
      <c r="A10" s="1522" t="s">
        <v>31</v>
      </c>
      <c r="B10" s="1522"/>
      <c r="C10" s="1522"/>
      <c r="D10" s="1522"/>
      <c r="E10" s="1523"/>
      <c r="F10" s="1556" t="str">
        <f>IF(Data!B4&lt;&gt;"",Data!B4," ")</f>
        <v>MM65DH-1</v>
      </c>
      <c r="G10" s="1653"/>
      <c r="H10" s="1653"/>
      <c r="I10" s="1557"/>
      <c r="J10" s="2263" t="s">
        <v>32</v>
      </c>
      <c r="K10" s="2264"/>
      <c r="L10" s="2264"/>
      <c r="M10" s="1556" t="str">
        <f>IF(Data!B7&lt;&gt;"",Data!B7, " ")</f>
        <v>SAUDI ARAMCO</v>
      </c>
      <c r="N10" s="1653"/>
      <c r="O10" s="1653"/>
      <c r="P10" s="1557"/>
      <c r="Q10" s="1522" t="s">
        <v>33</v>
      </c>
      <c r="R10" s="1522"/>
      <c r="S10" s="1522"/>
      <c r="T10" s="1522"/>
      <c r="U10" s="1556">
        <f>IF(Data!B24&lt;&gt;"",Data!B24,IFERROR(VLOOKUP(Data!$B$7,Data!F63:G70,2,FALSE),""))</f>
        <v>6600048646</v>
      </c>
      <c r="V10" s="1653"/>
      <c r="W10" s="1653"/>
      <c r="X10" s="1557"/>
    </row>
    <row r="11" spans="1:24" ht="6" customHeight="1" thickBot="1" x14ac:dyDescent="0.4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4">
      <c r="A12" s="1522" t="s">
        <v>1034</v>
      </c>
      <c r="B12" s="1522"/>
      <c r="C12" s="1522"/>
      <c r="D12" s="1522"/>
      <c r="E12" s="1523"/>
      <c r="F12" s="1556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653"/>
      <c r="H12" s="1653"/>
      <c r="I12" s="1557"/>
      <c r="J12" s="2263" t="s">
        <v>1042</v>
      </c>
      <c r="K12" s="2264"/>
      <c r="L12" s="2264"/>
      <c r="M12" s="1556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653"/>
      <c r="O12" s="1653"/>
      <c r="P12" s="1557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4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35">
      <c r="A14" s="1885" t="s">
        <v>17</v>
      </c>
      <c r="B14" s="1878"/>
      <c r="C14" s="1878"/>
      <c r="D14" s="1878"/>
      <c r="E14" s="1878"/>
      <c r="F14" s="1878"/>
      <c r="G14" s="1878"/>
      <c r="H14" s="1878"/>
      <c r="I14" s="1878"/>
      <c r="J14" s="1878"/>
      <c r="K14" s="1878"/>
      <c r="L14" s="1878"/>
      <c r="M14" s="1878"/>
      <c r="N14" s="1878"/>
      <c r="O14" s="1878"/>
      <c r="P14" s="1878"/>
      <c r="Q14" s="1878"/>
      <c r="R14" s="1878"/>
      <c r="S14" s="1878"/>
      <c r="T14" s="1878"/>
      <c r="U14" s="1878"/>
      <c r="V14" s="1878"/>
      <c r="W14" s="1878"/>
      <c r="X14" s="1886"/>
    </row>
    <row r="15" spans="1:24" ht="12.75" customHeight="1" thickBot="1" x14ac:dyDescent="0.4">
      <c r="A15" s="674"/>
      <c r="B15" s="58"/>
      <c r="C15" s="794" t="str">
        <f>IF(Data!BR42&lt;&gt;"",Data!BR42,"")</f>
        <v>1a</v>
      </c>
      <c r="D15" s="794" t="str">
        <f>IF(Data!BS42&lt;&gt;"",Data!BS42,"")</f>
        <v>2a</v>
      </c>
      <c r="E15" s="794" t="str">
        <f>IF(Data!BT42&lt;&gt;"",Data!BT42,"")</f>
        <v>3a</v>
      </c>
      <c r="F15" s="794" t="str">
        <f>IF(Data!BU42&lt;&gt;"",Data!BU42,"")</f>
        <v>4a</v>
      </c>
      <c r="G15" s="794" t="str">
        <f>IF(Data!BV42&lt;&gt;"",Data!BV42,"")</f>
        <v>5a</v>
      </c>
      <c r="H15" s="794" t="str">
        <f>IF(Data!BW42&lt;&gt;"",Data!BW42,"")</f>
        <v>6a</v>
      </c>
      <c r="I15" s="794" t="str">
        <f>IF(Data!BX42&lt;&gt;"",Data!BX42,"")</f>
        <v>7a</v>
      </c>
      <c r="J15" s="794" t="str">
        <f>IF(Data!BY42&lt;&gt;"",Data!BY42,"")</f>
        <v>8a</v>
      </c>
      <c r="K15" s="794" t="str">
        <f>IF(Data!BZ42&lt;&gt;"",Data!BZ42,"")</f>
        <v>0a</v>
      </c>
      <c r="L15" s="794" t="str">
        <f>IF(Data!CA42&lt;&gt;"",Data!CA42,"")</f>
        <v>1b</v>
      </c>
      <c r="M15" s="794" t="str">
        <f>IF(Data!CB42&lt;&gt;"",Data!CB42,"")</f>
        <v>2b</v>
      </c>
      <c r="N15" s="794" t="str">
        <f>IF(Data!CC42&lt;&gt;"",Data!CC42,"")</f>
        <v>3b</v>
      </c>
      <c r="O15" s="794" t="str">
        <f>IF(Data!CD42&lt;&gt;"",Data!CD42,"")</f>
        <v>4b</v>
      </c>
      <c r="P15" s="794" t="str">
        <f>IF(Data!CE42&lt;&gt;"",Data!CE42,"")</f>
        <v>0a</v>
      </c>
      <c r="Q15" s="794" t="str">
        <f>IF(Data!CF42&lt;&gt;"",Data!CF42,"")</f>
        <v>0a</v>
      </c>
      <c r="R15" s="794" t="str">
        <f>IF(Data!CG42&lt;&gt;"",Data!CG42,"")</f>
        <v>0a</v>
      </c>
      <c r="S15" s="794" t="str">
        <f>IF(Data!CH42&lt;&gt;"",Data!CH42,"")</f>
        <v>0a</v>
      </c>
      <c r="T15" s="794" t="str">
        <f>IF(Data!CI42&lt;&gt;"",Data!CI42,"")</f>
        <v>0a</v>
      </c>
      <c r="U15" s="794" t="str">
        <f>IF(Data!CJ42&lt;&gt;"",Data!CJ42,"")</f>
        <v>0a</v>
      </c>
      <c r="V15" s="794" t="str">
        <f>IF(Data!CK42&lt;&gt;"",Data!CK42,"")</f>
        <v>0a</v>
      </c>
      <c r="W15" s="794" t="str">
        <f>IF(Data!CL42&lt;&gt;"",Data!CL42,"")</f>
        <v>0a</v>
      </c>
      <c r="X15" s="795" t="str">
        <f>IF(Data!CM42&lt;&gt;"",Data!CM42,"")</f>
        <v>0a</v>
      </c>
    </row>
    <row r="16" spans="1:24" ht="16.5" customHeight="1" x14ac:dyDescent="0.35">
      <c r="A16" s="2268" t="s">
        <v>18</v>
      </c>
      <c r="B16" s="796">
        <v>1</v>
      </c>
      <c r="C16" s="788" t="str">
        <f>IF('Rework Cutter Entry'!C235&lt;&gt;"",'Rework Cutter Entry'!C235,"")</f>
        <v>O</v>
      </c>
      <c r="D16" s="789" t="str">
        <f>IF('Rework Cutter Entry'!D235&lt;&gt;"",'Rework Cutter Entry'!D235,"")</f>
        <v>O</v>
      </c>
      <c r="E16" s="789" t="str">
        <f>IF('Rework Cutter Entry'!E235&lt;&gt;"",'Rework Cutter Entry'!E235,"")</f>
        <v>O</v>
      </c>
      <c r="F16" s="789" t="str">
        <f>IF('Rework Cutter Entry'!F235&lt;&gt;"",'Rework Cutter Entry'!F235,"")</f>
        <v>O</v>
      </c>
      <c r="G16" s="789" t="str">
        <f>IF('Rework Cutter Entry'!G235&lt;&gt;"",'Rework Cutter Entry'!G235,"")</f>
        <v>O</v>
      </c>
      <c r="H16" s="789" t="str">
        <f>IF('Rework Cutter Entry'!H235&lt;&gt;"",'Rework Cutter Entry'!H235,"")</f>
        <v>O</v>
      </c>
      <c r="I16" s="789" t="str">
        <f>IF('Rework Cutter Entry'!I235&lt;&gt;"",'Rework Cutter Entry'!I235,"")</f>
        <v>O</v>
      </c>
      <c r="J16" s="789" t="str">
        <f>IF('Rework Cutter Entry'!J235&lt;&gt;"",'Rework Cutter Entry'!J235,"")</f>
        <v>O</v>
      </c>
      <c r="K16" s="789" t="str">
        <f>IF('Rework Cutter Entry'!K235&lt;&gt;"",'Rework Cutter Entry'!K235,"")</f>
        <v/>
      </c>
      <c r="L16" s="789" t="str">
        <f>IF('Rework Cutter Entry'!L235&lt;&gt;"",'Rework Cutter Entry'!L235,"")</f>
        <v>O</v>
      </c>
      <c r="M16" s="789" t="str">
        <f>IF('Rework Cutter Entry'!M235&lt;&gt;"",'Rework Cutter Entry'!M235,"")</f>
        <v>O</v>
      </c>
      <c r="N16" s="789" t="str">
        <f>IF('Rework Cutter Entry'!N235&lt;&gt;"",'Rework Cutter Entry'!N235,"")</f>
        <v>O</v>
      </c>
      <c r="O16" s="789" t="str">
        <f>IF('Rework Cutter Entry'!O235&lt;&gt;"",'Rework Cutter Entry'!O235,"")</f>
        <v>O</v>
      </c>
      <c r="P16" s="789" t="str">
        <f>IF('Rework Cutter Entry'!P235&lt;&gt;"",'Rework Cutter Entry'!P235,"")</f>
        <v/>
      </c>
      <c r="Q16" s="789" t="str">
        <f>IF('Rework Cutter Entry'!Q235&lt;&gt;"",'Rework Cutter Entry'!Q235,"")</f>
        <v/>
      </c>
      <c r="R16" s="789" t="str">
        <f>IF('Rework Cutter Entry'!R235&lt;&gt;"",'Rework Cutter Entry'!R235,"")</f>
        <v/>
      </c>
      <c r="S16" s="789" t="str">
        <f>IF('Rework Cutter Entry'!S235&lt;&gt;"",'Rework Cutter Entry'!S235,"")</f>
        <v/>
      </c>
      <c r="T16" s="789" t="str">
        <f>IF('Rework Cutter Entry'!T235&lt;&gt;"",'Rework Cutter Entry'!T235,"")</f>
        <v/>
      </c>
      <c r="U16" s="789" t="str">
        <f>IF('Rework Cutter Entry'!U235&lt;&gt;"",'Rework Cutter Entry'!U235,"")</f>
        <v/>
      </c>
      <c r="V16" s="789" t="str">
        <f>IF('Rework Cutter Entry'!V235&lt;&gt;"",'Rework Cutter Entry'!V235,"")</f>
        <v/>
      </c>
      <c r="W16" s="789" t="str">
        <f>IF('Rework Cutter Entry'!W235&lt;&gt;"",'Rework Cutter Entry'!W235,"")</f>
        <v/>
      </c>
      <c r="X16" s="790" t="str">
        <f>IF('Rework Cutter Entry'!X235&lt;&gt;"",'Rework Cutter Entry'!X235,"")</f>
        <v/>
      </c>
    </row>
    <row r="17" spans="1:24" ht="16.5" customHeight="1" x14ac:dyDescent="0.35">
      <c r="A17" s="2269"/>
      <c r="B17" s="755">
        <v>2</v>
      </c>
      <c r="C17" s="775" t="str">
        <f>IF('Rework Cutter Entry'!C236&lt;&gt;"",'Rework Cutter Entry'!C236,"")</f>
        <v>O</v>
      </c>
      <c r="D17" s="776" t="str">
        <f>IF('Rework Cutter Entry'!D236&lt;&gt;"",'Rework Cutter Entry'!D236,"")</f>
        <v>O</v>
      </c>
      <c r="E17" s="776" t="str">
        <f>IF('Rework Cutter Entry'!E236&lt;&gt;"",'Rework Cutter Entry'!E236,"")</f>
        <v>O</v>
      </c>
      <c r="F17" s="776" t="str">
        <f>IF('Rework Cutter Entry'!F236&lt;&gt;"",'Rework Cutter Entry'!F236,"")</f>
        <v>O</v>
      </c>
      <c r="G17" s="776" t="str">
        <f>IF('Rework Cutter Entry'!G236&lt;&gt;"",'Rework Cutter Entry'!G236,"")</f>
        <v>O</v>
      </c>
      <c r="H17" s="776" t="str">
        <f>IF('Rework Cutter Entry'!H236&lt;&gt;"",'Rework Cutter Entry'!H236,"")</f>
        <v/>
      </c>
      <c r="I17" s="776" t="str">
        <f>IF('Rework Cutter Entry'!I236&lt;&gt;"",'Rework Cutter Entry'!I236,"")</f>
        <v/>
      </c>
      <c r="J17" s="776" t="str">
        <f>IF('Rework Cutter Entry'!J236&lt;&gt;"",'Rework Cutter Entry'!J236,"")</f>
        <v/>
      </c>
      <c r="K17" s="776" t="str">
        <f>IF('Rework Cutter Entry'!K236&lt;&gt;"",'Rework Cutter Entry'!K236,"")</f>
        <v/>
      </c>
      <c r="L17" s="776" t="str">
        <f>IF('Rework Cutter Entry'!L236&lt;&gt;"",'Rework Cutter Entry'!L236,"")</f>
        <v>O</v>
      </c>
      <c r="M17" s="776" t="str">
        <f>IF('Rework Cutter Entry'!M236&lt;&gt;"",'Rework Cutter Entry'!M236,"")</f>
        <v>O</v>
      </c>
      <c r="N17" s="776" t="str">
        <f>IF('Rework Cutter Entry'!N236&lt;&gt;"",'Rework Cutter Entry'!N236,"")</f>
        <v>O</v>
      </c>
      <c r="O17" s="776" t="str">
        <f>IF('Rework Cutter Entry'!O236&lt;&gt;"",'Rework Cutter Entry'!O236,"")</f>
        <v>O</v>
      </c>
      <c r="P17" s="776" t="str">
        <f>IF('Rework Cutter Entry'!P236&lt;&gt;"",'Rework Cutter Entry'!P236,"")</f>
        <v/>
      </c>
      <c r="Q17" s="776" t="str">
        <f>IF('Rework Cutter Entry'!Q236&lt;&gt;"",'Rework Cutter Entry'!Q236,"")</f>
        <v/>
      </c>
      <c r="R17" s="776" t="str">
        <f>IF('Rework Cutter Entry'!R236&lt;&gt;"",'Rework Cutter Entry'!R236,"")</f>
        <v/>
      </c>
      <c r="S17" s="776" t="str">
        <f>IF('Rework Cutter Entry'!S236&lt;&gt;"",'Rework Cutter Entry'!S236,"")</f>
        <v/>
      </c>
      <c r="T17" s="776" t="str">
        <f>IF('Rework Cutter Entry'!T236&lt;&gt;"",'Rework Cutter Entry'!T236,"")</f>
        <v/>
      </c>
      <c r="U17" s="776" t="str">
        <f>IF('Rework Cutter Entry'!U236&lt;&gt;"",'Rework Cutter Entry'!U236,"")</f>
        <v/>
      </c>
      <c r="V17" s="776" t="str">
        <f>IF('Rework Cutter Entry'!V236&lt;&gt;"",'Rework Cutter Entry'!V236,"")</f>
        <v/>
      </c>
      <c r="W17" s="776" t="str">
        <f>IF('Rework Cutter Entry'!W236&lt;&gt;"",'Rework Cutter Entry'!W236,"")</f>
        <v/>
      </c>
      <c r="X17" s="777" t="str">
        <f>IF('Rework Cutter Entry'!X236&lt;&gt;"",'Rework Cutter Entry'!X236,"")</f>
        <v/>
      </c>
    </row>
    <row r="18" spans="1:24" ht="16.5" customHeight="1" x14ac:dyDescent="0.35">
      <c r="A18" s="2269"/>
      <c r="B18" s="755">
        <v>3</v>
      </c>
      <c r="C18" s="775" t="str">
        <f>IF('Rework Cutter Entry'!C237&lt;&gt;"",'Rework Cutter Entry'!C237,"")</f>
        <v>O</v>
      </c>
      <c r="D18" s="776" t="str">
        <f>IF('Rework Cutter Entry'!D237&lt;&gt;"",'Rework Cutter Entry'!D237,"")</f>
        <v>O</v>
      </c>
      <c r="E18" s="776" t="str">
        <f>IF('Rework Cutter Entry'!E237&lt;&gt;"",'Rework Cutter Entry'!E237,"")</f>
        <v>O</v>
      </c>
      <c r="F18" s="776" t="str">
        <f>IF('Rework Cutter Entry'!F237&lt;&gt;"",'Rework Cutter Entry'!F237,"")</f>
        <v>O</v>
      </c>
      <c r="G18" s="776" t="str">
        <f>IF('Rework Cutter Entry'!G237&lt;&gt;"",'Rework Cutter Entry'!G237,"")</f>
        <v>O</v>
      </c>
      <c r="H18" s="776" t="str">
        <f>IF('Rework Cutter Entry'!H237&lt;&gt;"",'Rework Cutter Entry'!H237,"")</f>
        <v>O</v>
      </c>
      <c r="I18" s="776" t="str">
        <f>IF('Rework Cutter Entry'!I237&lt;&gt;"",'Rework Cutter Entry'!I237,"")</f>
        <v>O</v>
      </c>
      <c r="J18" s="776" t="str">
        <f>IF('Rework Cutter Entry'!J237&lt;&gt;"",'Rework Cutter Entry'!J237,"")</f>
        <v/>
      </c>
      <c r="K18" s="776" t="str">
        <f>IF('Rework Cutter Entry'!K237&lt;&gt;"",'Rework Cutter Entry'!K237,"")</f>
        <v/>
      </c>
      <c r="L18" s="776" t="str">
        <f>IF('Rework Cutter Entry'!L237&lt;&gt;"",'Rework Cutter Entry'!L237,"")</f>
        <v>O</v>
      </c>
      <c r="M18" s="776" t="str">
        <f>IF('Rework Cutter Entry'!M237&lt;&gt;"",'Rework Cutter Entry'!M237,"")</f>
        <v>O</v>
      </c>
      <c r="N18" s="776" t="str">
        <f>IF('Rework Cutter Entry'!N237&lt;&gt;"",'Rework Cutter Entry'!N237,"")</f>
        <v>O</v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/>
      </c>
      <c r="Q18" s="776" t="str">
        <f>IF('Rework Cutter Entry'!Q237&lt;&gt;"",'Rework Cutter Entry'!Q237,"")</f>
        <v/>
      </c>
      <c r="R18" s="776" t="str">
        <f>IF('Rework Cutter Entry'!R237&lt;&gt;"",'Rework Cutter Entry'!R237,"")</f>
        <v/>
      </c>
      <c r="S18" s="776" t="str">
        <f>IF('Rework Cutter Entry'!S237&lt;&gt;"",'Rework Cutter Entry'!S237,"")</f>
        <v/>
      </c>
      <c r="T18" s="776" t="str">
        <f>IF('Rework Cutter Entry'!T237&lt;&gt;"",'Rework Cutter Entry'!T237,"")</f>
        <v/>
      </c>
      <c r="U18" s="776" t="str">
        <f>IF('Rework Cutter Entry'!U237&lt;&gt;"",'Rework Cutter Entry'!U237,"")</f>
        <v/>
      </c>
      <c r="V18" s="776" t="str">
        <f>IF('Rework Cutter Entry'!V237&lt;&gt;"",'Rework Cutter Entry'!V237,"")</f>
        <v/>
      </c>
      <c r="W18" s="776" t="str">
        <f>IF('Rework Cutter Entry'!W237&lt;&gt;"",'Rework Cutter Entry'!W237,"")</f>
        <v/>
      </c>
      <c r="X18" s="777" t="str">
        <f>IF('Rework Cutter Entry'!X237&lt;&gt;"",'Rework Cutter Entry'!X237,"")</f>
        <v/>
      </c>
    </row>
    <row r="19" spans="1:24" ht="16.5" customHeight="1" x14ac:dyDescent="0.35">
      <c r="A19" s="2269"/>
      <c r="B19" s="755">
        <v>4</v>
      </c>
      <c r="C19" s="775" t="str">
        <f>IF('Rework Cutter Entry'!C238&lt;&gt;"",'Rework Cutter Entry'!C238,"")</f>
        <v>O</v>
      </c>
      <c r="D19" s="776" t="str">
        <f>IF('Rework Cutter Entry'!D238&lt;&gt;"",'Rework Cutter Entry'!D238,"")</f>
        <v>O</v>
      </c>
      <c r="E19" s="776" t="str">
        <f>IF('Rework Cutter Entry'!E238&lt;&gt;"",'Rework Cutter Entry'!E238,"")</f>
        <v>O</v>
      </c>
      <c r="F19" s="776" t="str">
        <f>IF('Rework Cutter Entry'!F238&lt;&gt;"",'Rework Cutter Entry'!F238,"")</f>
        <v>O</v>
      </c>
      <c r="G19" s="776" t="str">
        <f>IF('Rework Cutter Entry'!G238&lt;&gt;"",'Rework Cutter Entry'!G238,"")</f>
        <v>O</v>
      </c>
      <c r="H19" s="776" t="str">
        <f>IF('Rework Cutter Entry'!H238&lt;&gt;"",'Rework Cutter Entry'!H238,"")</f>
        <v>O</v>
      </c>
      <c r="I19" s="776" t="str">
        <f>IF('Rework Cutter Entry'!I238&lt;&gt;"",'Rework Cutter Entry'!I238,"")</f>
        <v/>
      </c>
      <c r="J19" s="776" t="str">
        <f>IF('Rework Cutter Entry'!J238&lt;&gt;"",'Rework Cutter Entry'!J238,"")</f>
        <v/>
      </c>
      <c r="K19" s="776" t="str">
        <f>IF('Rework Cutter Entry'!K238&lt;&gt;"",'Rework Cutter Entry'!K238,"")</f>
        <v/>
      </c>
      <c r="L19" s="776" t="str">
        <f>IF('Rework Cutter Entry'!L238&lt;&gt;"",'Rework Cutter Entry'!L238,"")</f>
        <v>O</v>
      </c>
      <c r="M19" s="776" t="str">
        <f>IF('Rework Cutter Entry'!M238&lt;&gt;"",'Rework Cutter Entry'!M238,"")</f>
        <v>O</v>
      </c>
      <c r="N19" s="776" t="str">
        <f>IF('Rework Cutter Entry'!N238&lt;&gt;"",'Rework Cutter Entry'!N238,"")</f>
        <v>O</v>
      </c>
      <c r="O19" s="776" t="str">
        <f>IF('Rework Cutter Entry'!O238&lt;&gt;"",'Rework Cutter Entry'!O238,"")</f>
        <v>O</v>
      </c>
      <c r="P19" s="776" t="str">
        <f>IF('Rework Cutter Entry'!P238&lt;&gt;"",'Rework Cutter Entry'!P238,"")</f>
        <v/>
      </c>
      <c r="Q19" s="776" t="str">
        <f>IF('Rework Cutter Entry'!Q238&lt;&gt;"",'Rework Cutter Entry'!Q238,"")</f>
        <v/>
      </c>
      <c r="R19" s="776" t="str">
        <f>IF('Rework Cutter Entry'!R238&lt;&gt;"",'Rework Cutter Entry'!R238,"")</f>
        <v/>
      </c>
      <c r="S19" s="776" t="str">
        <f>IF('Rework Cutter Entry'!S238&lt;&gt;"",'Rework Cutter Entry'!S238,"")</f>
        <v/>
      </c>
      <c r="T19" s="776" t="str">
        <f>IF('Rework Cutter Entry'!T238&lt;&gt;"",'Rework Cutter Entry'!T238,"")</f>
        <v/>
      </c>
      <c r="U19" s="776" t="str">
        <f>IF('Rework Cutter Entry'!U238&lt;&gt;"",'Rework Cutter Entry'!U238,"")</f>
        <v/>
      </c>
      <c r="V19" s="776" t="str">
        <f>IF('Rework Cutter Entry'!V238&lt;&gt;"",'Rework Cutter Entry'!V238,"")</f>
        <v/>
      </c>
      <c r="W19" s="776" t="str">
        <f>IF('Rework Cutter Entry'!W238&lt;&gt;"",'Rework Cutter Entry'!W238,"")</f>
        <v/>
      </c>
      <c r="X19" s="777" t="str">
        <f>IF('Rework Cutter Entry'!X238&lt;&gt;"",'Rework Cutter Entry'!X238,"")</f>
        <v/>
      </c>
    </row>
    <row r="20" spans="1:24" ht="16.5" customHeight="1" x14ac:dyDescent="0.35">
      <c r="A20" s="2269"/>
      <c r="B20" s="755">
        <v>5</v>
      </c>
      <c r="C20" s="775" t="str">
        <f>IF('Rework Cutter Entry'!C239&lt;&gt;"",'Rework Cutter Entry'!C239,"")</f>
        <v>O</v>
      </c>
      <c r="D20" s="776" t="str">
        <f>IF('Rework Cutter Entry'!D239&lt;&gt;"",'Rework Cutter Entry'!D239,"")</f>
        <v>O</v>
      </c>
      <c r="E20" s="776" t="str">
        <f>IF('Rework Cutter Entry'!E239&lt;&gt;"",'Rework Cutter Entry'!E239,"")</f>
        <v>O</v>
      </c>
      <c r="F20" s="776" t="str">
        <f>IF('Rework Cutter Entry'!F239&lt;&gt;"",'Rework Cutter Entry'!F239,"")</f>
        <v>O</v>
      </c>
      <c r="G20" s="776" t="str">
        <f>IF('Rework Cutter Entry'!G239&lt;&gt;"",'Rework Cutter Entry'!G239,"")</f>
        <v>O</v>
      </c>
      <c r="H20" s="776" t="str">
        <f>IF('Rework Cutter Entry'!H239&lt;&gt;"",'Rework Cutter Entry'!H239,"")</f>
        <v>O</v>
      </c>
      <c r="I20" s="776" t="str">
        <f>IF('Rework Cutter Entry'!I239&lt;&gt;"",'Rework Cutter Entry'!I239,"")</f>
        <v>O</v>
      </c>
      <c r="J20" s="776" t="str">
        <f>IF('Rework Cutter Entry'!J239&lt;&gt;"",'Rework Cutter Entry'!J239,"")</f>
        <v>O</v>
      </c>
      <c r="K20" s="776" t="str">
        <f>IF('Rework Cutter Entry'!K239&lt;&gt;"",'Rework Cutter Entry'!K239,"")</f>
        <v/>
      </c>
      <c r="L20" s="776" t="str">
        <f>IF('Rework Cutter Entry'!L239&lt;&gt;"",'Rework Cutter Entry'!L239,"")</f>
        <v>O</v>
      </c>
      <c r="M20" s="776" t="str">
        <f>IF('Rework Cutter Entry'!M239&lt;&gt;"",'Rework Cutter Entry'!M239,"")</f>
        <v>O</v>
      </c>
      <c r="N20" s="776" t="str">
        <f>IF('Rework Cutter Entry'!N239&lt;&gt;"",'Rework Cutter Entry'!N239,"")</f>
        <v>O</v>
      </c>
      <c r="O20" s="776" t="str">
        <f>IF('Rework Cutter Entry'!O239&lt;&gt;"",'Rework Cutter Entry'!O239,"")</f>
        <v>O</v>
      </c>
      <c r="P20" s="776" t="str">
        <f>IF('Rework Cutter Entry'!P239&lt;&gt;"",'Rework Cutter Entry'!P239,"")</f>
        <v/>
      </c>
      <c r="Q20" s="776" t="str">
        <f>IF('Rework Cutter Entry'!Q239&lt;&gt;"",'Rework Cutter Entry'!Q239,"")</f>
        <v/>
      </c>
      <c r="R20" s="776" t="str">
        <f>IF('Rework Cutter Entry'!R239&lt;&gt;"",'Rework Cutter Entry'!R239,"")</f>
        <v/>
      </c>
      <c r="S20" s="776" t="str">
        <f>IF('Rework Cutter Entry'!S239&lt;&gt;"",'Rework Cutter Entry'!S239,"")</f>
        <v/>
      </c>
      <c r="T20" s="776" t="str">
        <f>IF('Rework Cutter Entry'!T239&lt;&gt;"",'Rework Cutter Entry'!T239,"")</f>
        <v/>
      </c>
      <c r="U20" s="776" t="str">
        <f>IF('Rework Cutter Entry'!U239&lt;&gt;"",'Rework Cutter Entry'!U239,"")</f>
        <v/>
      </c>
      <c r="V20" s="776" t="str">
        <f>IF('Rework Cutter Entry'!V239&lt;&gt;"",'Rework Cutter Entry'!V239,"")</f>
        <v/>
      </c>
      <c r="W20" s="776" t="str">
        <f>IF('Rework Cutter Entry'!W239&lt;&gt;"",'Rework Cutter Entry'!W239,"")</f>
        <v/>
      </c>
      <c r="X20" s="777" t="str">
        <f>IF('Rework Cutter Entry'!X239&lt;&gt;"",'Rework Cutter Entry'!X239,"")</f>
        <v/>
      </c>
    </row>
    <row r="21" spans="1:24" ht="16.5" customHeight="1" x14ac:dyDescent="0.35">
      <c r="A21" s="2269"/>
      <c r="B21" s="755">
        <v>6</v>
      </c>
      <c r="C21" s="775" t="str">
        <f>IF('Rework Cutter Entry'!C240&lt;&gt;"",'Rework Cutter Entry'!C240,"")</f>
        <v>O</v>
      </c>
      <c r="D21" s="776" t="str">
        <f>IF('Rework Cutter Entry'!D240&lt;&gt;"",'Rework Cutter Entry'!D240,"")</f>
        <v>O</v>
      </c>
      <c r="E21" s="776" t="str">
        <f>IF('Rework Cutter Entry'!E240&lt;&gt;"",'Rework Cutter Entry'!E240,"")</f>
        <v>O</v>
      </c>
      <c r="F21" s="776" t="str">
        <f>IF('Rework Cutter Entry'!F240&lt;&gt;"",'Rework Cutter Entry'!F240,"")</f>
        <v>O</v>
      </c>
      <c r="G21" s="776" t="str">
        <f>IF('Rework Cutter Entry'!G240&lt;&gt;"",'Rework Cutter Entry'!G240,"")</f>
        <v>O</v>
      </c>
      <c r="H21" s="776" t="str">
        <f>IF('Rework Cutter Entry'!H240&lt;&gt;"",'Rework Cutter Entry'!H240,"")</f>
        <v/>
      </c>
      <c r="I21" s="776" t="str">
        <f>IF('Rework Cutter Entry'!I240&lt;&gt;"",'Rework Cutter Entry'!I240,"")</f>
        <v/>
      </c>
      <c r="J21" s="776" t="str">
        <f>IF('Rework Cutter Entry'!J240&lt;&gt;"",'Rework Cutter Entry'!J240,"")</f>
        <v/>
      </c>
      <c r="K21" s="776" t="str">
        <f>IF('Rework Cutter Entry'!K240&lt;&gt;"",'Rework Cutter Entry'!K240,"")</f>
        <v/>
      </c>
      <c r="L21" s="776" t="str">
        <f>IF('Rework Cutter Entry'!L240&lt;&gt;"",'Rework Cutter Entry'!L240,"")</f>
        <v>O</v>
      </c>
      <c r="M21" s="776" t="str">
        <f>IF('Rework Cutter Entry'!M240&lt;&gt;"",'Rework Cutter Entry'!M240,"")</f>
        <v>O</v>
      </c>
      <c r="N21" s="776" t="str">
        <f>IF('Rework Cutter Entry'!N240&lt;&gt;"",'Rework Cutter Entry'!N240,"")</f>
        <v>O</v>
      </c>
      <c r="O21" s="776" t="str">
        <f>IF('Rework Cutter Entry'!O240&lt;&gt;"",'Rework Cutter Entry'!O240,"")</f>
        <v>O</v>
      </c>
      <c r="P21" s="776" t="str">
        <f>IF('Rework Cutter Entry'!P240&lt;&gt;"",'Rework Cutter Entry'!P240,"")</f>
        <v/>
      </c>
      <c r="Q21" s="776" t="str">
        <f>IF('Rework Cutter Entry'!Q240&lt;&gt;"",'Rework Cutter Entry'!Q240,"")</f>
        <v/>
      </c>
      <c r="R21" s="776" t="str">
        <f>IF('Rework Cutter Entry'!R240&lt;&gt;"",'Rework Cutter Entry'!R240,"")</f>
        <v/>
      </c>
      <c r="S21" s="776" t="str">
        <f>IF('Rework Cutter Entry'!S240&lt;&gt;"",'Rework Cutter Entry'!S240,"")</f>
        <v/>
      </c>
      <c r="T21" s="776" t="str">
        <f>IF('Rework Cutter Entry'!T240&lt;&gt;"",'Rework Cutter Entry'!T240,"")</f>
        <v/>
      </c>
      <c r="U21" s="776" t="str">
        <f>IF('Rework Cutter Entry'!U240&lt;&gt;"",'Rework Cutter Entry'!U240,"")</f>
        <v/>
      </c>
      <c r="V21" s="776" t="str">
        <f>IF('Rework Cutter Entry'!V240&lt;&gt;"",'Rework Cutter Entry'!V240,"")</f>
        <v/>
      </c>
      <c r="W21" s="776" t="str">
        <f>IF('Rework Cutter Entry'!W240&lt;&gt;"",'Rework Cutter Entry'!W240,"")</f>
        <v/>
      </c>
      <c r="X21" s="777" t="str">
        <f>IF('Rework Cutter Entry'!X240&lt;&gt;"",'Rework Cutter Entry'!X240,"")</f>
        <v/>
      </c>
    </row>
    <row r="22" spans="1:24" ht="16.5" customHeight="1" x14ac:dyDescent="0.35">
      <c r="A22" s="2269"/>
      <c r="B22" s="755">
        <v>7</v>
      </c>
      <c r="C22" s="775" t="str">
        <f>IF('Rework Cutter Entry'!C241&lt;&gt;"",'Rework Cutter Entry'!C241,"")</f>
        <v/>
      </c>
      <c r="D22" s="776" t="str">
        <f>IF('Rework Cutter Entry'!D241&lt;&gt;"",'Rework Cutter Entry'!D241,"")</f>
        <v/>
      </c>
      <c r="E22" s="776" t="str">
        <f>IF('Rework Cutter Entry'!E241&lt;&gt;"",'Rework Cutter Entry'!E241,"")</f>
        <v/>
      </c>
      <c r="F22" s="776" t="str">
        <f>IF('Rework Cutter Entry'!F241&lt;&gt;"",'Rework Cutter Entry'!F241,"")</f>
        <v/>
      </c>
      <c r="G22" s="776" t="str">
        <f>IF('Rework Cutter Entry'!G241&lt;&gt;"",'Rework Cutter Entry'!G241,"")</f>
        <v/>
      </c>
      <c r="H22" s="776" t="str">
        <f>IF('Rework Cutter Entry'!H241&lt;&gt;"",'Rework Cutter Entry'!H241,"")</f>
        <v/>
      </c>
      <c r="I22" s="776" t="str">
        <f>IF('Rework Cutter Entry'!I241&lt;&gt;"",'Rework Cutter Entry'!I241,"")</f>
        <v/>
      </c>
      <c r="J22" s="776" t="str">
        <f>IF('Rework Cutter Entry'!J241&lt;&gt;"",'Rework Cutter Entry'!J241,"")</f>
        <v/>
      </c>
      <c r="K22" s="776" t="str">
        <f>IF('Rework Cutter Entry'!K241&lt;&gt;"",'Rework Cutter Entry'!K241,"")</f>
        <v/>
      </c>
      <c r="L22" s="776" t="str">
        <f>IF('Rework Cutter Entry'!L241&lt;&gt;"",'Rework Cutter Entry'!L241,"")</f>
        <v/>
      </c>
      <c r="M22" s="776" t="str">
        <f>IF('Rework Cutter Entry'!M241&lt;&gt;"",'Rework Cutter Entry'!M241,"")</f>
        <v/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/>
      </c>
      <c r="U22" s="776" t="str">
        <f>IF('Rework Cutter Entry'!U241&lt;&gt;"",'Rework Cutter Entry'!U241,"")</f>
        <v/>
      </c>
      <c r="V22" s="776" t="str">
        <f>IF('Rework Cutter Entry'!V241&lt;&gt;"",'Rework Cutter Entry'!V241,"")</f>
        <v/>
      </c>
      <c r="W22" s="776" t="str">
        <f>IF('Rework Cutter Entry'!W241&lt;&gt;"",'Rework Cutter Entry'!W241,"")</f>
        <v/>
      </c>
      <c r="X22" s="777" t="str">
        <f>IF('Rework Cutter Entry'!X241&lt;&gt;"",'Rework Cutter Entry'!X241,"")</f>
        <v/>
      </c>
    </row>
    <row r="23" spans="1:24" ht="16.5" customHeight="1" x14ac:dyDescent="0.35">
      <c r="A23" s="2269"/>
      <c r="B23" s="755">
        <v>8</v>
      </c>
      <c r="C23" s="775" t="str">
        <f>IF('Rework Cutter Entry'!C242&lt;&gt;"",'Rework Cutter Entry'!C242,"")</f>
        <v/>
      </c>
      <c r="D23" s="776" t="str">
        <f>IF('Rework Cutter Entry'!D242&lt;&gt;"",'Rework Cutter Entry'!D242,"")</f>
        <v/>
      </c>
      <c r="E23" s="776" t="str">
        <f>IF('Rework Cutter Entry'!E242&lt;&gt;"",'Rework Cutter Entry'!E242,"")</f>
        <v/>
      </c>
      <c r="F23" s="776" t="str">
        <f>IF('Rework Cutter Entry'!F242&lt;&gt;"",'Rework Cutter Entry'!F242,"")</f>
        <v/>
      </c>
      <c r="G23" s="776" t="str">
        <f>IF('Rework Cutter Entry'!G242&lt;&gt;"",'Rework Cutter Entry'!G242,"")</f>
        <v/>
      </c>
      <c r="H23" s="776" t="str">
        <f>IF('Rework Cutter Entry'!H242&lt;&gt;"",'Rework Cutter Entry'!H242,"")</f>
        <v/>
      </c>
      <c r="I23" s="776" t="str">
        <f>IF('Rework Cutter Entry'!I242&lt;&gt;"",'Rework Cutter Entry'!I242,"")</f>
        <v/>
      </c>
      <c r="J23" s="776" t="str">
        <f>IF('Rework Cutter Entry'!J242&lt;&gt;"",'Rework Cutter Entry'!J242,"")</f>
        <v/>
      </c>
      <c r="K23" s="776" t="str">
        <f>IF('Rework Cutter Entry'!K242&lt;&gt;"",'Rework Cutter Entry'!K242,"")</f>
        <v/>
      </c>
      <c r="L23" s="776" t="str">
        <f>IF('Rework Cutter Entry'!L242&lt;&gt;"",'Rework Cutter Entry'!L242,"")</f>
        <v/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/>
      </c>
      <c r="U23" s="776" t="str">
        <f>IF('Rework Cutter Entry'!U242&lt;&gt;"",'Rework Cutter Entry'!U242,"")</f>
        <v/>
      </c>
      <c r="V23" s="776" t="str">
        <f>IF('Rework Cutter Entry'!V242&lt;&gt;"",'Rework Cutter Entry'!V242,"")</f>
        <v/>
      </c>
      <c r="W23" s="776" t="str">
        <f>IF('Rework Cutter Entry'!W242&lt;&gt;"",'Rework Cutter Entry'!W242,"")</f>
        <v/>
      </c>
      <c r="X23" s="777" t="str">
        <f>IF('Rework Cutter Entry'!X242&lt;&gt;"",'Rework Cutter Entry'!X242,"")</f>
        <v/>
      </c>
    </row>
    <row r="24" spans="1:24" ht="16.5" customHeight="1" thickBot="1" x14ac:dyDescent="0.4">
      <c r="A24" s="2270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15" customHeight="1" thickBot="1" x14ac:dyDescent="0.4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35">
      <c r="A26" s="1832" t="s">
        <v>1046</v>
      </c>
      <c r="B26" s="1825"/>
      <c r="C26" s="1825"/>
      <c r="D26" s="1825" t="s">
        <v>968</v>
      </c>
      <c r="E26" s="1825"/>
      <c r="F26" s="1825"/>
      <c r="G26" s="1825" t="s">
        <v>969</v>
      </c>
      <c r="H26" s="1825"/>
      <c r="I26" s="1825"/>
      <c r="J26" s="1825" t="s">
        <v>970</v>
      </c>
      <c r="K26" s="1825"/>
      <c r="L26" s="1825"/>
      <c r="M26" s="1825" t="s">
        <v>971</v>
      </c>
      <c r="N26" s="1825"/>
      <c r="O26" s="1825"/>
      <c r="P26" s="1825" t="s">
        <v>21</v>
      </c>
      <c r="Q26" s="1825"/>
      <c r="R26" s="1826"/>
      <c r="S26" s="449"/>
      <c r="T26" s="449"/>
      <c r="U26" s="449"/>
      <c r="V26" s="455"/>
      <c r="W26" s="452"/>
    </row>
    <row r="27" spans="1:24" ht="14.25" customHeight="1" thickBot="1" x14ac:dyDescent="0.4">
      <c r="A27" s="1837">
        <f>IF(COUNTIF($C$16:$X$24,"*R*"),COUNTIF($C$16:$X$24,"*R*"),0)</f>
        <v>0</v>
      </c>
      <c r="B27" s="1827"/>
      <c r="C27" s="1827"/>
      <c r="D27" s="1827">
        <f>IF(COUNTIF($C$16:$X$24,"*S*"),COUNTIF($C$16:$X$24,"*S*"),0)</f>
        <v>0</v>
      </c>
      <c r="E27" s="1827"/>
      <c r="F27" s="1827"/>
      <c r="G27" s="1827">
        <f>IF(COUNTIF($C$16:$X$24,"*O*"),COUNTIF($C$16:$X$24,"*O*"),0)</f>
        <v>62</v>
      </c>
      <c r="H27" s="1827"/>
      <c r="I27" s="1827"/>
      <c r="J27" s="1827">
        <f>IF(COUNTIF($C$16:$X$24,"*F*"),COUNTIF($C$16:$X$24,"*F*"),0)</f>
        <v>0</v>
      </c>
      <c r="K27" s="1827"/>
      <c r="L27" s="1827"/>
      <c r="M27" s="1827">
        <f>SUM(C34+C35+C36+C37+C38+C39+C40)</f>
        <v>0</v>
      </c>
      <c r="N27" s="1827"/>
      <c r="O27" s="1827"/>
      <c r="P27" s="1827">
        <f>SUM(A27+D27+G27+J27+M27)</f>
        <v>62</v>
      </c>
      <c r="Q27" s="1827"/>
      <c r="R27" s="1828"/>
      <c r="S27" s="455"/>
      <c r="T27" s="455"/>
      <c r="U27" s="455"/>
      <c r="V27" s="455"/>
      <c r="W27" s="455"/>
    </row>
    <row r="28" spans="1:24" ht="2.25" customHeight="1" x14ac:dyDescent="0.3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35">
      <c r="A29" s="2284" t="s">
        <v>19</v>
      </c>
      <c r="B29" s="2285"/>
      <c r="C29" s="2286"/>
      <c r="D29" s="2271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272"/>
      <c r="F29" s="2272"/>
      <c r="G29" s="2272"/>
      <c r="H29" s="2272"/>
      <c r="I29" s="2272"/>
      <c r="J29" s="2272"/>
      <c r="K29" s="2272"/>
      <c r="L29" s="2272"/>
      <c r="M29" s="2272"/>
      <c r="N29" s="2272"/>
      <c r="O29" s="2272"/>
      <c r="P29" s="2272"/>
      <c r="Q29" s="2272"/>
      <c r="R29" s="2272"/>
      <c r="S29" s="2272"/>
      <c r="T29" s="2272"/>
      <c r="U29" s="2272"/>
      <c r="V29" s="2272"/>
      <c r="W29" s="2272"/>
      <c r="X29" s="2273"/>
    </row>
    <row r="30" spans="1:24" ht="16.5" customHeight="1" thickBot="1" x14ac:dyDescent="0.4">
      <c r="A30" s="2287" t="str">
        <f>IF(Instructions!$L$1&lt;&gt;"",Instructions!$L$1,"")</f>
        <v/>
      </c>
      <c r="B30" s="2288"/>
      <c r="C30" s="2289"/>
      <c r="D30" s="2274"/>
      <c r="E30" s="1876"/>
      <c r="F30" s="1876"/>
      <c r="G30" s="1876"/>
      <c r="H30" s="1876"/>
      <c r="I30" s="1876"/>
      <c r="J30" s="1876"/>
      <c r="K30" s="1876"/>
      <c r="L30" s="1876"/>
      <c r="M30" s="1876"/>
      <c r="N30" s="1876"/>
      <c r="O30" s="1876"/>
      <c r="P30" s="1876"/>
      <c r="Q30" s="1876"/>
      <c r="R30" s="1876"/>
      <c r="S30" s="1876"/>
      <c r="T30" s="1876"/>
      <c r="U30" s="1876"/>
      <c r="V30" s="1876"/>
      <c r="W30" s="1876"/>
      <c r="X30" s="2275"/>
    </row>
    <row r="31" spans="1:24" ht="12.75" customHeight="1" thickBot="1" x14ac:dyDescent="0.4">
      <c r="A31" s="1697" t="s">
        <v>39</v>
      </c>
      <c r="B31" s="1668"/>
      <c r="C31" s="1668"/>
      <c r="D31" s="1668"/>
      <c r="E31" s="1668"/>
      <c r="F31" s="1668"/>
      <c r="G31" s="1668"/>
      <c r="H31" s="1668"/>
      <c r="I31" s="1668"/>
      <c r="J31" s="1668"/>
      <c r="K31" s="1668"/>
      <c r="L31" s="1668"/>
      <c r="M31" s="1668"/>
      <c r="N31" s="1668"/>
      <c r="O31" s="1668"/>
      <c r="P31" s="1668"/>
      <c r="Q31" s="1668"/>
      <c r="R31" s="1668"/>
      <c r="S31" s="1668"/>
      <c r="T31" s="1668"/>
      <c r="U31" s="1668"/>
      <c r="V31" s="1668"/>
      <c r="W31" s="1668"/>
      <c r="X31" s="1668"/>
    </row>
    <row r="32" spans="1:24" ht="8.25" customHeight="1" x14ac:dyDescent="0.35">
      <c r="A32" s="1683" t="s">
        <v>108</v>
      </c>
      <c r="B32" s="1681"/>
      <c r="C32" s="1681" t="s">
        <v>40</v>
      </c>
      <c r="D32" s="1681"/>
      <c r="E32" s="1681" t="s">
        <v>41</v>
      </c>
      <c r="F32" s="1681"/>
      <c r="G32" s="1681"/>
      <c r="H32" s="1681" t="s">
        <v>730</v>
      </c>
      <c r="I32" s="1681"/>
      <c r="J32" s="1681"/>
      <c r="K32" s="1681" t="s">
        <v>43</v>
      </c>
      <c r="L32" s="1681"/>
      <c r="M32" s="1681"/>
      <c r="N32" s="2278"/>
      <c r="O32" s="2280" t="s">
        <v>44</v>
      </c>
      <c r="P32" s="1685"/>
      <c r="Q32" s="1685"/>
      <c r="R32" s="1685"/>
      <c r="S32" s="1685"/>
      <c r="T32" s="1685"/>
      <c r="U32" s="1685"/>
      <c r="V32" s="1685"/>
      <c r="W32" s="1685"/>
      <c r="X32" s="1686"/>
    </row>
    <row r="33" spans="1:24" ht="8.25" customHeight="1" thickBot="1" x14ac:dyDescent="0.4">
      <c r="A33" s="2276"/>
      <c r="B33" s="2277"/>
      <c r="C33" s="2277"/>
      <c r="D33" s="2277"/>
      <c r="E33" s="2277"/>
      <c r="F33" s="2277"/>
      <c r="G33" s="2277"/>
      <c r="H33" s="2277"/>
      <c r="I33" s="2277"/>
      <c r="J33" s="2277"/>
      <c r="K33" s="2277"/>
      <c r="L33" s="2277"/>
      <c r="M33" s="2277"/>
      <c r="N33" s="2279"/>
      <c r="O33" s="2281"/>
      <c r="P33" s="2282"/>
      <c r="Q33" s="2282"/>
      <c r="R33" s="2282"/>
      <c r="S33" s="2282"/>
      <c r="T33" s="2282"/>
      <c r="U33" s="2282"/>
      <c r="V33" s="2282"/>
      <c r="W33" s="2282"/>
      <c r="X33" s="2283"/>
    </row>
    <row r="34" spans="1:24" ht="14.25" customHeight="1" x14ac:dyDescent="0.35">
      <c r="A34" s="2291">
        <f>IF(TRIM(H34)="","",IF(Data!CX60&gt;0,IF(Data!CX60&lt;&gt;"", Data!CX60, " ")," "))</f>
        <v>1</v>
      </c>
      <c r="B34" s="2292"/>
      <c r="C34" s="2293">
        <f>IF(COUNTIF($C$16:$X$24,"*X*1*"),COUNTIF($C$16:$X$24,"*X*1*"),0)+IF(COUNTIF($C$16:$X$24,"*L*1*"),COUNTIF($C$16:$X$24,"*L*1*"),0)</f>
        <v>0</v>
      </c>
      <c r="D34" s="2293"/>
      <c r="E34" s="2293">
        <f>IF(Data!GK2&gt;0,IF(Data!GK2&lt;&gt;"",Data!GK2," ")," ")</f>
        <v>1613</v>
      </c>
      <c r="F34" s="2293"/>
      <c r="G34" s="2293"/>
      <c r="H34" s="2293">
        <f>IF(Data!GG2&gt;0,IF(Data!GG2&lt;&gt;"",IF(Data!GG2&lt;&gt;"Add the cutter in list",Data!GG2," ")," "),"")</f>
        <v>1130198</v>
      </c>
      <c r="I34" s="2293"/>
      <c r="J34" s="2293"/>
      <c r="K34" s="2293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34" s="2293"/>
      <c r="M34" s="2293"/>
      <c r="N34" s="2293"/>
      <c r="O34" s="1879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P34" s="1879"/>
      <c r="Q34" s="1879"/>
      <c r="R34" s="1879"/>
      <c r="S34" s="1879"/>
      <c r="T34" s="1879"/>
      <c r="U34" s="1879"/>
      <c r="V34" s="1879"/>
      <c r="W34" s="1879"/>
      <c r="X34" s="2294"/>
    </row>
    <row r="35" spans="1:24" ht="15" customHeight="1" x14ac:dyDescent="0.35">
      <c r="A35" s="1133">
        <f>IF(TRIM(H35)="","",IF(Data!CX61&gt;0,IF(Data!CX61&lt;&gt;"", Data!CX61, " ")," "))</f>
        <v>2</v>
      </c>
      <c r="B35" s="1126"/>
      <c r="C35" s="1799">
        <f>IF(COUNTIF($C$16:$X$24,"*X*2*"),COUNTIF($C$16:$X$24,"*X*2*"),0)+IF(COUNTIF($C$16:$X$24,"*L*2*"),COUNTIF($C$16:$X$24,"*L*2*"),0)</f>
        <v>0</v>
      </c>
      <c r="D35" s="1799"/>
      <c r="E35" s="1799">
        <f>IF(Data!GK3&gt;0,IF(Data!GK3&lt;&gt;"",Data!GK3," ")," ")</f>
        <v>1608</v>
      </c>
      <c r="F35" s="1799"/>
      <c r="G35" s="1799"/>
      <c r="H35" s="1799">
        <f>IF(Data!GG3&gt;0,IF(Data!GG3&lt;&gt;"",IF(Data!GG3&lt;&gt;"Add the cutter in list",Data!GG3," ")," "),"")</f>
        <v>647435</v>
      </c>
      <c r="I35" s="1799"/>
      <c r="J35" s="1799"/>
      <c r="K35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35" s="1799"/>
      <c r="M35" s="1799"/>
      <c r="N35" s="1799"/>
      <c r="O35" s="1799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P35" s="1799"/>
      <c r="Q35" s="1799"/>
      <c r="R35" s="1799"/>
      <c r="S35" s="1799"/>
      <c r="T35" s="1799"/>
      <c r="U35" s="1799"/>
      <c r="V35" s="1799"/>
      <c r="W35" s="1799"/>
      <c r="X35" s="2290"/>
    </row>
    <row r="36" spans="1:24" ht="15" customHeight="1" x14ac:dyDescent="0.35">
      <c r="A36" s="1133">
        <f>IF(TRIM(H36)="","",IF(Data!CX62&gt;0,IF(Data!CX62&lt;&gt;"", Data!CX62, " ")," "))</f>
        <v>3</v>
      </c>
      <c r="B36" s="1126"/>
      <c r="C36" s="1799">
        <f>IF(COUNTIF($C$16:$X$24,"*X*3*"),COUNTIF($C$16:$X$24,"*X*3*"),0)+IF(COUNTIF($C$16:$X$24,"*L*3*"),COUNTIF($C$16:$X$24,"*L*3*"),0)</f>
        <v>0</v>
      </c>
      <c r="D36" s="1799"/>
      <c r="E36" s="1799">
        <f>IF(Data!GK4&gt;0,IF(Data!GK4&lt;&gt;"",Data!GK4," ")," ")</f>
        <v>1308</v>
      </c>
      <c r="F36" s="1799"/>
      <c r="G36" s="1799"/>
      <c r="H36" s="1799">
        <f>IF(Data!GG4&gt;0,IF(Data!GG4&lt;&gt;"",IF(Data!GG4&lt;&gt;"Add the cutter in list",Data!GG4," ")," "),"")</f>
        <v>418525</v>
      </c>
      <c r="I36" s="1799"/>
      <c r="J36" s="1799"/>
      <c r="K36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36" s="1799"/>
      <c r="M36" s="1799"/>
      <c r="N36" s="1799"/>
      <c r="O36" s="1799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P36" s="1799"/>
      <c r="Q36" s="1799"/>
      <c r="R36" s="1799"/>
      <c r="S36" s="1799"/>
      <c r="T36" s="1799"/>
      <c r="U36" s="1799"/>
      <c r="V36" s="1799"/>
      <c r="W36" s="1799"/>
      <c r="X36" s="2290"/>
    </row>
    <row r="37" spans="1:24" ht="15" customHeight="1" x14ac:dyDescent="0.35">
      <c r="A37" s="1133" t="str">
        <f>IF(TRIM(H37)="","",IF(Data!CX63&gt;0,IF(Data!CX63&lt;&gt;"", Data!CX63, " ")," "))</f>
        <v/>
      </c>
      <c r="B37" s="1126"/>
      <c r="C37" s="1799">
        <f>IF(COUNTIF($C$16:$X$24,"*X*4*"),COUNTIF($C$16:$X$24,"*X*4*"),0)+IF(COUNTIF($C$16:$X$24,"*L*4*"),COUNTIF($C$16:$X$24,"*L*4*"),0)</f>
        <v>0</v>
      </c>
      <c r="D37" s="1799"/>
      <c r="E37" s="1799" t="str">
        <f>IF(Data!GK5&gt;0,IF(Data!GK5&lt;&gt;"",Data!GK5," ")," ")</f>
        <v xml:space="preserve"> </v>
      </c>
      <c r="F37" s="1799"/>
      <c r="G37" s="1799"/>
      <c r="H37" s="1799" t="str">
        <f>IF(Data!GG5&gt;0,IF(Data!GG5&lt;&gt;"",IF(Data!GG5&lt;&gt;"Add the cutter in list",Data!GG5," ")," "),"")</f>
        <v xml:space="preserve"> </v>
      </c>
      <c r="I37" s="1799"/>
      <c r="J37" s="1799"/>
      <c r="K37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37" s="1799"/>
      <c r="M37" s="1799"/>
      <c r="N37" s="1799"/>
      <c r="O37" s="1799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/>
      </c>
      <c r="P37" s="1799"/>
      <c r="Q37" s="1799"/>
      <c r="R37" s="1799"/>
      <c r="S37" s="1799"/>
      <c r="T37" s="1799"/>
      <c r="U37" s="1799"/>
      <c r="V37" s="1799"/>
      <c r="W37" s="1799"/>
      <c r="X37" s="2290"/>
    </row>
    <row r="38" spans="1:24" ht="15" customHeight="1" x14ac:dyDescent="0.35">
      <c r="A38" s="1133" t="str">
        <f>IF(TRIM(H38)="","",IF(Data!CX64&gt;0,IF(Data!CX64&lt;&gt;"", Data!CX64, " ")," "))</f>
        <v/>
      </c>
      <c r="B38" s="1126"/>
      <c r="C38" s="1799">
        <f>IF(COUNTIF($C$16:$X$24,"*X*5*"),COUNTIF($C$16:$X$24,"*X*5*"),0)+IF(COUNTIF($C$16:$X$24,"*L*5*"),COUNTIF($C$16:$X$24,"*L*5*"),0)</f>
        <v>0</v>
      </c>
      <c r="D38" s="1799"/>
      <c r="E38" s="1799" t="str">
        <f>IF(Data!GK6&gt;0,IF(Data!GK6&lt;&gt;"",Data!GK6," ")," ")</f>
        <v xml:space="preserve"> </v>
      </c>
      <c r="F38" s="1799"/>
      <c r="G38" s="1799"/>
      <c r="H38" s="1799" t="str">
        <f>IF(Data!GG6&gt;0,IF(Data!GG6&lt;&gt;"",IF(Data!GG6&lt;&gt;"Add the cutter in list",Data!GG6," ")," "),"")</f>
        <v xml:space="preserve"> </v>
      </c>
      <c r="I38" s="1799"/>
      <c r="J38" s="1799"/>
      <c r="K38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38" s="1799"/>
      <c r="M38" s="1799"/>
      <c r="N38" s="1799"/>
      <c r="O38" s="1799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/>
      </c>
      <c r="P38" s="1799"/>
      <c r="Q38" s="1799"/>
      <c r="R38" s="1799"/>
      <c r="S38" s="1799"/>
      <c r="T38" s="1799"/>
      <c r="U38" s="1799"/>
      <c r="V38" s="1799"/>
      <c r="W38" s="1799"/>
      <c r="X38" s="2290"/>
    </row>
    <row r="39" spans="1:24" ht="15" customHeight="1" x14ac:dyDescent="0.35">
      <c r="A39" s="1133" t="str">
        <f>IF(TRIM(H39)="","",IF(Data!CX65&gt;0,IF(Data!CX65&lt;&gt;"", Data!CX65, " ")," "))</f>
        <v/>
      </c>
      <c r="B39" s="1126"/>
      <c r="C39" s="1799">
        <f>IF(COUNTIF($C$16:$X$24,"*X*6*"),COUNTIF($C$16:$X$24,"*X*6*"),0)+IF(COUNTIF($C$16:$X$24,"*L*6*"),COUNTIF($C$16:$X$24,"*L*6*"),0)</f>
        <v>0</v>
      </c>
      <c r="D39" s="1799"/>
      <c r="E39" s="1799" t="str">
        <f>IF(Data!GK7&gt;0,IF(Data!GK7&lt;&gt;"",Data!GK7," ")," ")</f>
        <v xml:space="preserve"> </v>
      </c>
      <c r="F39" s="1799"/>
      <c r="G39" s="1799"/>
      <c r="H39" s="1799" t="str">
        <f>IF(Data!GG7&gt;0,IF(Data!GG7&lt;&gt;"",IF(Data!GG7&lt;&gt;"Add the cutter in list",Data!GG7," ")," "),"")</f>
        <v xml:space="preserve"> </v>
      </c>
      <c r="I39" s="1799"/>
      <c r="J39" s="1799"/>
      <c r="K39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799"/>
      <c r="M39" s="1799"/>
      <c r="N39" s="1799"/>
      <c r="O39" s="1799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799"/>
      <c r="Q39" s="1799"/>
      <c r="R39" s="1799"/>
      <c r="S39" s="1799"/>
      <c r="T39" s="1799"/>
      <c r="U39" s="1799"/>
      <c r="V39" s="1799"/>
      <c r="W39" s="1799"/>
      <c r="X39" s="2290"/>
    </row>
    <row r="40" spans="1:24" ht="15" customHeight="1" x14ac:dyDescent="0.35">
      <c r="A40" s="1133" t="str">
        <f>IF(TRIM(H40)="","",IF(Data!CX66&gt;0,IF(Data!CX66&lt;&gt;"", Data!CX66, " ")," "))</f>
        <v/>
      </c>
      <c r="B40" s="1126"/>
      <c r="C40" s="1799">
        <f>IF(COUNTIF($C$16:$X$24,"*X*7*"),COUNTIF($C$16:$X$24,"*X*7*"),0)+IF(COUNTIF($C$16:$X$24,"*L*7*"),COUNTIF($C$16:$X$24,"*L*7*"),0)</f>
        <v>0</v>
      </c>
      <c r="D40" s="1799"/>
      <c r="E40" s="1799" t="str">
        <f>IF(Data!GK8&gt;0,IF(Data!GK8&lt;&gt;"",Data!GK8," ")," ")</f>
        <v xml:space="preserve"> </v>
      </c>
      <c r="F40" s="1799"/>
      <c r="G40" s="1799"/>
      <c r="H40" s="1799" t="str">
        <f>IF(Data!GG8&gt;0,IF(Data!GG8&lt;&gt;"",IF(Data!GG8&lt;&gt;"Add the cutter in list",Data!GG8," ")," "),"")</f>
        <v xml:space="preserve"> </v>
      </c>
      <c r="I40" s="1799"/>
      <c r="J40" s="1799"/>
      <c r="K40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799"/>
      <c r="M40" s="1799"/>
      <c r="N40" s="1799"/>
      <c r="O40" s="1799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799"/>
      <c r="Q40" s="1799"/>
      <c r="R40" s="1799"/>
      <c r="S40" s="1799"/>
      <c r="T40" s="1799"/>
      <c r="U40" s="1799"/>
      <c r="V40" s="1799"/>
      <c r="W40" s="1799"/>
      <c r="X40" s="2290"/>
    </row>
    <row r="41" spans="1:24" ht="15" customHeight="1" x14ac:dyDescent="0.35">
      <c r="A41" s="1133" t="str">
        <f>IF(TRIM(H41)="","",IF(Data!CX67&gt;0,IF(Data!CX67&lt;&gt;"", Data!CX67, " ")," "))</f>
        <v/>
      </c>
      <c r="B41" s="1126"/>
      <c r="C41" s="1799">
        <f>IF(COUNTIF($C$16:$X$24,"*X*8*"),COUNTIF($C$16:$X$24,"*X*8*"),0)+IF(COUNTIF($C$16:$X$24,"*L*8*"),COUNTIF($C$16:$X$24,"*L*8*"),0)</f>
        <v>0</v>
      </c>
      <c r="D41" s="1799"/>
      <c r="E41" s="1799" t="str">
        <f>IF(Data!GK9&gt;0,IF(Data!GK9&lt;&gt;"",Data!GK9," ")," ")</f>
        <v xml:space="preserve"> </v>
      </c>
      <c r="F41" s="1799"/>
      <c r="G41" s="1799"/>
      <c r="H41" s="1799" t="str">
        <f>IF(Data!GG9&gt;0,IF(Data!GG9&lt;&gt;"",IF(Data!GG9&lt;&gt;"Add the cutter in list",Data!GG9," ")," "),"")</f>
        <v xml:space="preserve"> </v>
      </c>
      <c r="I41" s="1799"/>
      <c r="J41" s="1799"/>
      <c r="K41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799"/>
      <c r="M41" s="1799"/>
      <c r="N41" s="1799"/>
      <c r="O41" s="1799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799"/>
      <c r="Q41" s="1799"/>
      <c r="R41" s="1799"/>
      <c r="S41" s="1799"/>
      <c r="T41" s="1799"/>
      <c r="U41" s="1799"/>
      <c r="V41" s="1799"/>
      <c r="W41" s="1799"/>
      <c r="X41" s="2290"/>
    </row>
    <row r="42" spans="1:24" ht="15" customHeight="1" x14ac:dyDescent="0.35">
      <c r="A42" s="1133" t="str">
        <f>IF(TRIM(H42)="","",IF(Data!CX68&gt;0,IF(Data!CX68&lt;&gt;"", Data!CX68, " ")," "))</f>
        <v/>
      </c>
      <c r="B42" s="1126"/>
      <c r="C42" s="1799">
        <f>IF(COUNTIF($C$16:$X$24,"*X*9*"),COUNTIF($C$16:$X$24,"*X*9*"),0)+IF(COUNTIF($C$16:$X$24,"*L*9*"),COUNTIF($C$16:$X$24,"*L*9*"),0)</f>
        <v>0</v>
      </c>
      <c r="D42" s="1799"/>
      <c r="E42" s="1799" t="str">
        <f>IF(Data!GK10&gt;0,IF(Data!GK10&lt;&gt;"",Data!GK10," ")," ")</f>
        <v xml:space="preserve"> </v>
      </c>
      <c r="F42" s="1799"/>
      <c r="G42" s="1799"/>
      <c r="H42" s="1799" t="str">
        <f>IF(Data!GG10&gt;0,IF(Data!GG10&lt;&gt;"",IF(Data!GG10&lt;&gt;"Add the cutter in list",Data!GG10," ")," "),"")</f>
        <v xml:space="preserve"> </v>
      </c>
      <c r="I42" s="1799"/>
      <c r="J42" s="1799"/>
      <c r="K42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799"/>
      <c r="M42" s="1799"/>
      <c r="N42" s="1799"/>
      <c r="O42" s="1799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799"/>
      <c r="Q42" s="1799"/>
      <c r="R42" s="1799"/>
      <c r="S42" s="1799"/>
      <c r="T42" s="1799"/>
      <c r="U42" s="1799"/>
      <c r="V42" s="1799"/>
      <c r="W42" s="1799"/>
      <c r="X42" s="2290"/>
    </row>
    <row r="43" spans="1:24" ht="15" customHeight="1" thickBot="1" x14ac:dyDescent="0.4">
      <c r="A43" s="1131" t="str">
        <f>IF(TRIM(H43)="","",IF(Data!CX69&gt;0,IF(Data!CX69&lt;&gt;"", Data!CX69, " ")," "))</f>
        <v/>
      </c>
      <c r="B43" s="1132"/>
      <c r="C43" s="1847">
        <f>IF(COUNTIF($C$16:$X$24,"*X*10*"),COUNTIF($C$16:$X$24,"*X*10*"),0)+IF(COUNTIF($C$16:$X$24,"*L*10*"),COUNTIF($C$16:$X$24,"*L*10*"),0)</f>
        <v>0</v>
      </c>
      <c r="D43" s="1847"/>
      <c r="E43" s="1847" t="str">
        <f>IF(Data!GK11&gt;0,IF(Data!GK11&lt;&gt;"",Data!GK11," ")," ")</f>
        <v xml:space="preserve"> </v>
      </c>
      <c r="F43" s="1847"/>
      <c r="G43" s="1847"/>
      <c r="H43" s="1847" t="str">
        <f>IF(Data!GG11&gt;0,IF(Data!GG11&lt;&gt;"",IF(Data!GG11&lt;&gt;"Add the cutter in list",Data!GG11," ")," "),"")</f>
        <v xml:space="preserve"> </v>
      </c>
      <c r="I43" s="1847"/>
      <c r="J43" s="1847"/>
      <c r="K43" s="1847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847"/>
      <c r="M43" s="1847"/>
      <c r="N43" s="1847"/>
      <c r="O43" s="1847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847"/>
      <c r="Q43" s="1847"/>
      <c r="R43" s="1847"/>
      <c r="S43" s="1847"/>
      <c r="T43" s="1847"/>
      <c r="U43" s="1847"/>
      <c r="V43" s="1847"/>
      <c r="W43" s="1847"/>
      <c r="X43" s="2295"/>
    </row>
    <row r="44" spans="1:24" ht="3.75" customHeight="1" thickBot="1" x14ac:dyDescent="0.4"/>
    <row r="45" spans="1:24" s="439" customFormat="1" ht="16.5" customHeight="1" thickBot="1" x14ac:dyDescent="0.4">
      <c r="A45" s="2296" t="s">
        <v>1121</v>
      </c>
      <c r="B45" s="2297"/>
      <c r="C45" s="2297"/>
      <c r="D45" s="2297"/>
      <c r="E45" s="2297"/>
      <c r="F45" s="2297"/>
      <c r="G45" s="2297"/>
      <c r="H45" s="2297"/>
      <c r="I45" s="2297"/>
      <c r="J45" s="2297"/>
      <c r="K45" s="2297"/>
      <c r="L45" s="2297"/>
      <c r="M45" s="2297"/>
      <c r="N45" s="2297"/>
      <c r="O45" s="2297"/>
      <c r="P45" s="2297"/>
      <c r="Q45" s="2297"/>
      <c r="R45" s="2297"/>
      <c r="S45" s="2297"/>
      <c r="T45" s="2297"/>
      <c r="U45" s="2297"/>
      <c r="V45" s="2297"/>
      <c r="W45" s="2297"/>
      <c r="X45" s="2297"/>
    </row>
    <row r="46" spans="1:24" s="439" customFormat="1" ht="19.5" customHeight="1" x14ac:dyDescent="0.35">
      <c r="A46" s="2298" t="s">
        <v>1036</v>
      </c>
      <c r="B46" s="2299"/>
      <c r="C46" s="2299"/>
      <c r="D46" s="2299"/>
      <c r="E46" s="2299"/>
      <c r="F46" s="2299"/>
      <c r="G46" s="2299"/>
      <c r="H46" s="1883" t="s">
        <v>54</v>
      </c>
      <c r="I46" s="1883"/>
      <c r="J46" s="1883"/>
      <c r="K46" s="1883"/>
      <c r="L46" s="1883"/>
      <c r="M46" s="1883"/>
      <c r="N46" s="1883" t="s">
        <v>1035</v>
      </c>
      <c r="O46" s="1883"/>
      <c r="P46" s="1883"/>
      <c r="Q46" s="1883"/>
      <c r="R46" s="1883"/>
      <c r="S46" s="1883"/>
      <c r="T46" s="2300" t="s">
        <v>56</v>
      </c>
      <c r="U46" s="2300"/>
      <c r="V46" s="2300"/>
      <c r="W46" s="2300"/>
      <c r="X46" s="2300"/>
    </row>
    <row r="47" spans="1:24" s="439" customFormat="1" ht="19.5" customHeight="1" x14ac:dyDescent="0.35">
      <c r="A47" s="2301" t="s">
        <v>1029</v>
      </c>
      <c r="B47" s="2302"/>
      <c r="C47" s="2302"/>
      <c r="D47" s="2302"/>
      <c r="E47" s="2302"/>
      <c r="F47" s="2302"/>
      <c r="G47" s="2302"/>
      <c r="H47" s="1800" t="s">
        <v>57</v>
      </c>
      <c r="I47" s="1800"/>
      <c r="J47" s="1800"/>
      <c r="K47" s="1800"/>
      <c r="L47" s="1800"/>
      <c r="M47" s="1800"/>
      <c r="N47" s="1800" t="s">
        <v>58</v>
      </c>
      <c r="O47" s="1800"/>
      <c r="P47" s="1800"/>
      <c r="Q47" s="1800"/>
      <c r="R47" s="1800"/>
      <c r="S47" s="1800"/>
      <c r="T47" s="1800" t="s">
        <v>58</v>
      </c>
      <c r="U47" s="1800"/>
      <c r="V47" s="1800"/>
      <c r="W47" s="1800"/>
      <c r="X47" s="1800"/>
    </row>
    <row r="48" spans="1:24" s="439" customFormat="1" ht="19.5" customHeight="1" x14ac:dyDescent="0.35">
      <c r="A48" s="2301" t="s">
        <v>1030</v>
      </c>
      <c r="B48" s="2302"/>
      <c r="C48" s="2302"/>
      <c r="D48" s="2302"/>
      <c r="E48" s="2302"/>
      <c r="F48" s="2302"/>
      <c r="G48" s="2302"/>
      <c r="H48" s="1800"/>
      <c r="I48" s="1800"/>
      <c r="J48" s="1800"/>
      <c r="K48" s="1800"/>
      <c r="L48" s="1800"/>
      <c r="M48" s="1800"/>
      <c r="N48" s="1800"/>
      <c r="O48" s="1800"/>
      <c r="P48" s="1800"/>
      <c r="Q48" s="1800"/>
      <c r="R48" s="1800"/>
      <c r="S48" s="1800"/>
      <c r="T48" s="1800"/>
      <c r="U48" s="1800"/>
      <c r="V48" s="1800"/>
      <c r="W48" s="1800"/>
      <c r="X48" s="1800"/>
    </row>
    <row r="49" spans="1:24" s="439" customFormat="1" ht="19.5" customHeight="1" thickBot="1" x14ac:dyDescent="0.4">
      <c r="A49" s="2309" t="s">
        <v>1031</v>
      </c>
      <c r="B49" s="2307"/>
      <c r="C49" s="2307"/>
      <c r="D49" s="2307"/>
      <c r="E49" s="2307"/>
      <c r="F49" s="2307"/>
      <c r="G49" s="2307"/>
      <c r="H49" s="2308"/>
      <c r="I49" s="2308"/>
      <c r="J49" s="2308"/>
      <c r="K49" s="2308"/>
      <c r="L49" s="2308"/>
      <c r="M49" s="2308"/>
      <c r="N49" s="2308"/>
      <c r="O49" s="2308"/>
      <c r="P49" s="2308"/>
      <c r="Q49" s="2308"/>
      <c r="R49" s="2308"/>
      <c r="S49" s="2308"/>
      <c r="T49" s="2308"/>
      <c r="U49" s="2308"/>
      <c r="V49" s="2308"/>
      <c r="W49" s="2308"/>
      <c r="X49" s="2308"/>
    </row>
    <row r="50" spans="1:24" s="439" customFormat="1" ht="19.5" customHeight="1" x14ac:dyDescent="0.35">
      <c r="A50" s="2303" t="s">
        <v>59</v>
      </c>
      <c r="B50" s="2304"/>
      <c r="C50" s="2304"/>
      <c r="D50" s="2304"/>
      <c r="E50" s="2304"/>
      <c r="F50" s="2304"/>
      <c r="G50" s="2304"/>
      <c r="H50" s="1825"/>
      <c r="I50" s="1825"/>
      <c r="J50" s="1825"/>
      <c r="K50" s="1825"/>
      <c r="L50" s="1825"/>
      <c r="M50" s="1825"/>
      <c r="N50" s="2304" t="s">
        <v>60</v>
      </c>
      <c r="O50" s="2304"/>
      <c r="P50" s="2304"/>
      <c r="Q50" s="2304"/>
      <c r="R50" s="2304"/>
      <c r="S50" s="2304"/>
      <c r="T50" s="1825"/>
      <c r="U50" s="1825"/>
      <c r="V50" s="1825"/>
      <c r="W50" s="1825"/>
      <c r="X50" s="1825"/>
    </row>
    <row r="51" spans="1:24" s="439" customFormat="1" ht="19.5" customHeight="1" thickBot="1" x14ac:dyDescent="0.4">
      <c r="A51" s="2305" t="s">
        <v>61</v>
      </c>
      <c r="B51" s="2306"/>
      <c r="C51" s="2306"/>
      <c r="D51" s="2306"/>
      <c r="E51" s="2307"/>
      <c r="F51" s="2307"/>
      <c r="G51" s="2307"/>
      <c r="H51" s="2308"/>
      <c r="I51" s="2308"/>
      <c r="J51" s="2308"/>
      <c r="K51" s="2308"/>
      <c r="L51" s="2308"/>
      <c r="M51" s="2308"/>
      <c r="N51" s="2307" t="s">
        <v>62</v>
      </c>
      <c r="O51" s="2307"/>
      <c r="P51" s="2307"/>
      <c r="Q51" s="2307"/>
      <c r="R51" s="2307"/>
      <c r="S51" s="2307"/>
      <c r="T51" s="2308"/>
      <c r="U51" s="2308"/>
      <c r="V51" s="2308"/>
      <c r="W51" s="2308"/>
      <c r="X51" s="2308"/>
    </row>
    <row r="52" spans="1:24" s="439" customFormat="1" ht="19.5" customHeight="1" x14ac:dyDescent="0.35">
      <c r="A52" s="1858" t="s">
        <v>63</v>
      </c>
      <c r="B52" s="2327"/>
      <c r="C52" s="2327"/>
      <c r="D52" s="2328"/>
      <c r="E52" s="2303" t="s">
        <v>64</v>
      </c>
      <c r="F52" s="2304"/>
      <c r="G52" s="2304"/>
      <c r="H52" s="1825"/>
      <c r="I52" s="1825"/>
      <c r="J52" s="1825"/>
      <c r="K52" s="1825"/>
      <c r="L52" s="1825"/>
      <c r="M52" s="1825"/>
      <c r="N52" s="1825" t="s">
        <v>65</v>
      </c>
      <c r="O52" s="1825"/>
      <c r="P52" s="1825"/>
      <c r="Q52" s="1825"/>
      <c r="R52" s="1825"/>
      <c r="S52" s="1825"/>
      <c r="T52" s="2304" t="s">
        <v>36</v>
      </c>
      <c r="U52" s="2304"/>
      <c r="V52" s="1825"/>
      <c r="W52" s="1825"/>
      <c r="X52" s="1826"/>
    </row>
    <row r="53" spans="1:24" s="439" customFormat="1" ht="19.5" customHeight="1" x14ac:dyDescent="0.35">
      <c r="A53" s="2310" t="s">
        <v>952</v>
      </c>
      <c r="B53" s="2272"/>
      <c r="C53" s="2272"/>
      <c r="D53" s="2311"/>
      <c r="E53" s="2314" t="s">
        <v>67</v>
      </c>
      <c r="F53" s="2315"/>
      <c r="G53" s="2315"/>
      <c r="H53" s="2315"/>
      <c r="I53" s="2315"/>
      <c r="J53" s="2315"/>
      <c r="K53" s="2315"/>
      <c r="L53" s="2315"/>
      <c r="M53" s="2315"/>
      <c r="N53" s="2315"/>
      <c r="O53" s="2315"/>
      <c r="P53" s="2315"/>
      <c r="Q53" s="2315"/>
      <c r="R53" s="2315"/>
      <c r="S53" s="2315"/>
      <c r="T53" s="2315"/>
      <c r="U53" s="2315"/>
      <c r="V53" s="2315"/>
      <c r="W53" s="2315"/>
      <c r="X53" s="2316"/>
    </row>
    <row r="54" spans="1:24" s="439" customFormat="1" ht="19.5" customHeight="1" x14ac:dyDescent="0.35">
      <c r="A54" s="2312"/>
      <c r="B54" s="1667"/>
      <c r="C54" s="1667"/>
      <c r="D54" s="2313"/>
      <c r="E54" s="2317"/>
      <c r="F54" s="2318"/>
      <c r="G54" s="2318"/>
      <c r="H54" s="2318"/>
      <c r="I54" s="2318"/>
      <c r="J54" s="2318"/>
      <c r="K54" s="2318"/>
      <c r="L54" s="2318"/>
      <c r="M54" s="2318"/>
      <c r="N54" s="2318"/>
      <c r="O54" s="2318"/>
      <c r="P54" s="2318"/>
      <c r="Q54" s="2318"/>
      <c r="R54" s="2318"/>
      <c r="S54" s="2318"/>
      <c r="T54" s="2318"/>
      <c r="U54" s="2318"/>
      <c r="V54" s="2318"/>
      <c r="W54" s="2318"/>
      <c r="X54" s="2319"/>
    </row>
    <row r="55" spans="1:24" s="439" customFormat="1" ht="19.5" customHeight="1" thickBot="1" x14ac:dyDescent="0.4">
      <c r="A55" s="1875"/>
      <c r="B55" s="1876"/>
      <c r="C55" s="1876"/>
      <c r="D55" s="1877"/>
      <c r="E55" s="2320" t="s">
        <v>69</v>
      </c>
      <c r="F55" s="2321"/>
      <c r="G55" s="2321"/>
      <c r="H55" s="2321"/>
      <c r="I55" s="2321"/>
      <c r="J55" s="2321"/>
      <c r="K55" s="2322"/>
      <c r="L55" s="2323"/>
      <c r="M55" s="2324"/>
      <c r="N55" s="2324"/>
      <c r="O55" s="2324"/>
      <c r="P55" s="2324"/>
      <c r="Q55" s="2324"/>
      <c r="R55" s="2324"/>
      <c r="S55" s="2324"/>
      <c r="T55" s="2324"/>
      <c r="U55" s="2324"/>
      <c r="V55" s="2324"/>
      <c r="W55" s="2324"/>
      <c r="X55" s="2325"/>
    </row>
    <row r="56" spans="1:24" ht="5.25" customHeight="1" x14ac:dyDescent="0.3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49999999999999" customHeight="1" x14ac:dyDescent="0.35">
      <c r="O57" s="1655" t="s">
        <v>1045</v>
      </c>
      <c r="P57" s="1655"/>
      <c r="Q57" s="1655"/>
      <c r="R57" s="1655"/>
      <c r="S57" s="2326"/>
      <c r="T57" s="2326"/>
      <c r="U57" s="2326"/>
      <c r="V57" s="2326"/>
      <c r="W57" s="2326"/>
      <c r="X57" s="2326"/>
    </row>
    <row r="58" spans="1:24" ht="6" customHeight="1" x14ac:dyDescent="0.35"/>
    <row r="59" spans="1:24" hidden="1" x14ac:dyDescent="0.35"/>
    <row r="60" spans="1:24" hidden="1" x14ac:dyDescent="0.35"/>
    <row r="61" spans="1:24" ht="15.75" hidden="1" customHeight="1" x14ac:dyDescent="0.35">
      <c r="A61" s="2269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35">
      <c r="A62" s="2269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35">
      <c r="A63" s="2269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35">
      <c r="A64" s="2269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35">
      <c r="A65" s="2269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35">
      <c r="A66" s="2269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35">
      <c r="A67" s="2269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35">
      <c r="A68" s="2269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35">
      <c r="A69" s="2269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35"/>
    <row r="71" spans="1:24" hidden="1" x14ac:dyDescent="0.35"/>
    <row r="72" spans="1:24" hidden="1" x14ac:dyDescent="0.3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3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35"/>
  </sheetData>
  <sheetProtection formatCells="0" formatColumns="0" formatRows="0" insertColumns="0" insertRows="0" insertHyperlinks="0" deleteColumns="0" deleteRows="0" sort="0" autoFilter="0" pivotTables="0"/>
  <mergeCells count="152"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</mergeCells>
  <conditionalFormatting sqref="A34:B43">
    <cfRule type="expression" dxfId="173" priority="6">
      <formula>COUNTIF($A34,"10")</formula>
    </cfRule>
    <cfRule type="expression" dxfId="172" priority="7">
      <formula>COUNTIF($A34,"9")</formula>
    </cfRule>
    <cfRule type="expression" dxfId="171" priority="8">
      <formula>COUNTIF($A34,"8")</formula>
    </cfRule>
    <cfRule type="expression" dxfId="170" priority="9">
      <formula>COUNTIF($A34,"7")</formula>
    </cfRule>
    <cfRule type="expression" dxfId="169" priority="10">
      <formula>COUNTIF($A34,"6")</formula>
    </cfRule>
    <cfRule type="expression" dxfId="168" priority="11">
      <formula>COUNTIF($A34,"5")</formula>
    </cfRule>
    <cfRule type="expression" dxfId="167" priority="12">
      <formula>COUNTIF($A34,"4")</formula>
    </cfRule>
    <cfRule type="expression" dxfId="166" priority="13">
      <formula>COUNTIF($A34,"3")</formula>
    </cfRule>
    <cfRule type="expression" dxfId="165" priority="14">
      <formula>COUNTIF($A34,"2")</formula>
    </cfRule>
    <cfRule type="expression" dxfId="164" priority="15">
      <formula>COUNTIF($A34,"1")</formula>
    </cfRule>
  </conditionalFormatting>
  <conditionalFormatting sqref="A30:C30">
    <cfRule type="expression" dxfId="163" priority="2">
      <formula>$A$30&lt;&gt;""</formula>
    </cfRule>
  </conditionalFormatting>
  <conditionalFormatting sqref="A27:R27">
    <cfRule type="cellIs" dxfId="162" priority="31" operator="equal">
      <formula>0</formula>
    </cfRule>
  </conditionalFormatting>
  <conditionalFormatting sqref="C34:D43">
    <cfRule type="cellIs" dxfId="160" priority="16" operator="equal">
      <formula>0</formula>
    </cfRule>
  </conditionalFormatting>
  <conditionalFormatting sqref="C15:X15">
    <cfRule type="beginsWith" dxfId="159" priority="27" operator="beginsWith" text="0a">
      <formula>LEFT(C15,LEN("0a"))="0a"</formula>
    </cfRule>
    <cfRule type="cellIs" dxfId="158" priority="28" operator="equal">
      <formula>0</formula>
    </cfRule>
  </conditionalFormatting>
  <conditionalFormatting sqref="C16:X24">
    <cfRule type="expression" dxfId="157" priority="1">
      <formula>COUNTIF(C16,"*11*")</formula>
    </cfRule>
    <cfRule type="expression" dxfId="156" priority="19">
      <formula>AND(COUNTIF(C16,"*V*"),AND(NOT(COUNTIF(B16,"*V*")),NOT(COUNTIF(D16,"*V*"))))</formula>
    </cfRule>
    <cfRule type="expression" dxfId="155" priority="20">
      <formula>COUNTIF(C16,"*7*")</formula>
    </cfRule>
    <cfRule type="expression" dxfId="154" priority="21">
      <formula>COUNTIF(C16,"*6*")</formula>
    </cfRule>
    <cfRule type="expression" dxfId="153" priority="22">
      <formula>COUNTIF(C16,"*5*")</formula>
    </cfRule>
    <cfRule type="expression" dxfId="152" priority="23">
      <formula>COUNTIF(C16,"*4*")</formula>
    </cfRule>
    <cfRule type="expression" dxfId="151" priority="24">
      <formula>COUNTIF(C16,"*3*")</formula>
    </cfRule>
    <cfRule type="expression" dxfId="150" priority="25">
      <formula>COUNTIF(C16,"*2*")</formula>
    </cfRule>
    <cfRule type="expression" dxfId="149" priority="26">
      <formula>COUNTIF(C16,"*1*")</formula>
    </cfRule>
  </conditionalFormatting>
  <conditionalFormatting sqref="F12">
    <cfRule type="cellIs" dxfId="148" priority="30" operator="equal">
      <formula>0</formula>
    </cfRule>
  </conditionalFormatting>
  <conditionalFormatting sqref="U10:X10">
    <cfRule type="cellIs" dxfId="14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796875" defaultRowHeight="14.5" x14ac:dyDescent="0.35"/>
  <cols>
    <col min="1" max="1" width="3.7265625" customWidth="1"/>
    <col min="2" max="36" width="4" customWidth="1"/>
    <col min="37" max="37" width="2.54296875" customWidth="1"/>
    <col min="38" max="38" width="3" customWidth="1"/>
    <col min="39" max="40" width="3.1796875" customWidth="1"/>
    <col min="140" max="140" width="9.1796875" customWidth="1"/>
  </cols>
  <sheetData>
    <row r="1" spans="1:36" ht="17.25" customHeight="1" x14ac:dyDescent="0.35">
      <c r="A1" s="450"/>
      <c r="B1" s="450"/>
      <c r="D1" s="2329" t="s">
        <v>977</v>
      </c>
      <c r="E1" s="2330"/>
      <c r="F1" s="2330"/>
      <c r="G1" s="2330"/>
      <c r="H1" s="2330"/>
      <c r="I1" s="2330"/>
      <c r="J1" s="2330"/>
      <c r="K1" s="2330"/>
      <c r="L1" s="2330"/>
      <c r="M1" s="2330"/>
      <c r="N1" s="2330"/>
      <c r="O1" s="2330"/>
      <c r="P1" s="2330"/>
      <c r="Q1" s="2330"/>
      <c r="R1" s="2330"/>
      <c r="S1" s="2331"/>
      <c r="T1" s="1813" t="s">
        <v>1058</v>
      </c>
      <c r="U1" s="1554"/>
      <c r="V1" s="1554"/>
      <c r="W1" s="1554"/>
      <c r="X1" s="1554"/>
      <c r="Y1" s="1554"/>
      <c r="Z1" s="1554"/>
      <c r="AA1" s="1554"/>
      <c r="AB1" s="2335" t="s">
        <v>1040</v>
      </c>
      <c r="AC1" s="1819"/>
      <c r="AD1" s="1819"/>
      <c r="AE1" s="1819"/>
      <c r="AF1" s="1819"/>
      <c r="AG1" s="1819"/>
      <c r="AH1" s="1819"/>
      <c r="AI1" s="1819"/>
      <c r="AJ1" s="2336"/>
    </row>
    <row r="2" spans="1:36" ht="17.25" customHeight="1" thickBot="1" x14ac:dyDescent="0.4">
      <c r="A2" s="450"/>
      <c r="B2" s="450"/>
      <c r="C2" s="783"/>
      <c r="D2" s="2332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4"/>
      <c r="T2" s="2337" t="s">
        <v>1580</v>
      </c>
      <c r="U2" s="1561"/>
      <c r="V2" s="1561"/>
      <c r="W2" s="1561"/>
      <c r="X2" s="1561"/>
      <c r="Y2" s="1561"/>
      <c r="Z2" s="1561"/>
      <c r="AA2" s="1561"/>
      <c r="AB2" s="2338" t="s">
        <v>1041</v>
      </c>
      <c r="AC2" s="1672"/>
      <c r="AD2" s="1672"/>
      <c r="AE2" s="1672"/>
      <c r="AF2" s="1672"/>
      <c r="AG2" s="1672"/>
      <c r="AH2" s="1672"/>
      <c r="AI2" s="1672"/>
      <c r="AJ2" s="1673"/>
    </row>
    <row r="3" spans="1:36" ht="15" customHeight="1" thickBot="1" x14ac:dyDescent="0.4">
      <c r="B3" s="456"/>
      <c r="C3" s="456"/>
      <c r="D3" s="1939" t="s">
        <v>1120</v>
      </c>
      <c r="E3" s="1939"/>
      <c r="F3" s="1939"/>
      <c r="G3" s="1939"/>
      <c r="H3" s="1939"/>
      <c r="I3" s="1939"/>
      <c r="J3" s="1939"/>
      <c r="K3" s="1939"/>
      <c r="L3" s="1939"/>
      <c r="M3" s="1939"/>
      <c r="N3" s="1939"/>
      <c r="O3" s="1939"/>
      <c r="P3" s="1939"/>
      <c r="Q3" s="1939"/>
      <c r="R3" s="1939"/>
      <c r="S3" s="1939"/>
      <c r="T3" s="1939"/>
      <c r="U3" s="1939"/>
      <c r="V3" s="1939"/>
      <c r="W3" s="1939"/>
      <c r="X3" s="1939"/>
      <c r="Y3" s="1939"/>
      <c r="Z3" s="1939"/>
      <c r="AA3" s="1939"/>
      <c r="AB3" s="1939"/>
      <c r="AC3" s="1939"/>
      <c r="AE3" s="2264" t="s">
        <v>33</v>
      </c>
      <c r="AF3" s="2264"/>
      <c r="AG3" s="2264"/>
      <c r="AH3" s="1556">
        <f>IF(Data!B24&lt;&gt;"",Data!B24,IFERROR(VLOOKUP(Data!$B$7,Data!F63:G70,2,FALSE),""))</f>
        <v>6600048646</v>
      </c>
      <c r="AI3" s="1653"/>
      <c r="AJ3" s="1557"/>
    </row>
    <row r="4" spans="1:36" ht="4.5" customHeight="1" thickBot="1" x14ac:dyDescent="0.4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262" t="s">
        <v>1044</v>
      </c>
      <c r="AE4" s="2262"/>
      <c r="AF4" s="2262"/>
      <c r="AG4" s="2262"/>
      <c r="AH4" s="449"/>
      <c r="AI4" s="449"/>
      <c r="AJ4" s="449"/>
    </row>
    <row r="5" spans="1:36" ht="15.75" customHeight="1" thickBot="1" x14ac:dyDescent="0.4">
      <c r="A5" s="2264" t="s">
        <v>27</v>
      </c>
      <c r="B5" s="2264"/>
      <c r="C5" s="2264"/>
      <c r="D5" s="2264"/>
      <c r="E5" s="2265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2025-AR-109 </v>
      </c>
      <c r="F5" s="2266"/>
      <c r="G5" s="2266"/>
      <c r="H5" s="2267"/>
      <c r="I5" s="1526" t="s">
        <v>28</v>
      </c>
      <c r="J5" s="1522"/>
      <c r="K5" s="1522"/>
      <c r="L5" s="1523"/>
      <c r="M5" s="1556">
        <f>IF(Data!B2&lt;&gt;"", Data!B2, " ")</f>
        <v>13845937</v>
      </c>
      <c r="N5" s="1653"/>
      <c r="O5" s="1653"/>
      <c r="P5" s="1557"/>
      <c r="Q5" s="2264" t="s">
        <v>29</v>
      </c>
      <c r="R5" s="2264"/>
      <c r="S5" s="1556" t="str">
        <f>IF(LEN(Data!B3)&gt;3,IF(AND(Data!B43&lt;&gt;"",Data!B43&lt;&gt;"0 0/1"""),Data!B43,""),IF(Data!B3&lt;&gt;"",Data!B3&amp;"""",""))</f>
        <v>8 3/8"</v>
      </c>
      <c r="T5" s="1653"/>
      <c r="U5" s="1653"/>
      <c r="V5" s="1557"/>
      <c r="W5" s="2263" t="s">
        <v>30</v>
      </c>
      <c r="X5" s="2264"/>
      <c r="Y5" s="2264"/>
      <c r="Z5" s="1556">
        <f>IF(Data!B5&lt;&gt;"",Data!B5," ")</f>
        <v>1080537</v>
      </c>
      <c r="AA5" s="1653"/>
      <c r="AB5" s="1653"/>
      <c r="AC5" s="1557"/>
      <c r="AD5" s="2262"/>
      <c r="AE5" s="2262"/>
      <c r="AF5" s="2262"/>
      <c r="AG5" s="2262"/>
      <c r="AH5" s="1678">
        <f>IF(Data!B6&lt;&gt;"",Data!B6," ")</f>
        <v>46002</v>
      </c>
      <c r="AI5" s="1679"/>
      <c r="AJ5" s="1680"/>
    </row>
    <row r="6" spans="1:36" ht="4.5" customHeight="1" thickBot="1" x14ac:dyDescent="0.4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262"/>
      <c r="AE6" s="2262"/>
      <c r="AF6" s="2262"/>
      <c r="AG6" s="2262"/>
      <c r="AH6" s="449"/>
      <c r="AI6" s="449"/>
      <c r="AJ6" s="449"/>
    </row>
    <row r="7" spans="1:36" ht="15.75" customHeight="1" thickBot="1" x14ac:dyDescent="0.4">
      <c r="A7" s="1522" t="s">
        <v>1034</v>
      </c>
      <c r="B7" s="1522"/>
      <c r="C7" s="1522"/>
      <c r="D7" s="1523"/>
      <c r="E7" s="1556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653"/>
      <c r="G7" s="1653"/>
      <c r="H7" s="1557"/>
      <c r="I7" s="1526" t="s">
        <v>1042</v>
      </c>
      <c r="J7" s="1522"/>
      <c r="K7" s="1522"/>
      <c r="L7" s="1523"/>
      <c r="M7" s="1556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653"/>
      <c r="O7" s="1653"/>
      <c r="P7" s="1557"/>
      <c r="Q7" s="2264" t="s">
        <v>31</v>
      </c>
      <c r="R7" s="2264"/>
      <c r="S7" s="1556" t="str">
        <f>IF(Data!B4&lt;&gt;"",Data!B4," ")</f>
        <v>MM65DH-1</v>
      </c>
      <c r="T7" s="1653"/>
      <c r="U7" s="1653"/>
      <c r="V7" s="1557"/>
      <c r="X7" s="1522" t="s">
        <v>32</v>
      </c>
      <c r="Y7" s="1523"/>
      <c r="Z7" s="1556" t="str">
        <f>IF(Data!B7&lt;&gt;"",Data!B7, " ")</f>
        <v>SAUDI ARAMCO</v>
      </c>
      <c r="AA7" s="1653"/>
      <c r="AB7" s="1653"/>
      <c r="AC7" s="1557"/>
      <c r="AD7" s="1526" t="s">
        <v>1043</v>
      </c>
      <c r="AE7" s="1522"/>
      <c r="AF7" s="1522"/>
      <c r="AG7" s="1523"/>
      <c r="AH7" s="1556"/>
      <c r="AI7" s="1653"/>
      <c r="AJ7" s="1557"/>
    </row>
    <row r="8" spans="1:36" ht="4.5" customHeight="1" thickBot="1" x14ac:dyDescent="0.4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35">
      <c r="A9" s="1218"/>
      <c r="B9" s="2342"/>
      <c r="C9" s="1878" t="s">
        <v>17</v>
      </c>
      <c r="D9" s="1878"/>
      <c r="E9" s="1878"/>
      <c r="F9" s="1878"/>
      <c r="G9" s="1878"/>
      <c r="H9" s="1878"/>
      <c r="I9" s="1878"/>
      <c r="J9" s="1878"/>
      <c r="K9" s="1878"/>
      <c r="L9" s="1878"/>
      <c r="M9" s="1878"/>
      <c r="N9" s="1878"/>
      <c r="O9" s="1878"/>
      <c r="P9" s="1878"/>
      <c r="Q9" s="1878"/>
      <c r="R9" s="1878"/>
      <c r="S9" s="1878"/>
      <c r="T9" s="1878"/>
      <c r="U9" s="1878"/>
      <c r="V9" s="1878"/>
      <c r="W9" s="1878"/>
      <c r="X9" s="1878"/>
      <c r="Y9" s="1878"/>
      <c r="Z9" s="1878"/>
      <c r="AA9" s="1878"/>
      <c r="AB9" s="1878"/>
      <c r="AC9" s="1878"/>
      <c r="AD9" s="1878"/>
      <c r="AE9" s="1878"/>
      <c r="AF9" s="1878"/>
      <c r="AG9" s="1878"/>
      <c r="AH9" s="1878"/>
      <c r="AI9" s="1878"/>
      <c r="AJ9" s="1886"/>
    </row>
    <row r="10" spans="1:36" ht="12.75" customHeight="1" thickBot="1" x14ac:dyDescent="0.4">
      <c r="A10" s="2343"/>
      <c r="B10" s="1248"/>
      <c r="C10" s="797" t="str">
        <f>IF(Data!BR42&lt;&gt;"",Data!BR42,"")</f>
        <v>1a</v>
      </c>
      <c r="D10" s="797" t="str">
        <f>IF(Data!BS42&lt;&gt;"",Data!BS42,"")</f>
        <v>2a</v>
      </c>
      <c r="E10" s="797" t="str">
        <f>IF(Data!BT42&lt;&gt;"",Data!BT42,"")</f>
        <v>3a</v>
      </c>
      <c r="F10" s="797" t="str">
        <f>IF(Data!BU42&lt;&gt;"",Data!BU42,"")</f>
        <v>4a</v>
      </c>
      <c r="G10" s="797" t="str">
        <f>IF(Data!BV42&lt;&gt;"",Data!BV42,"")</f>
        <v>5a</v>
      </c>
      <c r="H10" s="797" t="str">
        <f>IF(Data!BW42&lt;&gt;"",Data!BW42,"")</f>
        <v>6a</v>
      </c>
      <c r="I10" s="797" t="str">
        <f>IF(Data!BX42&lt;&gt;"",Data!BX42,"")</f>
        <v>7a</v>
      </c>
      <c r="J10" s="797" t="str">
        <f>IF(Data!BY42&lt;&gt;"",Data!BY42,"")</f>
        <v>8a</v>
      </c>
      <c r="K10" s="797" t="str">
        <f>IF(Data!BZ42&lt;&gt;"",Data!BZ42,"")</f>
        <v>0a</v>
      </c>
      <c r="L10" s="797" t="str">
        <f>IF(Data!CA42&lt;&gt;"",Data!CA42,"")</f>
        <v>1b</v>
      </c>
      <c r="M10" s="797" t="str">
        <f>IF(Data!CB42&lt;&gt;"",Data!CB42,"")</f>
        <v>2b</v>
      </c>
      <c r="N10" s="797" t="str">
        <f>IF(Data!CC42&lt;&gt;"",Data!CC42,"")</f>
        <v>3b</v>
      </c>
      <c r="O10" s="797" t="str">
        <f>IF(Data!CD42&lt;&gt;"",Data!CD42,"")</f>
        <v>4b</v>
      </c>
      <c r="P10" s="797" t="str">
        <f>IF(Data!CE42&lt;&gt;"",Data!CE42,"")</f>
        <v>0a</v>
      </c>
      <c r="Q10" s="797" t="str">
        <f>IF(Data!CF42&lt;&gt;"",Data!CF42,"")</f>
        <v>0a</v>
      </c>
      <c r="R10" s="797" t="str">
        <f>IF(Data!CG42&lt;&gt;"",Data!CG42,"")</f>
        <v>0a</v>
      </c>
      <c r="S10" s="797" t="str">
        <f>IF(Data!CH42&lt;&gt;"",Data!CH42,"")</f>
        <v>0a</v>
      </c>
      <c r="T10" s="797" t="str">
        <f>IF(Data!CI42&lt;&gt;"",Data!CI42,"")</f>
        <v>0a</v>
      </c>
      <c r="U10" s="797" t="str">
        <f>IF(Data!CJ42&lt;&gt;"",Data!CJ42,"")</f>
        <v>0a</v>
      </c>
      <c r="V10" s="797" t="str">
        <f>IF(Data!CK42&lt;&gt;"",Data!CK42,"")</f>
        <v>0a</v>
      </c>
      <c r="W10" s="797" t="str">
        <f>IF(Data!CL42&lt;&gt;"",Data!CL42,"")</f>
        <v>0a</v>
      </c>
      <c r="X10" s="797" t="str">
        <f>IF(Data!CM42&lt;&gt;"",Data!CM42,"")</f>
        <v>0a</v>
      </c>
      <c r="Y10" s="797" t="str">
        <f>IF(Data!CN42&lt;&gt;"",Data!CN42,"")</f>
        <v>0a</v>
      </c>
      <c r="Z10" s="797" t="str">
        <f>IF(Data!CO42&lt;&gt;"",Data!CO42,"")</f>
        <v>0a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35">
      <c r="A11" s="2268" t="s">
        <v>18</v>
      </c>
      <c r="B11" s="799">
        <v>1</v>
      </c>
      <c r="C11" s="791" t="str">
        <f>IF('Rework Cutter Entry'!C235&lt;&gt;"",'Rework Cutter Entry'!C235,"")</f>
        <v>O</v>
      </c>
      <c r="D11" s="789" t="str">
        <f>IF('Rework Cutter Entry'!D235&lt;&gt;"",'Rework Cutter Entry'!D235,"")</f>
        <v>O</v>
      </c>
      <c r="E11" s="789" t="str">
        <f>IF('Rework Cutter Entry'!E235&lt;&gt;"",'Rework Cutter Entry'!E235,"")</f>
        <v>O</v>
      </c>
      <c r="F11" s="789" t="str">
        <f>IF('Rework Cutter Entry'!F235&lt;&gt;"",'Rework Cutter Entry'!F235,"")</f>
        <v>O</v>
      </c>
      <c r="G11" s="789" t="str">
        <f>IF('Rework Cutter Entry'!G235&lt;&gt;"",'Rework Cutter Entry'!G235,"")</f>
        <v>O</v>
      </c>
      <c r="H11" s="789" t="str">
        <f>IF('Rework Cutter Entry'!H235&lt;&gt;"",'Rework Cutter Entry'!H235,"")</f>
        <v>O</v>
      </c>
      <c r="I11" s="789" t="str">
        <f>IF('Rework Cutter Entry'!I235&lt;&gt;"",'Rework Cutter Entry'!I235,"")</f>
        <v>O</v>
      </c>
      <c r="J11" s="789" t="str">
        <f>IF('Rework Cutter Entry'!J235&lt;&gt;"",'Rework Cutter Entry'!J235,"")</f>
        <v>O</v>
      </c>
      <c r="K11" s="789" t="str">
        <f>IF('Rework Cutter Entry'!K235&lt;&gt;"",'Rework Cutter Entry'!K235,"")</f>
        <v/>
      </c>
      <c r="L11" s="789" t="str">
        <f>IF('Rework Cutter Entry'!L235&lt;&gt;"",'Rework Cutter Entry'!L235,"")</f>
        <v>O</v>
      </c>
      <c r="M11" s="789" t="str">
        <f>IF('Rework Cutter Entry'!M235&lt;&gt;"",'Rework Cutter Entry'!M235,"")</f>
        <v>O</v>
      </c>
      <c r="N11" s="789" t="str">
        <f>IF('Rework Cutter Entry'!N235&lt;&gt;"",'Rework Cutter Entry'!N235,"")</f>
        <v>O</v>
      </c>
      <c r="O11" s="789" t="str">
        <f>IF('Rework Cutter Entry'!O235&lt;&gt;"",'Rework Cutter Entry'!O235,"")</f>
        <v>O</v>
      </c>
      <c r="P11" s="789" t="str">
        <f>IF('Rework Cutter Entry'!P235&lt;&gt;"",'Rework Cutter Entry'!P235,"")</f>
        <v/>
      </c>
      <c r="Q11" s="789" t="str">
        <f>IF('Rework Cutter Entry'!Q235&lt;&gt;"",'Rework Cutter Entry'!Q235,"")</f>
        <v/>
      </c>
      <c r="R11" s="789" t="str">
        <f>IF('Rework Cutter Entry'!R235&lt;&gt;"",'Rework Cutter Entry'!R235,"")</f>
        <v/>
      </c>
      <c r="S11" s="789" t="str">
        <f>IF('Rework Cutter Entry'!S235&lt;&gt;"",'Rework Cutter Entry'!S235,"")</f>
        <v/>
      </c>
      <c r="T11" s="789" t="str">
        <f>IF('Rework Cutter Entry'!T235&lt;&gt;"",'Rework Cutter Entry'!T235,"")</f>
        <v/>
      </c>
      <c r="U11" s="789" t="str">
        <f>IF('Rework Cutter Entry'!U235&lt;&gt;"",'Rework Cutter Entry'!U235,"")</f>
        <v/>
      </c>
      <c r="V11" s="789" t="str">
        <f>IF('Rework Cutter Entry'!V235&lt;&gt;"",'Rework Cutter Entry'!V235,"")</f>
        <v/>
      </c>
      <c r="W11" s="789" t="str">
        <f>IF('Rework Cutter Entry'!W235&lt;&gt;"",'Rework Cutter Entry'!W235,"")</f>
        <v/>
      </c>
      <c r="X11" s="789" t="str">
        <f>IF('Rework Cutter Entry'!X235&lt;&gt;"",'Rework Cutter Entry'!X235,"")</f>
        <v/>
      </c>
      <c r="Y11" s="789" t="str">
        <f>IF('Rework Cutter Entry'!Y235&lt;&gt;"",'Rework Cutter Entry'!Y235,"")</f>
        <v/>
      </c>
      <c r="Z11" s="789" t="str">
        <f>IF('Rework Cutter Entry'!Z235&lt;&gt;"",'Rework Cutter Entry'!Z235,"")</f>
        <v/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35">
      <c r="A12" s="2269"/>
      <c r="B12" s="800">
        <v>2</v>
      </c>
      <c r="C12" s="792" t="str">
        <f>IF('Rework Cutter Entry'!C236&lt;&gt;"",'Rework Cutter Entry'!C236,"")</f>
        <v>O</v>
      </c>
      <c r="D12" s="776" t="str">
        <f>IF('Rework Cutter Entry'!D236&lt;&gt;"",'Rework Cutter Entry'!D236,"")</f>
        <v>O</v>
      </c>
      <c r="E12" s="776" t="str">
        <f>IF('Rework Cutter Entry'!E236&lt;&gt;"",'Rework Cutter Entry'!E236,"")</f>
        <v>O</v>
      </c>
      <c r="F12" s="776" t="str">
        <f>IF('Rework Cutter Entry'!F236&lt;&gt;"",'Rework Cutter Entry'!F236,"")</f>
        <v>O</v>
      </c>
      <c r="G12" s="776" t="str">
        <f>IF('Rework Cutter Entry'!G236&lt;&gt;"",'Rework Cutter Entry'!G236,"")</f>
        <v>O</v>
      </c>
      <c r="H12" s="776" t="str">
        <f>IF('Rework Cutter Entry'!H236&lt;&gt;"",'Rework Cutter Entry'!H236,"")</f>
        <v/>
      </c>
      <c r="I12" s="776" t="str">
        <f>IF('Rework Cutter Entry'!I236&lt;&gt;"",'Rework Cutter Entry'!I236,"")</f>
        <v/>
      </c>
      <c r="J12" s="776" t="str">
        <f>IF('Rework Cutter Entry'!J236&lt;&gt;"",'Rework Cutter Entry'!J236,"")</f>
        <v/>
      </c>
      <c r="K12" s="776" t="str">
        <f>IF('Rework Cutter Entry'!K236&lt;&gt;"",'Rework Cutter Entry'!K236,"")</f>
        <v/>
      </c>
      <c r="L12" s="776" t="str">
        <f>IF('Rework Cutter Entry'!L236&lt;&gt;"",'Rework Cutter Entry'!L236,"")</f>
        <v>O</v>
      </c>
      <c r="M12" s="776" t="str">
        <f>IF('Rework Cutter Entry'!M236&lt;&gt;"",'Rework Cutter Entry'!M236,"")</f>
        <v>O</v>
      </c>
      <c r="N12" s="776" t="str">
        <f>IF('Rework Cutter Entry'!N236&lt;&gt;"",'Rework Cutter Entry'!N236,"")</f>
        <v>O</v>
      </c>
      <c r="O12" s="776" t="str">
        <f>IF('Rework Cutter Entry'!O236&lt;&gt;"",'Rework Cutter Entry'!O236,"")</f>
        <v>O</v>
      </c>
      <c r="P12" s="776" t="str">
        <f>IF('Rework Cutter Entry'!P236&lt;&gt;"",'Rework Cutter Entry'!P236,"")</f>
        <v/>
      </c>
      <c r="Q12" s="776" t="str">
        <f>IF('Rework Cutter Entry'!Q236&lt;&gt;"",'Rework Cutter Entry'!Q236,"")</f>
        <v/>
      </c>
      <c r="R12" s="776" t="str">
        <f>IF('Rework Cutter Entry'!R236&lt;&gt;"",'Rework Cutter Entry'!R236,"")</f>
        <v/>
      </c>
      <c r="S12" s="776" t="str">
        <f>IF('Rework Cutter Entry'!S236&lt;&gt;"",'Rework Cutter Entry'!S236,"")</f>
        <v/>
      </c>
      <c r="T12" s="776" t="str">
        <f>IF('Rework Cutter Entry'!T236&lt;&gt;"",'Rework Cutter Entry'!T236,"")</f>
        <v/>
      </c>
      <c r="U12" s="776" t="str">
        <f>IF('Rework Cutter Entry'!U236&lt;&gt;"",'Rework Cutter Entry'!U236,"")</f>
        <v/>
      </c>
      <c r="V12" s="776" t="str">
        <f>IF('Rework Cutter Entry'!V236&lt;&gt;"",'Rework Cutter Entry'!V236,"")</f>
        <v/>
      </c>
      <c r="W12" s="776" t="str">
        <f>IF('Rework Cutter Entry'!W236&lt;&gt;"",'Rework Cutter Entry'!W236,"")</f>
        <v/>
      </c>
      <c r="X12" s="776" t="str">
        <f>IF('Rework Cutter Entry'!X236&lt;&gt;"",'Rework Cutter Entry'!X236,"")</f>
        <v/>
      </c>
      <c r="Y12" s="776" t="str">
        <f>IF('Rework Cutter Entry'!Y236&lt;&gt;"",'Rework Cutter Entry'!Y236,"")</f>
        <v/>
      </c>
      <c r="Z12" s="776" t="str">
        <f>IF('Rework Cutter Entry'!Z236&lt;&gt;"",'Rework Cutter Entry'!Z236,"")</f>
        <v/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35">
      <c r="A13" s="2269"/>
      <c r="B13" s="800">
        <v>3</v>
      </c>
      <c r="C13" s="792" t="str">
        <f>IF('Rework Cutter Entry'!C237&lt;&gt;"",'Rework Cutter Entry'!C237,"")</f>
        <v>O</v>
      </c>
      <c r="D13" s="776" t="str">
        <f>IF('Rework Cutter Entry'!D237&lt;&gt;"",'Rework Cutter Entry'!D237,"")</f>
        <v>O</v>
      </c>
      <c r="E13" s="776" t="str">
        <f>IF('Rework Cutter Entry'!E237&lt;&gt;"",'Rework Cutter Entry'!E237,"")</f>
        <v>O</v>
      </c>
      <c r="F13" s="776" t="str">
        <f>IF('Rework Cutter Entry'!F237&lt;&gt;"",'Rework Cutter Entry'!F237,"")</f>
        <v>O</v>
      </c>
      <c r="G13" s="776" t="str">
        <f>IF('Rework Cutter Entry'!G237&lt;&gt;"",'Rework Cutter Entry'!G237,"")</f>
        <v>O</v>
      </c>
      <c r="H13" s="776" t="str">
        <f>IF('Rework Cutter Entry'!H237&lt;&gt;"",'Rework Cutter Entry'!H237,"")</f>
        <v>O</v>
      </c>
      <c r="I13" s="776" t="str">
        <f>IF('Rework Cutter Entry'!I237&lt;&gt;"",'Rework Cutter Entry'!I237,"")</f>
        <v>O</v>
      </c>
      <c r="J13" s="776" t="str">
        <f>IF('Rework Cutter Entry'!J237&lt;&gt;"",'Rework Cutter Entry'!J237,"")</f>
        <v/>
      </c>
      <c r="K13" s="776" t="str">
        <f>IF('Rework Cutter Entry'!K237&lt;&gt;"",'Rework Cutter Entry'!K237,"")</f>
        <v/>
      </c>
      <c r="L13" s="776" t="str">
        <f>IF('Rework Cutter Entry'!L237&lt;&gt;"",'Rework Cutter Entry'!L237,"")</f>
        <v>O</v>
      </c>
      <c r="M13" s="776" t="str">
        <f>IF('Rework Cutter Entry'!M237&lt;&gt;"",'Rework Cutter Entry'!M237,"")</f>
        <v>O</v>
      </c>
      <c r="N13" s="776" t="str">
        <f>IF('Rework Cutter Entry'!N237&lt;&gt;"",'Rework Cutter Entry'!N237,"")</f>
        <v>O</v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/>
      </c>
      <c r="Q13" s="776" t="str">
        <f>IF('Rework Cutter Entry'!Q237&lt;&gt;"",'Rework Cutter Entry'!Q237,"")</f>
        <v/>
      </c>
      <c r="R13" s="776" t="str">
        <f>IF('Rework Cutter Entry'!R237&lt;&gt;"",'Rework Cutter Entry'!R237,"")</f>
        <v/>
      </c>
      <c r="S13" s="776" t="str">
        <f>IF('Rework Cutter Entry'!S237&lt;&gt;"",'Rework Cutter Entry'!S237,"")</f>
        <v/>
      </c>
      <c r="T13" s="776" t="str">
        <f>IF('Rework Cutter Entry'!T237&lt;&gt;"",'Rework Cutter Entry'!T237,"")</f>
        <v/>
      </c>
      <c r="U13" s="776" t="str">
        <f>IF('Rework Cutter Entry'!U237&lt;&gt;"",'Rework Cutter Entry'!U237,"")</f>
        <v/>
      </c>
      <c r="V13" s="776" t="str">
        <f>IF('Rework Cutter Entry'!V237&lt;&gt;"",'Rework Cutter Entry'!V237,"")</f>
        <v/>
      </c>
      <c r="W13" s="776" t="str">
        <f>IF('Rework Cutter Entry'!W237&lt;&gt;"",'Rework Cutter Entry'!W237,"")</f>
        <v/>
      </c>
      <c r="X13" s="776" t="str">
        <f>IF('Rework Cutter Entry'!X237&lt;&gt;"",'Rework Cutter Entry'!X237,"")</f>
        <v/>
      </c>
      <c r="Y13" s="776" t="str">
        <f>IF('Rework Cutter Entry'!Y237&lt;&gt;"",'Rework Cutter Entry'!Y237,"")</f>
        <v/>
      </c>
      <c r="Z13" s="776" t="str">
        <f>IF('Rework Cutter Entry'!Z237&lt;&gt;"",'Rework Cutter Entry'!Z237,"")</f>
        <v/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35">
      <c r="A14" s="2269"/>
      <c r="B14" s="800">
        <v>4</v>
      </c>
      <c r="C14" s="792" t="str">
        <f>IF('Rework Cutter Entry'!C238&lt;&gt;"",'Rework Cutter Entry'!C238,"")</f>
        <v>O</v>
      </c>
      <c r="D14" s="776" t="str">
        <f>IF('Rework Cutter Entry'!D238&lt;&gt;"",'Rework Cutter Entry'!D238,"")</f>
        <v>O</v>
      </c>
      <c r="E14" s="776" t="str">
        <f>IF('Rework Cutter Entry'!E238&lt;&gt;"",'Rework Cutter Entry'!E238,"")</f>
        <v>O</v>
      </c>
      <c r="F14" s="776" t="str">
        <f>IF('Rework Cutter Entry'!F238&lt;&gt;"",'Rework Cutter Entry'!F238,"")</f>
        <v>O</v>
      </c>
      <c r="G14" s="776" t="str">
        <f>IF('Rework Cutter Entry'!G238&lt;&gt;"",'Rework Cutter Entry'!G238,"")</f>
        <v>O</v>
      </c>
      <c r="H14" s="776" t="str">
        <f>IF('Rework Cutter Entry'!H238&lt;&gt;"",'Rework Cutter Entry'!H238,"")</f>
        <v>O</v>
      </c>
      <c r="I14" s="776" t="str">
        <f>IF('Rework Cutter Entry'!I238&lt;&gt;"",'Rework Cutter Entry'!I238,"")</f>
        <v/>
      </c>
      <c r="J14" s="776" t="str">
        <f>IF('Rework Cutter Entry'!J238&lt;&gt;"",'Rework Cutter Entry'!J238,"")</f>
        <v/>
      </c>
      <c r="K14" s="776" t="str">
        <f>IF('Rework Cutter Entry'!K238&lt;&gt;"",'Rework Cutter Entry'!K238,"")</f>
        <v/>
      </c>
      <c r="L14" s="776" t="str">
        <f>IF('Rework Cutter Entry'!L238&lt;&gt;"",'Rework Cutter Entry'!L238,"")</f>
        <v>O</v>
      </c>
      <c r="M14" s="776" t="str">
        <f>IF('Rework Cutter Entry'!M238&lt;&gt;"",'Rework Cutter Entry'!M238,"")</f>
        <v>O</v>
      </c>
      <c r="N14" s="776" t="str">
        <f>IF('Rework Cutter Entry'!N238&lt;&gt;"",'Rework Cutter Entry'!N238,"")</f>
        <v>O</v>
      </c>
      <c r="O14" s="776" t="str">
        <f>IF('Rework Cutter Entry'!O238&lt;&gt;"",'Rework Cutter Entry'!O238,"")</f>
        <v>O</v>
      </c>
      <c r="P14" s="776" t="str">
        <f>IF('Rework Cutter Entry'!P238&lt;&gt;"",'Rework Cutter Entry'!P238,"")</f>
        <v/>
      </c>
      <c r="Q14" s="776" t="str">
        <f>IF('Rework Cutter Entry'!Q238&lt;&gt;"",'Rework Cutter Entry'!Q238,"")</f>
        <v/>
      </c>
      <c r="R14" s="776" t="str">
        <f>IF('Rework Cutter Entry'!R238&lt;&gt;"",'Rework Cutter Entry'!R238,"")</f>
        <v/>
      </c>
      <c r="S14" s="776" t="str">
        <f>IF('Rework Cutter Entry'!S238&lt;&gt;"",'Rework Cutter Entry'!S238,"")</f>
        <v/>
      </c>
      <c r="T14" s="776" t="str">
        <f>IF('Rework Cutter Entry'!T238&lt;&gt;"",'Rework Cutter Entry'!T238,"")</f>
        <v/>
      </c>
      <c r="U14" s="776" t="str">
        <f>IF('Rework Cutter Entry'!U238&lt;&gt;"",'Rework Cutter Entry'!U238,"")</f>
        <v/>
      </c>
      <c r="V14" s="776" t="str">
        <f>IF('Rework Cutter Entry'!V238&lt;&gt;"",'Rework Cutter Entry'!V238,"")</f>
        <v/>
      </c>
      <c r="W14" s="776" t="str">
        <f>IF('Rework Cutter Entry'!W238&lt;&gt;"",'Rework Cutter Entry'!W238,"")</f>
        <v/>
      </c>
      <c r="X14" s="776" t="str">
        <f>IF('Rework Cutter Entry'!X238&lt;&gt;"",'Rework Cutter Entry'!X238,"")</f>
        <v/>
      </c>
      <c r="Y14" s="776" t="str">
        <f>IF('Rework Cutter Entry'!Y238&lt;&gt;"",'Rework Cutter Entry'!Y238,"")</f>
        <v/>
      </c>
      <c r="Z14" s="776" t="str">
        <f>IF('Rework Cutter Entry'!Z238&lt;&gt;"",'Rework Cutter Entry'!Z238,"")</f>
        <v/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35">
      <c r="A15" s="2269"/>
      <c r="B15" s="800">
        <v>5</v>
      </c>
      <c r="C15" s="792" t="str">
        <f>IF('Rework Cutter Entry'!C239&lt;&gt;"",'Rework Cutter Entry'!C239,"")</f>
        <v>O</v>
      </c>
      <c r="D15" s="776" t="str">
        <f>IF('Rework Cutter Entry'!D239&lt;&gt;"",'Rework Cutter Entry'!D239,"")</f>
        <v>O</v>
      </c>
      <c r="E15" s="776" t="str">
        <f>IF('Rework Cutter Entry'!E239&lt;&gt;"",'Rework Cutter Entry'!E239,"")</f>
        <v>O</v>
      </c>
      <c r="F15" s="776" t="str">
        <f>IF('Rework Cutter Entry'!F239&lt;&gt;"",'Rework Cutter Entry'!F239,"")</f>
        <v>O</v>
      </c>
      <c r="G15" s="776" t="str">
        <f>IF('Rework Cutter Entry'!G239&lt;&gt;"",'Rework Cutter Entry'!G239,"")</f>
        <v>O</v>
      </c>
      <c r="H15" s="776" t="str">
        <f>IF('Rework Cutter Entry'!H239&lt;&gt;"",'Rework Cutter Entry'!H239,"")</f>
        <v>O</v>
      </c>
      <c r="I15" s="776" t="str">
        <f>IF('Rework Cutter Entry'!I239&lt;&gt;"",'Rework Cutter Entry'!I239,"")</f>
        <v>O</v>
      </c>
      <c r="J15" s="776" t="str">
        <f>IF('Rework Cutter Entry'!J239&lt;&gt;"",'Rework Cutter Entry'!J239,"")</f>
        <v>O</v>
      </c>
      <c r="K15" s="776" t="str">
        <f>IF('Rework Cutter Entry'!K239&lt;&gt;"",'Rework Cutter Entry'!K239,"")</f>
        <v/>
      </c>
      <c r="L15" s="776" t="str">
        <f>IF('Rework Cutter Entry'!L239&lt;&gt;"",'Rework Cutter Entry'!L239,"")</f>
        <v>O</v>
      </c>
      <c r="M15" s="776" t="str">
        <f>IF('Rework Cutter Entry'!M239&lt;&gt;"",'Rework Cutter Entry'!M239,"")</f>
        <v>O</v>
      </c>
      <c r="N15" s="776" t="str">
        <f>IF('Rework Cutter Entry'!N239&lt;&gt;"",'Rework Cutter Entry'!N239,"")</f>
        <v>O</v>
      </c>
      <c r="O15" s="776" t="str">
        <f>IF('Rework Cutter Entry'!O239&lt;&gt;"",'Rework Cutter Entry'!O239,"")</f>
        <v>O</v>
      </c>
      <c r="P15" s="776" t="str">
        <f>IF('Rework Cutter Entry'!P239&lt;&gt;"",'Rework Cutter Entry'!P239,"")</f>
        <v/>
      </c>
      <c r="Q15" s="776" t="str">
        <f>IF('Rework Cutter Entry'!Q239&lt;&gt;"",'Rework Cutter Entry'!Q239,"")</f>
        <v/>
      </c>
      <c r="R15" s="776" t="str">
        <f>IF('Rework Cutter Entry'!R239&lt;&gt;"",'Rework Cutter Entry'!R239,"")</f>
        <v/>
      </c>
      <c r="S15" s="776" t="str">
        <f>IF('Rework Cutter Entry'!S239&lt;&gt;"",'Rework Cutter Entry'!S239,"")</f>
        <v/>
      </c>
      <c r="T15" s="776" t="str">
        <f>IF('Rework Cutter Entry'!T239&lt;&gt;"",'Rework Cutter Entry'!T239,"")</f>
        <v/>
      </c>
      <c r="U15" s="776" t="str">
        <f>IF('Rework Cutter Entry'!U239&lt;&gt;"",'Rework Cutter Entry'!U239,"")</f>
        <v/>
      </c>
      <c r="V15" s="776" t="str">
        <f>IF('Rework Cutter Entry'!V239&lt;&gt;"",'Rework Cutter Entry'!V239,"")</f>
        <v/>
      </c>
      <c r="W15" s="776" t="str">
        <f>IF('Rework Cutter Entry'!W239&lt;&gt;"",'Rework Cutter Entry'!W239,"")</f>
        <v/>
      </c>
      <c r="X15" s="776" t="str">
        <f>IF('Rework Cutter Entry'!X239&lt;&gt;"",'Rework Cutter Entry'!X239,"")</f>
        <v/>
      </c>
      <c r="Y15" s="776" t="str">
        <f>IF('Rework Cutter Entry'!Y239&lt;&gt;"",'Rework Cutter Entry'!Y239,"")</f>
        <v/>
      </c>
      <c r="Z15" s="776" t="str">
        <f>IF('Rework Cutter Entry'!Z239&lt;&gt;"",'Rework Cutter Entry'!Z239,"")</f>
        <v/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35">
      <c r="A16" s="2269"/>
      <c r="B16" s="800">
        <v>6</v>
      </c>
      <c r="C16" s="792" t="str">
        <f>IF('Rework Cutter Entry'!C240&lt;&gt;"",'Rework Cutter Entry'!C240,"")</f>
        <v>O</v>
      </c>
      <c r="D16" s="776" t="str">
        <f>IF('Rework Cutter Entry'!D240&lt;&gt;"",'Rework Cutter Entry'!D240,"")</f>
        <v>O</v>
      </c>
      <c r="E16" s="776" t="str">
        <f>IF('Rework Cutter Entry'!E240&lt;&gt;"",'Rework Cutter Entry'!E240,"")</f>
        <v>O</v>
      </c>
      <c r="F16" s="776" t="str">
        <f>IF('Rework Cutter Entry'!F240&lt;&gt;"",'Rework Cutter Entry'!F240,"")</f>
        <v>O</v>
      </c>
      <c r="G16" s="776" t="str">
        <f>IF('Rework Cutter Entry'!G240&lt;&gt;"",'Rework Cutter Entry'!G240,"")</f>
        <v>O</v>
      </c>
      <c r="H16" s="776" t="str">
        <f>IF('Rework Cutter Entry'!H240&lt;&gt;"",'Rework Cutter Entry'!H240,"")</f>
        <v/>
      </c>
      <c r="I16" s="776" t="str">
        <f>IF('Rework Cutter Entry'!I240&lt;&gt;"",'Rework Cutter Entry'!I240,"")</f>
        <v/>
      </c>
      <c r="J16" s="776" t="str">
        <f>IF('Rework Cutter Entry'!J240&lt;&gt;"",'Rework Cutter Entry'!J240,"")</f>
        <v/>
      </c>
      <c r="K16" s="776" t="str">
        <f>IF('Rework Cutter Entry'!K240&lt;&gt;"",'Rework Cutter Entry'!K240,"")</f>
        <v/>
      </c>
      <c r="L16" s="776" t="str">
        <f>IF('Rework Cutter Entry'!L240&lt;&gt;"",'Rework Cutter Entry'!L240,"")</f>
        <v>O</v>
      </c>
      <c r="M16" s="776" t="str">
        <f>IF('Rework Cutter Entry'!M240&lt;&gt;"",'Rework Cutter Entry'!M240,"")</f>
        <v>O</v>
      </c>
      <c r="N16" s="776" t="str">
        <f>IF('Rework Cutter Entry'!N240&lt;&gt;"",'Rework Cutter Entry'!N240,"")</f>
        <v>O</v>
      </c>
      <c r="O16" s="776" t="str">
        <f>IF('Rework Cutter Entry'!O240&lt;&gt;"",'Rework Cutter Entry'!O240,"")</f>
        <v>O</v>
      </c>
      <c r="P16" s="776" t="str">
        <f>IF('Rework Cutter Entry'!P240&lt;&gt;"",'Rework Cutter Entry'!P240,"")</f>
        <v/>
      </c>
      <c r="Q16" s="776" t="str">
        <f>IF('Rework Cutter Entry'!Q240&lt;&gt;"",'Rework Cutter Entry'!Q240,"")</f>
        <v/>
      </c>
      <c r="R16" s="776" t="str">
        <f>IF('Rework Cutter Entry'!R240&lt;&gt;"",'Rework Cutter Entry'!R240,"")</f>
        <v/>
      </c>
      <c r="S16" s="776" t="str">
        <f>IF('Rework Cutter Entry'!S240&lt;&gt;"",'Rework Cutter Entry'!S240,"")</f>
        <v/>
      </c>
      <c r="T16" s="776" t="str">
        <f>IF('Rework Cutter Entry'!T240&lt;&gt;"",'Rework Cutter Entry'!T240,"")</f>
        <v/>
      </c>
      <c r="U16" s="776" t="str">
        <f>IF('Rework Cutter Entry'!U240&lt;&gt;"",'Rework Cutter Entry'!U240,"")</f>
        <v/>
      </c>
      <c r="V16" s="776" t="str">
        <f>IF('Rework Cutter Entry'!V240&lt;&gt;"",'Rework Cutter Entry'!V240,"")</f>
        <v/>
      </c>
      <c r="W16" s="776" t="str">
        <f>IF('Rework Cutter Entry'!W240&lt;&gt;"",'Rework Cutter Entry'!W240,"")</f>
        <v/>
      </c>
      <c r="X16" s="776" t="str">
        <f>IF('Rework Cutter Entry'!X240&lt;&gt;"",'Rework Cutter Entry'!X240,"")</f>
        <v/>
      </c>
      <c r="Y16" s="776" t="str">
        <f>IF('Rework Cutter Entry'!Y240&lt;&gt;"",'Rework Cutter Entry'!Y240,"")</f>
        <v/>
      </c>
      <c r="Z16" s="776" t="str">
        <f>IF('Rework Cutter Entry'!Z240&lt;&gt;"",'Rework Cutter Entry'!Z240,"")</f>
        <v/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35">
      <c r="A17" s="2269"/>
      <c r="B17" s="800">
        <v>7</v>
      </c>
      <c r="C17" s="792" t="str">
        <f>IF('Rework Cutter Entry'!C241&lt;&gt;"",'Rework Cutter Entry'!C241,"")</f>
        <v/>
      </c>
      <c r="D17" s="776" t="str">
        <f>IF('Rework Cutter Entry'!D241&lt;&gt;"",'Rework Cutter Entry'!D241,"")</f>
        <v/>
      </c>
      <c r="E17" s="776" t="str">
        <f>IF('Rework Cutter Entry'!E241&lt;&gt;"",'Rework Cutter Entry'!E241,"")</f>
        <v/>
      </c>
      <c r="F17" s="776" t="str">
        <f>IF('Rework Cutter Entry'!F241&lt;&gt;"",'Rework Cutter Entry'!F241,"")</f>
        <v/>
      </c>
      <c r="G17" s="776" t="str">
        <f>IF('Rework Cutter Entry'!G241&lt;&gt;"",'Rework Cutter Entry'!G241,"")</f>
        <v/>
      </c>
      <c r="H17" s="776" t="str">
        <f>IF('Rework Cutter Entry'!H241&lt;&gt;"",'Rework Cutter Entry'!H241,"")</f>
        <v/>
      </c>
      <c r="I17" s="776" t="str">
        <f>IF('Rework Cutter Entry'!I241&lt;&gt;"",'Rework Cutter Entry'!I241,"")</f>
        <v/>
      </c>
      <c r="J17" s="776" t="str">
        <f>IF('Rework Cutter Entry'!J241&lt;&gt;"",'Rework Cutter Entry'!J241,"")</f>
        <v/>
      </c>
      <c r="K17" s="776" t="str">
        <f>IF('Rework Cutter Entry'!K241&lt;&gt;"",'Rework Cutter Entry'!K241,"")</f>
        <v/>
      </c>
      <c r="L17" s="776" t="str">
        <f>IF('Rework Cutter Entry'!L241&lt;&gt;"",'Rework Cutter Entry'!L241,"")</f>
        <v/>
      </c>
      <c r="M17" s="776" t="str">
        <f>IF('Rework Cutter Entry'!M241&lt;&gt;"",'Rework Cutter Entry'!M241,"")</f>
        <v/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/>
      </c>
      <c r="U17" s="776" t="str">
        <f>IF('Rework Cutter Entry'!U241&lt;&gt;"",'Rework Cutter Entry'!U241,"")</f>
        <v/>
      </c>
      <c r="V17" s="776" t="str">
        <f>IF('Rework Cutter Entry'!V241&lt;&gt;"",'Rework Cutter Entry'!V241,"")</f>
        <v/>
      </c>
      <c r="W17" s="776" t="str">
        <f>IF('Rework Cutter Entry'!W241&lt;&gt;"",'Rework Cutter Entry'!W241,"")</f>
        <v/>
      </c>
      <c r="X17" s="776" t="str">
        <f>IF('Rework Cutter Entry'!X241&lt;&gt;"",'Rework Cutter Entry'!X241,"")</f>
        <v/>
      </c>
      <c r="Y17" s="776" t="str">
        <f>IF('Rework Cutter Entry'!Y241&lt;&gt;"",'Rework Cutter Entry'!Y241,"")</f>
        <v/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35">
      <c r="A18" s="2269"/>
      <c r="B18" s="800">
        <v>8</v>
      </c>
      <c r="C18" s="792" t="str">
        <f>IF('Rework Cutter Entry'!C242&lt;&gt;"",'Rework Cutter Entry'!C242,"")</f>
        <v/>
      </c>
      <c r="D18" s="776" t="str">
        <f>IF('Rework Cutter Entry'!D242&lt;&gt;"",'Rework Cutter Entry'!D242,"")</f>
        <v/>
      </c>
      <c r="E18" s="776" t="str">
        <f>IF('Rework Cutter Entry'!E242&lt;&gt;"",'Rework Cutter Entry'!E242,"")</f>
        <v/>
      </c>
      <c r="F18" s="776" t="str">
        <f>IF('Rework Cutter Entry'!F242&lt;&gt;"",'Rework Cutter Entry'!F242,"")</f>
        <v/>
      </c>
      <c r="G18" s="776" t="str">
        <f>IF('Rework Cutter Entry'!G242&lt;&gt;"",'Rework Cutter Entry'!G242,"")</f>
        <v/>
      </c>
      <c r="H18" s="776" t="str">
        <f>IF('Rework Cutter Entry'!H242&lt;&gt;"",'Rework Cutter Entry'!H242,"")</f>
        <v/>
      </c>
      <c r="I18" s="776" t="str">
        <f>IF('Rework Cutter Entry'!I242&lt;&gt;"",'Rework Cutter Entry'!I242,"")</f>
        <v/>
      </c>
      <c r="J18" s="776" t="str">
        <f>IF('Rework Cutter Entry'!J242&lt;&gt;"",'Rework Cutter Entry'!J242,"")</f>
        <v/>
      </c>
      <c r="K18" s="776" t="str">
        <f>IF('Rework Cutter Entry'!K242&lt;&gt;"",'Rework Cutter Entry'!K242,"")</f>
        <v/>
      </c>
      <c r="L18" s="776" t="str">
        <f>IF('Rework Cutter Entry'!L242&lt;&gt;"",'Rework Cutter Entry'!L242,"")</f>
        <v/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/>
      </c>
      <c r="U18" s="776" t="str">
        <f>IF('Rework Cutter Entry'!U242&lt;&gt;"",'Rework Cutter Entry'!U242,"")</f>
        <v/>
      </c>
      <c r="V18" s="776" t="str">
        <f>IF('Rework Cutter Entry'!V242&lt;&gt;"",'Rework Cutter Entry'!V242,"")</f>
        <v/>
      </c>
      <c r="W18" s="776" t="str">
        <f>IF('Rework Cutter Entry'!W242&lt;&gt;"",'Rework Cutter Entry'!W242,"")</f>
        <v/>
      </c>
      <c r="X18" s="776" t="str">
        <f>IF('Rework Cutter Entry'!X242&lt;&gt;"",'Rework Cutter Entry'!X242,"")</f>
        <v/>
      </c>
      <c r="Y18" s="776" t="str">
        <f>IF('Rework Cutter Entry'!Y242&lt;&gt;"",'Rework Cutter Entry'!Y242,"")</f>
        <v/>
      </c>
      <c r="Z18" s="776" t="str">
        <f>IF('Rework Cutter Entry'!Z242&lt;&gt;"",'Rework Cutter Entry'!Z242,"")</f>
        <v/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4">
      <c r="A19" s="2270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4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4">
      <c r="A21" s="1655" t="s">
        <v>20</v>
      </c>
      <c r="B21" s="1655"/>
      <c r="C21" s="1655"/>
      <c r="D21" s="2339">
        <f>IF(COUNTIF($C$11:$AJ$19,"*R*"),COUNTIF($C$11:$AJ$19,"*R*"),0)</f>
        <v>0</v>
      </c>
      <c r="E21" s="2340"/>
      <c r="F21" s="1655" t="s">
        <v>968</v>
      </c>
      <c r="G21" s="1655"/>
      <c r="H21" s="1655"/>
      <c r="I21" s="1880">
        <f>IF(COUNTIF($C$11:$AJ$19,"*S*"),COUNTIF($C$11:$AJ$19,"*S*"),0)</f>
        <v>0</v>
      </c>
      <c r="J21" s="1882"/>
      <c r="K21" s="1655" t="s">
        <v>969</v>
      </c>
      <c r="L21" s="1655"/>
      <c r="M21" s="1655"/>
      <c r="N21" s="2339">
        <f>IF(COUNTIF($C$11:$AJ$19,"*O*"),COUNTIF($C$11:$AJ$19,"*O*"),0)</f>
        <v>62</v>
      </c>
      <c r="O21" s="2340"/>
      <c r="P21" s="1655" t="s">
        <v>970</v>
      </c>
      <c r="Q21" s="1655"/>
      <c r="R21" s="1655"/>
      <c r="S21" s="1880">
        <f>IF(COUNTIF($C$11:$AJ$19,"*F*"),COUNTIF($C$11:$AJ$19,"*F*"),0)</f>
        <v>0</v>
      </c>
      <c r="T21" s="1882"/>
      <c r="U21" s="1655" t="s">
        <v>971</v>
      </c>
      <c r="V21" s="1655"/>
      <c r="W21" s="1655"/>
      <c r="X21" s="1655"/>
      <c r="Y21" s="2339">
        <f>SUM(D28+D29+D30+D31+D32+D33+D34)</f>
        <v>0</v>
      </c>
      <c r="Z21" s="2340"/>
      <c r="AB21" s="2341" t="s">
        <v>21</v>
      </c>
      <c r="AC21" s="2341"/>
      <c r="AD21" s="1880">
        <f>SUM(D21+I21+N21+S21+Y21)</f>
        <v>62</v>
      </c>
      <c r="AE21" s="1882"/>
    </row>
    <row r="22" spans="1:36" ht="4.5" customHeight="1" thickBot="1" x14ac:dyDescent="0.4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35">
      <c r="A23" s="1899" t="s">
        <v>19</v>
      </c>
      <c r="B23" s="1809"/>
      <c r="C23" s="1809"/>
      <c r="D23" s="1873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873"/>
      <c r="F23" s="1873"/>
      <c r="G23" s="1873"/>
      <c r="H23" s="1873"/>
      <c r="I23" s="1873"/>
      <c r="J23" s="1873"/>
      <c r="K23" s="1873"/>
      <c r="L23" s="1873"/>
      <c r="M23" s="1873"/>
      <c r="N23" s="1873"/>
      <c r="O23" s="1873"/>
      <c r="P23" s="1873"/>
      <c r="Q23" s="1873"/>
      <c r="R23" s="1873"/>
      <c r="S23" s="1873"/>
      <c r="T23" s="1873"/>
      <c r="U23" s="1873"/>
      <c r="V23" s="1873"/>
      <c r="W23" s="1873"/>
      <c r="X23" s="1873"/>
      <c r="Y23" s="1873"/>
      <c r="Z23" s="1873"/>
      <c r="AA23" s="1873"/>
      <c r="AB23" s="1873"/>
      <c r="AC23" s="1873"/>
      <c r="AD23" s="1873"/>
      <c r="AE23" s="1873"/>
      <c r="AF23" s="1873"/>
      <c r="AG23" s="1873"/>
      <c r="AH23" s="1873"/>
      <c r="AI23" s="1873"/>
      <c r="AJ23" s="1874"/>
    </row>
    <row r="24" spans="1:36" ht="14.25" customHeight="1" thickBot="1" x14ac:dyDescent="0.4">
      <c r="A24" s="1202" t="str">
        <f>IF(Instructions!$L$1&lt;&gt;"",Instructions!$L$1,"")</f>
        <v/>
      </c>
      <c r="B24" s="1203"/>
      <c r="C24" s="1203"/>
      <c r="D24" s="1876"/>
      <c r="E24" s="1876"/>
      <c r="F24" s="1876"/>
      <c r="G24" s="1876"/>
      <c r="H24" s="1876"/>
      <c r="I24" s="1876"/>
      <c r="J24" s="1876"/>
      <c r="K24" s="1876"/>
      <c r="L24" s="1876"/>
      <c r="M24" s="1876"/>
      <c r="N24" s="1876"/>
      <c r="O24" s="1876"/>
      <c r="P24" s="1876"/>
      <c r="Q24" s="1876"/>
      <c r="R24" s="1876"/>
      <c r="S24" s="1876"/>
      <c r="T24" s="1876"/>
      <c r="U24" s="1876"/>
      <c r="V24" s="1876"/>
      <c r="W24" s="1876"/>
      <c r="X24" s="1876"/>
      <c r="Y24" s="1876"/>
      <c r="Z24" s="1876"/>
      <c r="AA24" s="1876"/>
      <c r="AB24" s="1876"/>
      <c r="AC24" s="1876"/>
      <c r="AD24" s="1876"/>
      <c r="AE24" s="1876"/>
      <c r="AF24" s="1876"/>
      <c r="AG24" s="1876"/>
      <c r="AH24" s="1876"/>
      <c r="AI24" s="1876"/>
      <c r="AJ24" s="1877"/>
    </row>
    <row r="25" spans="1:36" ht="14.25" customHeight="1" thickBot="1" x14ac:dyDescent="0.4">
      <c r="A25" s="2344" t="s">
        <v>39</v>
      </c>
      <c r="B25" s="2345"/>
      <c r="C25" s="2345"/>
      <c r="D25" s="2345"/>
      <c r="E25" s="2345"/>
      <c r="F25" s="2345"/>
      <c r="G25" s="2345"/>
      <c r="H25" s="2345"/>
      <c r="I25" s="2345"/>
      <c r="J25" s="2345"/>
      <c r="K25" s="2345"/>
      <c r="L25" s="2345"/>
      <c r="M25" s="2345"/>
      <c r="N25" s="2345"/>
      <c r="O25" s="2345"/>
      <c r="P25" s="2345"/>
      <c r="Q25" s="2345"/>
      <c r="R25" s="2345"/>
      <c r="S25" s="2345"/>
      <c r="T25" s="2345"/>
      <c r="U25" s="2345"/>
      <c r="V25" s="2345"/>
      <c r="W25" s="2345"/>
      <c r="X25" s="2345"/>
      <c r="Y25" s="2345"/>
      <c r="Z25" s="2345"/>
      <c r="AA25" s="2345"/>
      <c r="AB25" s="2345"/>
      <c r="AC25" s="2345"/>
      <c r="AD25" s="2345"/>
      <c r="AE25" s="2345"/>
      <c r="AF25" s="2345"/>
      <c r="AG25" s="2345"/>
      <c r="AH25" s="2345"/>
      <c r="AI25" s="2345"/>
      <c r="AJ25" s="2346"/>
    </row>
    <row r="26" spans="1:36" ht="7.5" customHeight="1" x14ac:dyDescent="0.35">
      <c r="A26" s="1683" t="s">
        <v>108</v>
      </c>
      <c r="B26" s="1681"/>
      <c r="C26" s="1681"/>
      <c r="D26" s="1681" t="s">
        <v>40</v>
      </c>
      <c r="E26" s="1681"/>
      <c r="F26" s="1681"/>
      <c r="G26" s="1681"/>
      <c r="H26" s="1681" t="s">
        <v>41</v>
      </c>
      <c r="I26" s="1681"/>
      <c r="J26" s="1681"/>
      <c r="K26" s="1681"/>
      <c r="L26" s="1681"/>
      <c r="M26" s="1681" t="s">
        <v>730</v>
      </c>
      <c r="N26" s="1681"/>
      <c r="O26" s="1681"/>
      <c r="P26" s="1681"/>
      <c r="Q26" s="1681"/>
      <c r="R26" s="1681" t="s">
        <v>43</v>
      </c>
      <c r="S26" s="1681"/>
      <c r="T26" s="1681"/>
      <c r="U26" s="1681"/>
      <c r="V26" s="1681"/>
      <c r="W26" s="1681"/>
      <c r="X26" s="1681"/>
      <c r="Y26" s="1685" t="s">
        <v>44</v>
      </c>
      <c r="Z26" s="1685"/>
      <c r="AA26" s="1685"/>
      <c r="AB26" s="1685"/>
      <c r="AC26" s="1685"/>
      <c r="AD26" s="1685"/>
      <c r="AE26" s="1685"/>
      <c r="AF26" s="1685"/>
      <c r="AG26" s="1685"/>
      <c r="AH26" s="1685"/>
      <c r="AI26" s="1685"/>
      <c r="AJ26" s="1686"/>
    </row>
    <row r="27" spans="1:36" ht="7.5" customHeight="1" x14ac:dyDescent="0.35">
      <c r="A27" s="1684"/>
      <c r="B27" s="1682"/>
      <c r="C27" s="1682"/>
      <c r="D27" s="1682"/>
      <c r="E27" s="1682"/>
      <c r="F27" s="1682"/>
      <c r="G27" s="1682"/>
      <c r="H27" s="1682"/>
      <c r="I27" s="1682"/>
      <c r="J27" s="1682"/>
      <c r="K27" s="1682"/>
      <c r="L27" s="1682"/>
      <c r="M27" s="1682"/>
      <c r="N27" s="1682"/>
      <c r="O27" s="1682"/>
      <c r="P27" s="1682"/>
      <c r="Q27" s="1682"/>
      <c r="R27" s="1682"/>
      <c r="S27" s="1682"/>
      <c r="T27" s="1682"/>
      <c r="U27" s="1682"/>
      <c r="V27" s="1682"/>
      <c r="W27" s="1682"/>
      <c r="X27" s="1682"/>
      <c r="Y27" s="1169"/>
      <c r="Z27" s="1169"/>
      <c r="AA27" s="1169"/>
      <c r="AB27" s="1169"/>
      <c r="AC27" s="1169"/>
      <c r="AD27" s="1169"/>
      <c r="AE27" s="1169"/>
      <c r="AF27" s="1169"/>
      <c r="AG27" s="1169"/>
      <c r="AH27" s="1169"/>
      <c r="AI27" s="1169"/>
      <c r="AJ27" s="1687"/>
    </row>
    <row r="28" spans="1:36" ht="12.75" customHeight="1" x14ac:dyDescent="0.35">
      <c r="A28" s="1133">
        <f>IF(TRIM(M28)="","",IF(Data!CX60&gt;0,IF(Data!CX60&lt;&gt;"", Data!CX60, " ")," "))</f>
        <v>1</v>
      </c>
      <c r="B28" s="1126"/>
      <c r="C28" s="1126"/>
      <c r="D28" s="1799">
        <f>IF(COUNTIF($C$11:$AJ$19,"*X*1*"),COUNTIF($C$11:$AJ$19,"*X*1*"),0)+IF(COUNTIF($C$11:$AJ$19,"*L*1*"),COUNTIF($C$11:$AJ$19,"*L*1*"),0)</f>
        <v>0</v>
      </c>
      <c r="E28" s="1799"/>
      <c r="F28" s="1799"/>
      <c r="G28" s="1799"/>
      <c r="H28" s="1799">
        <f>IF(Data!GK2&gt;0,IF(Data!GK2&lt;&gt;"",Data!GK2," ")," ")</f>
        <v>1613</v>
      </c>
      <c r="I28" s="1799"/>
      <c r="J28" s="1799"/>
      <c r="K28" s="1799"/>
      <c r="L28" s="1799"/>
      <c r="M28" s="1799">
        <f>IF(Data!GG2&gt;0,IF(Data!GG2&lt;&gt;"",IF(Data!GG2&lt;&gt;"Add the cutter in list",Data!GG2," ")," "),"")</f>
        <v>1130198</v>
      </c>
      <c r="N28" s="1799"/>
      <c r="O28" s="1799"/>
      <c r="P28" s="1799"/>
      <c r="Q28" s="1799"/>
      <c r="R28" s="17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S28" s="1799"/>
      <c r="T28" s="1799"/>
      <c r="U28" s="1799"/>
      <c r="V28" s="1799"/>
      <c r="W28" s="1799"/>
      <c r="X28" s="1799"/>
      <c r="Y28" s="1799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Z28" s="1799"/>
      <c r="AA28" s="1799"/>
      <c r="AB28" s="1799"/>
      <c r="AC28" s="1799"/>
      <c r="AD28" s="1799"/>
      <c r="AE28" s="1799"/>
      <c r="AF28" s="1799"/>
      <c r="AG28" s="1799"/>
      <c r="AH28" s="1799"/>
      <c r="AI28" s="1799"/>
      <c r="AJ28" s="2290"/>
    </row>
    <row r="29" spans="1:36" ht="12.75" customHeight="1" x14ac:dyDescent="0.35">
      <c r="A29" s="1133">
        <f>IF(TRIM(M29)="","",IF(Data!CX61&gt;0,IF(Data!CX61&lt;&gt;"", Data!CX61, " ")," "))</f>
        <v>2</v>
      </c>
      <c r="B29" s="1126"/>
      <c r="C29" s="1126"/>
      <c r="D29" s="1799">
        <f>IF(COUNTIF($C$11:$AJ$19,"*X*2*"),COUNTIF($C$11:$AJ$19,"*X*2*"),0)+IF(COUNTIF($C$11:$AJ$19,"*L*2*"),COUNTIF($C$11:$AJ$19,"*L*2*"),0)</f>
        <v>0</v>
      </c>
      <c r="E29" s="1799"/>
      <c r="F29" s="1799"/>
      <c r="G29" s="1799"/>
      <c r="H29" s="1799">
        <f>IF(Data!GK3&gt;0,IF(Data!GK3&lt;&gt;"",Data!GK3," ")," ")</f>
        <v>1608</v>
      </c>
      <c r="I29" s="1799"/>
      <c r="J29" s="1799"/>
      <c r="K29" s="1799"/>
      <c r="L29" s="1799"/>
      <c r="M29" s="1799">
        <f>IF(Data!GG3&gt;0,IF(Data!GG3&lt;&gt;"",IF(Data!GG3&lt;&gt;"Add the cutter in list",Data!GG3," ")," "),"")</f>
        <v>647435</v>
      </c>
      <c r="N29" s="1799"/>
      <c r="O29" s="1799"/>
      <c r="P29" s="1799"/>
      <c r="Q29" s="1799"/>
      <c r="R29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S29" s="1799"/>
      <c r="T29" s="1799"/>
      <c r="U29" s="1799"/>
      <c r="V29" s="1799"/>
      <c r="W29" s="1799"/>
      <c r="X29" s="1799"/>
      <c r="Y29" s="1799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Z29" s="1799"/>
      <c r="AA29" s="1799"/>
      <c r="AB29" s="1799"/>
      <c r="AC29" s="1799"/>
      <c r="AD29" s="1799"/>
      <c r="AE29" s="1799"/>
      <c r="AF29" s="1799"/>
      <c r="AG29" s="1799"/>
      <c r="AH29" s="1799"/>
      <c r="AI29" s="1799"/>
      <c r="AJ29" s="2290"/>
    </row>
    <row r="30" spans="1:36" ht="12.75" customHeight="1" x14ac:dyDescent="0.35">
      <c r="A30" s="1133">
        <f>IF(TRIM(M30)="","",IF(Data!CX62&gt;0,IF(Data!CX62&lt;&gt;"", Data!CX62, " ")," "))</f>
        <v>3</v>
      </c>
      <c r="B30" s="1126"/>
      <c r="C30" s="1126"/>
      <c r="D30" s="1799">
        <f>IF(COUNTIF($C$11:$AJ$19,"*X*3*"),COUNTIF($C$11:$AJ$19,"*X*3*"),0)+IF(COUNTIF($C$11:$AJ$19,"*L*3*"),COUNTIF($C$11:$AJ$19,"*L*3*"),0)</f>
        <v>0</v>
      </c>
      <c r="E30" s="1799"/>
      <c r="F30" s="1799"/>
      <c r="G30" s="1799"/>
      <c r="H30" s="1799">
        <f>IF(Data!GK4&gt;0,IF(Data!GK4&lt;&gt;"",Data!GK4," ")," ")</f>
        <v>1308</v>
      </c>
      <c r="I30" s="1799"/>
      <c r="J30" s="1799"/>
      <c r="K30" s="1799"/>
      <c r="L30" s="1799"/>
      <c r="M30" s="1799">
        <f>IF(Data!GG4&gt;0,IF(Data!GG4&lt;&gt;"",IF(Data!GG4&lt;&gt;"Add the cutter in list",Data!GG4," ")," "),"")</f>
        <v>418525</v>
      </c>
      <c r="N30" s="1799"/>
      <c r="O30" s="1799"/>
      <c r="P30" s="1799"/>
      <c r="Q30" s="1799"/>
      <c r="R30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S30" s="1799"/>
      <c r="T30" s="1799"/>
      <c r="U30" s="1799"/>
      <c r="V30" s="1799"/>
      <c r="W30" s="1799"/>
      <c r="X30" s="1799"/>
      <c r="Y30" s="1799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Z30" s="1799"/>
      <c r="AA30" s="1799"/>
      <c r="AB30" s="1799"/>
      <c r="AC30" s="1799"/>
      <c r="AD30" s="1799"/>
      <c r="AE30" s="1799"/>
      <c r="AF30" s="1799"/>
      <c r="AG30" s="1799"/>
      <c r="AH30" s="1799"/>
      <c r="AI30" s="1799"/>
      <c r="AJ30" s="2290"/>
    </row>
    <row r="31" spans="1:36" ht="12.75" customHeight="1" x14ac:dyDescent="0.35">
      <c r="A31" s="1133" t="str">
        <f>IF(TRIM(M31)="","",IF(Data!CX63&gt;0,IF(Data!CX63&lt;&gt;"", Data!CX63, " ")," "))</f>
        <v/>
      </c>
      <c r="B31" s="1126"/>
      <c r="C31" s="1126"/>
      <c r="D31" s="1799">
        <f>IF(COUNTIF($C$11:$AJ$19,"*X*4*"),COUNTIF($C$11:$AJ$19,"*X*4*"),0)+IF(COUNTIF($C$11:$AJ$19,"*L*4*"),COUNTIF($C$11:$AJ$19,"*L*4*"),0)</f>
        <v>0</v>
      </c>
      <c r="E31" s="1799"/>
      <c r="F31" s="1799"/>
      <c r="G31" s="1799"/>
      <c r="H31" s="1799" t="str">
        <f>IF(Data!GK5&gt;0,IF(Data!GK5&lt;&gt;"",Data!GK5," ")," ")</f>
        <v xml:space="preserve"> </v>
      </c>
      <c r="I31" s="1799"/>
      <c r="J31" s="1799"/>
      <c r="K31" s="1799"/>
      <c r="L31" s="1799"/>
      <c r="M31" s="1799" t="str">
        <f>IF(Data!GG5&gt;0,IF(Data!GG5&lt;&gt;"",IF(Data!GG5&lt;&gt;"Add the cutter in list",Data!GG5," ")," "),"")</f>
        <v xml:space="preserve"> </v>
      </c>
      <c r="N31" s="1799"/>
      <c r="O31" s="1799"/>
      <c r="P31" s="1799"/>
      <c r="Q31" s="1799"/>
      <c r="R31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S31" s="1799"/>
      <c r="T31" s="1799"/>
      <c r="U31" s="1799"/>
      <c r="V31" s="1799"/>
      <c r="W31" s="1799"/>
      <c r="X31" s="1799"/>
      <c r="Y31" s="1799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/>
      </c>
      <c r="Z31" s="1799"/>
      <c r="AA31" s="1799"/>
      <c r="AB31" s="1799"/>
      <c r="AC31" s="1799"/>
      <c r="AD31" s="1799"/>
      <c r="AE31" s="1799"/>
      <c r="AF31" s="1799"/>
      <c r="AG31" s="1799"/>
      <c r="AH31" s="1799"/>
      <c r="AI31" s="1799"/>
      <c r="AJ31" s="2290"/>
    </row>
    <row r="32" spans="1:36" ht="12.75" customHeight="1" x14ac:dyDescent="0.35">
      <c r="A32" s="1133" t="str">
        <f>IF(TRIM(M32)="","",IF(Data!CX64&gt;0,IF(Data!CX64&lt;&gt;"", Data!CX64, " ")," "))</f>
        <v/>
      </c>
      <c r="B32" s="1126"/>
      <c r="C32" s="1126"/>
      <c r="D32" s="1799">
        <f>IF(COUNTIF($C$11:$AJ$19,"*X*5*"),COUNTIF($C$11:$AJ$19,"*X*5*"),0)+IF(COUNTIF($C$11:$AJ$19,"*L*5*"),COUNTIF($C$11:$AJ$19,"*L*5*"),0)</f>
        <v>0</v>
      </c>
      <c r="E32" s="1799"/>
      <c r="F32" s="1799"/>
      <c r="G32" s="1799"/>
      <c r="H32" s="1799" t="str">
        <f>IF(Data!GK6&gt;0,IF(Data!GK6&lt;&gt;"",Data!GK6," ")," ")</f>
        <v xml:space="preserve"> </v>
      </c>
      <c r="I32" s="1799"/>
      <c r="J32" s="1799"/>
      <c r="K32" s="1799"/>
      <c r="L32" s="1799"/>
      <c r="M32" s="1799" t="str">
        <f>IF(Data!GG6&gt;0,IF(Data!GG6&lt;&gt;"",IF(Data!GG6&lt;&gt;"Add the cutter in list",Data!GG6," ")," "),"")</f>
        <v xml:space="preserve"> </v>
      </c>
      <c r="N32" s="1799"/>
      <c r="O32" s="1799"/>
      <c r="P32" s="1799"/>
      <c r="Q32" s="1799"/>
      <c r="R32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S32" s="1799"/>
      <c r="T32" s="1799"/>
      <c r="U32" s="1799"/>
      <c r="V32" s="1799"/>
      <c r="W32" s="1799"/>
      <c r="X32" s="1799"/>
      <c r="Y32" s="1799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/>
      </c>
      <c r="Z32" s="1799"/>
      <c r="AA32" s="1799"/>
      <c r="AB32" s="1799"/>
      <c r="AC32" s="1799"/>
      <c r="AD32" s="1799"/>
      <c r="AE32" s="1799"/>
      <c r="AF32" s="1799"/>
      <c r="AG32" s="1799"/>
      <c r="AH32" s="1799"/>
      <c r="AI32" s="1799"/>
      <c r="AJ32" s="2290"/>
    </row>
    <row r="33" spans="1:44" ht="12.75" customHeight="1" x14ac:dyDescent="0.35">
      <c r="A33" s="1133" t="str">
        <f>IF(TRIM(M33)="","",IF(Data!CX65&gt;0,IF(Data!CX65&lt;&gt;"", Data!CX65, " ")," "))</f>
        <v/>
      </c>
      <c r="B33" s="1126"/>
      <c r="C33" s="1126"/>
      <c r="D33" s="1799">
        <f>IF(COUNTIF($C$11:$AJ$19,"*X*6*"),COUNTIF($C$11:$AJ$19,"*X*6*"),0)+IF(COUNTIF($C$11:$AJ$19,"*L*6*"),COUNTIF($C$11:$AJ$19,"*L*6*"),0)</f>
        <v>0</v>
      </c>
      <c r="E33" s="1799"/>
      <c r="F33" s="1799"/>
      <c r="G33" s="1799"/>
      <c r="H33" s="1799" t="str">
        <f>IF(Data!GK7&gt;0,IF(Data!GK7&lt;&gt;"",Data!GK7," ")," ")</f>
        <v xml:space="preserve"> </v>
      </c>
      <c r="I33" s="1799"/>
      <c r="J33" s="1799"/>
      <c r="K33" s="1799"/>
      <c r="L33" s="1799"/>
      <c r="M33" s="1799" t="str">
        <f>IF(Data!GG7&gt;0,IF(Data!GG7&lt;&gt;"",IF(Data!GG7&lt;&gt;"Add the cutter in list",Data!GG7," ")," "),"")</f>
        <v xml:space="preserve"> </v>
      </c>
      <c r="N33" s="1799"/>
      <c r="O33" s="1799"/>
      <c r="P33" s="1799"/>
      <c r="Q33" s="1799"/>
      <c r="R33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799"/>
      <c r="T33" s="1799"/>
      <c r="U33" s="1799"/>
      <c r="V33" s="1799"/>
      <c r="W33" s="1799"/>
      <c r="X33" s="1799"/>
      <c r="Y33" s="1799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799"/>
      <c r="AA33" s="1799"/>
      <c r="AB33" s="1799"/>
      <c r="AC33" s="1799"/>
      <c r="AD33" s="1799"/>
      <c r="AE33" s="1799"/>
      <c r="AF33" s="1799"/>
      <c r="AG33" s="1799"/>
      <c r="AH33" s="1799"/>
      <c r="AI33" s="1799"/>
      <c r="AJ33" s="2290"/>
    </row>
    <row r="34" spans="1:44" ht="12.75" customHeight="1" x14ac:dyDescent="0.35">
      <c r="A34" s="1133" t="str">
        <f>IF(TRIM(M34)="","",IF(Data!CX66&gt;0,IF(Data!CX66&lt;&gt;"", Data!CX66, " ")," "))</f>
        <v/>
      </c>
      <c r="B34" s="1126"/>
      <c r="C34" s="1126"/>
      <c r="D34" s="1799">
        <f>IF(COUNTIF($C$11:$AJ$19,"*X*7*"),COUNTIF($C$11:$AJ$19,"*X*7*"),0)+IF(COUNTIF($C$11:$AJ$19,"*L*7*"),COUNTIF($C$11:$AJ$19,"*L*7*"),0)</f>
        <v>0</v>
      </c>
      <c r="E34" s="1799"/>
      <c r="F34" s="1799"/>
      <c r="G34" s="1799"/>
      <c r="H34" s="1799" t="str">
        <f>IF(Data!GK8&gt;0,IF(Data!GK8&lt;&gt;"",Data!GK8," ")," ")</f>
        <v xml:space="preserve"> </v>
      </c>
      <c r="I34" s="1799"/>
      <c r="J34" s="1799"/>
      <c r="K34" s="1799"/>
      <c r="L34" s="1799"/>
      <c r="M34" s="1799" t="str">
        <f>IF(Data!GG8&gt;0,IF(Data!GG8&lt;&gt;"",IF(Data!GG8&lt;&gt;"Add the cutter in list",Data!GG8," ")," "),"")</f>
        <v xml:space="preserve"> </v>
      </c>
      <c r="N34" s="1799"/>
      <c r="O34" s="1799"/>
      <c r="P34" s="1799"/>
      <c r="Q34" s="1799"/>
      <c r="R34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799"/>
      <c r="T34" s="1799"/>
      <c r="U34" s="1799"/>
      <c r="V34" s="1799"/>
      <c r="W34" s="1799"/>
      <c r="X34" s="1799"/>
      <c r="Y34" s="1799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799"/>
      <c r="AA34" s="1799"/>
      <c r="AB34" s="1799"/>
      <c r="AC34" s="1799"/>
      <c r="AD34" s="1799"/>
      <c r="AE34" s="1799"/>
      <c r="AF34" s="1799"/>
      <c r="AG34" s="1799"/>
      <c r="AH34" s="1799"/>
      <c r="AI34" s="1799"/>
      <c r="AJ34" s="2290"/>
    </row>
    <row r="35" spans="1:44" ht="12.75" customHeight="1" x14ac:dyDescent="0.35">
      <c r="A35" s="1133" t="str">
        <f>IF(TRIM(M35)="","",IF(Data!CX67&gt;0,IF(Data!CX67&lt;&gt;"", Data!CX67, " ")," "))</f>
        <v/>
      </c>
      <c r="B35" s="1126"/>
      <c r="C35" s="1126"/>
      <c r="D35" s="1799">
        <f>IF(COUNTIF($C$11:$AJ$19,"*X*8*"),COUNTIF($C$11:$AJ$19,"*X*8*"),0)+IF(COUNTIF($C$11:$AJ$19,"*L*8*"),COUNTIF($C$11:$AJ$19,"*L*8*"),0)</f>
        <v>0</v>
      </c>
      <c r="E35" s="1799"/>
      <c r="F35" s="1799"/>
      <c r="G35" s="1799"/>
      <c r="H35" s="1799" t="str">
        <f>IF(Data!GK9&gt;0,IF(Data!GK9&lt;&gt;"",Data!GK9," ")," ")</f>
        <v xml:space="preserve"> </v>
      </c>
      <c r="I35" s="1799"/>
      <c r="J35" s="1799"/>
      <c r="K35" s="1799"/>
      <c r="L35" s="1799"/>
      <c r="M35" s="1799" t="str">
        <f>IF(Data!GG9&gt;0,IF(Data!GG9&lt;&gt;"",IF(Data!GG9&lt;&gt;"Add the cutter in list",Data!GG9," ")," "),"")</f>
        <v xml:space="preserve"> </v>
      </c>
      <c r="N35" s="1799"/>
      <c r="O35" s="1799"/>
      <c r="P35" s="1799"/>
      <c r="Q35" s="1799"/>
      <c r="R35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799"/>
      <c r="T35" s="1799"/>
      <c r="U35" s="1799"/>
      <c r="V35" s="1799"/>
      <c r="W35" s="1799"/>
      <c r="X35" s="1799"/>
      <c r="Y35" s="1799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799"/>
      <c r="AA35" s="1799"/>
      <c r="AB35" s="1799"/>
      <c r="AC35" s="1799"/>
      <c r="AD35" s="1799"/>
      <c r="AE35" s="1799"/>
      <c r="AF35" s="1799"/>
      <c r="AG35" s="1799"/>
      <c r="AH35" s="1799"/>
      <c r="AI35" s="1799"/>
      <c r="AJ35" s="2290"/>
    </row>
    <row r="36" spans="1:44" ht="12.75" customHeight="1" x14ac:dyDescent="0.35">
      <c r="A36" s="1133" t="str">
        <f>IF(TRIM(M36)="","",IF(Data!CX68&gt;0,IF(Data!CX68&lt;&gt;"", Data!CX68, " ")," "))</f>
        <v/>
      </c>
      <c r="B36" s="1126"/>
      <c r="C36" s="1126"/>
      <c r="D36" s="1799">
        <f>IF(COUNTIF($C$11:$AJ$19,"*X*9*"),COUNTIF($C$11:$AJ$19,"*X*9*"),0)+IF(COUNTIF($C$11:$AJ$19,"*L*9*"),COUNTIF($C$11:$AJ$19,"*L*9*"),0)</f>
        <v>0</v>
      </c>
      <c r="E36" s="1799"/>
      <c r="F36" s="1799"/>
      <c r="G36" s="1799"/>
      <c r="H36" s="1799" t="str">
        <f>IF(Data!GK10&gt;0,IF(Data!GK10&lt;&gt;"",Data!GK10," ")," ")</f>
        <v xml:space="preserve"> </v>
      </c>
      <c r="I36" s="1799"/>
      <c r="J36" s="1799"/>
      <c r="K36" s="1799"/>
      <c r="L36" s="1799"/>
      <c r="M36" s="1799" t="str">
        <f>IF(Data!GG10&gt;0,IF(Data!GG10&lt;&gt;"",IF(Data!GG10&lt;&gt;"Add the cutter in list",Data!GG10," ")," "),"")</f>
        <v xml:space="preserve"> </v>
      </c>
      <c r="N36" s="1799"/>
      <c r="O36" s="1799"/>
      <c r="P36" s="1799"/>
      <c r="Q36" s="1799"/>
      <c r="R36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799"/>
      <c r="T36" s="1799"/>
      <c r="U36" s="1799"/>
      <c r="V36" s="1799"/>
      <c r="W36" s="1799"/>
      <c r="X36" s="1799"/>
      <c r="Y36" s="1799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799"/>
      <c r="AA36" s="1799"/>
      <c r="AB36" s="1799"/>
      <c r="AC36" s="1799"/>
      <c r="AD36" s="1799"/>
      <c r="AE36" s="1799"/>
      <c r="AF36" s="1799"/>
      <c r="AG36" s="1799"/>
      <c r="AH36" s="1799"/>
      <c r="AI36" s="1799"/>
      <c r="AJ36" s="2290"/>
    </row>
    <row r="37" spans="1:44" ht="12.75" customHeight="1" thickBot="1" x14ac:dyDescent="0.4">
      <c r="A37" s="1133" t="str">
        <f>IF(TRIM(M37)="","",IF(Data!CX69&gt;0,IF(Data!CX69&lt;&gt;"", Data!CX69, " ")," "))</f>
        <v/>
      </c>
      <c r="B37" s="1126"/>
      <c r="C37" s="1126"/>
      <c r="D37" s="1847">
        <f>IF(COUNTIF($C$11:$X$19,"*X*10*"),COUNTIF($C$11:$X$19,"*X*10*"),0)+IF(COUNTIF($C$11:$X$19,"*L*10*"),COUNTIF($C$11:$X$19,"*L*10*"),0)</f>
        <v>0</v>
      </c>
      <c r="E37" s="1847"/>
      <c r="F37" s="1847"/>
      <c r="G37" s="1847"/>
      <c r="H37" s="1799" t="str">
        <f>IF(Data!GK11&gt;0,IF(Data!GK11&lt;&gt;"",Data!GK11," ")," ")</f>
        <v xml:space="preserve"> </v>
      </c>
      <c r="I37" s="1799"/>
      <c r="J37" s="1799"/>
      <c r="K37" s="1799"/>
      <c r="L37" s="1799"/>
      <c r="M37" s="1799" t="str">
        <f>IF(Data!GG11&gt;0,IF(Data!GG11&lt;&gt;"",IF(Data!GG11&lt;&gt;"Add the cutter in list",Data!GG11," ")," "),"")</f>
        <v xml:space="preserve"> </v>
      </c>
      <c r="N37" s="1799"/>
      <c r="O37" s="1799"/>
      <c r="P37" s="1799"/>
      <c r="Q37" s="1799"/>
      <c r="R37" s="17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799"/>
      <c r="T37" s="1799"/>
      <c r="U37" s="1799"/>
      <c r="V37" s="1799"/>
      <c r="W37" s="1799"/>
      <c r="X37" s="1799"/>
      <c r="Y37" s="1799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799"/>
      <c r="AA37" s="1799"/>
      <c r="AB37" s="1799"/>
      <c r="AC37" s="1799"/>
      <c r="AD37" s="1799"/>
      <c r="AE37" s="1799"/>
      <c r="AF37" s="1799"/>
      <c r="AG37" s="1799"/>
      <c r="AH37" s="1799"/>
      <c r="AI37" s="1799"/>
      <c r="AJ37" s="2290"/>
    </row>
    <row r="38" spans="1:44" ht="3" customHeight="1" x14ac:dyDescent="0.35">
      <c r="A38" s="784"/>
      <c r="B38" s="785"/>
      <c r="C38" s="785"/>
      <c r="D38" s="785"/>
      <c r="E38" s="785"/>
      <c r="F38" s="785"/>
      <c r="G38" s="996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4">
      <c r="A39" s="2347" t="s">
        <v>1121</v>
      </c>
      <c r="B39" s="2348"/>
      <c r="C39" s="2348"/>
      <c r="D39" s="2348"/>
      <c r="E39" s="2348"/>
      <c r="F39" s="2348"/>
      <c r="G39" s="2348"/>
      <c r="H39" s="2348"/>
      <c r="I39" s="2348"/>
      <c r="J39" s="2348"/>
      <c r="K39" s="2348"/>
      <c r="L39" s="2348"/>
      <c r="M39" s="2348"/>
      <c r="N39" s="2348"/>
      <c r="O39" s="2348"/>
      <c r="P39" s="2348"/>
      <c r="Q39" s="2348"/>
      <c r="R39" s="2348"/>
      <c r="S39" s="2348"/>
      <c r="T39" s="2348"/>
      <c r="U39" s="2348"/>
      <c r="V39" s="2348"/>
      <c r="W39" s="2348"/>
      <c r="X39" s="2348"/>
      <c r="Y39" s="2348"/>
      <c r="Z39" s="2348"/>
      <c r="AA39" s="2348"/>
      <c r="AB39" s="2348"/>
      <c r="AC39" s="2348"/>
      <c r="AD39" s="2348"/>
      <c r="AE39" s="2348"/>
      <c r="AF39" s="2348"/>
      <c r="AG39" s="2348"/>
      <c r="AH39" s="2348"/>
      <c r="AI39" s="2348"/>
      <c r="AJ39" s="2349"/>
    </row>
    <row r="40" spans="1:44" s="439" customFormat="1" ht="14.25" customHeight="1" x14ac:dyDescent="0.35">
      <c r="A40" s="2303" t="s">
        <v>1036</v>
      </c>
      <c r="B40" s="2304"/>
      <c r="C40" s="2304"/>
      <c r="D40" s="2304"/>
      <c r="E40" s="2304"/>
      <c r="F40" s="2304"/>
      <c r="G40" s="2304"/>
      <c r="H40" s="1825" t="s">
        <v>54</v>
      </c>
      <c r="I40" s="1825"/>
      <c r="J40" s="1825"/>
      <c r="K40" s="1825"/>
      <c r="L40" s="1825"/>
      <c r="M40" s="1825"/>
      <c r="N40" s="1825" t="s">
        <v>1035</v>
      </c>
      <c r="O40" s="1825"/>
      <c r="P40" s="1825"/>
      <c r="Q40" s="1825"/>
      <c r="R40" s="1825"/>
      <c r="S40" s="1825"/>
      <c r="T40" s="2350" t="s">
        <v>56</v>
      </c>
      <c r="U40" s="2350"/>
      <c r="V40" s="2350"/>
      <c r="W40" s="2350"/>
      <c r="X40" s="2351"/>
      <c r="Y40" s="1872" t="s">
        <v>952</v>
      </c>
      <c r="Z40" s="1873"/>
      <c r="AA40" s="1873"/>
      <c r="AB40" s="1873"/>
      <c r="AC40" s="1878"/>
      <c r="AD40" s="1878"/>
      <c r="AE40" s="1878"/>
      <c r="AF40" s="1878"/>
      <c r="AG40" s="1878"/>
      <c r="AH40" s="1878"/>
      <c r="AI40" s="1878"/>
      <c r="AJ40" s="1886"/>
      <c r="AR40"/>
    </row>
    <row r="41" spans="1:44" s="439" customFormat="1" ht="14.25" customHeight="1" x14ac:dyDescent="0.35">
      <c r="A41" s="2301" t="s">
        <v>1029</v>
      </c>
      <c r="B41" s="2302"/>
      <c r="C41" s="2302"/>
      <c r="D41" s="2302"/>
      <c r="E41" s="2302"/>
      <c r="F41" s="2302"/>
      <c r="G41" s="2302"/>
      <c r="H41" s="1800" t="s">
        <v>57</v>
      </c>
      <c r="I41" s="1800"/>
      <c r="J41" s="1800"/>
      <c r="K41" s="1800"/>
      <c r="L41" s="1800"/>
      <c r="M41" s="1800"/>
      <c r="N41" s="1800" t="s">
        <v>58</v>
      </c>
      <c r="O41" s="1800"/>
      <c r="P41" s="1800"/>
      <c r="Q41" s="1800"/>
      <c r="R41" s="1800"/>
      <c r="S41" s="1800"/>
      <c r="T41" s="1800" t="s">
        <v>58</v>
      </c>
      <c r="U41" s="1800"/>
      <c r="V41" s="1800"/>
      <c r="W41" s="1800"/>
      <c r="X41" s="1801"/>
      <c r="Y41" s="2356"/>
      <c r="Z41" s="2357"/>
      <c r="AA41" s="2357"/>
      <c r="AB41" s="2357"/>
      <c r="AC41" s="2258"/>
      <c r="AD41" s="2258"/>
      <c r="AE41" s="2258"/>
      <c r="AF41" s="2258"/>
      <c r="AG41" s="2258"/>
      <c r="AH41" s="2258"/>
      <c r="AI41" s="2258"/>
      <c r="AJ41" s="2358"/>
      <c r="AR41"/>
    </row>
    <row r="42" spans="1:44" s="439" customFormat="1" ht="14.25" customHeight="1" x14ac:dyDescent="0.35">
      <c r="A42" s="2301" t="s">
        <v>1030</v>
      </c>
      <c r="B42" s="2302"/>
      <c r="C42" s="2302"/>
      <c r="D42" s="2302"/>
      <c r="E42" s="2302"/>
      <c r="F42" s="2302"/>
      <c r="G42" s="2302"/>
      <c r="H42" s="1800"/>
      <c r="I42" s="1800"/>
      <c r="J42" s="1800"/>
      <c r="K42" s="1800"/>
      <c r="L42" s="1800"/>
      <c r="M42" s="1800"/>
      <c r="N42" s="1800"/>
      <c r="O42" s="1800"/>
      <c r="P42" s="1800"/>
      <c r="Q42" s="1800"/>
      <c r="R42" s="1800"/>
      <c r="S42" s="1800"/>
      <c r="T42" s="1800"/>
      <c r="U42" s="1800"/>
      <c r="V42" s="1800"/>
      <c r="W42" s="1800"/>
      <c r="X42" s="1801"/>
      <c r="Y42" s="2314" t="s">
        <v>67</v>
      </c>
      <c r="Z42" s="2315"/>
      <c r="AA42" s="2315"/>
      <c r="AB42" s="2315"/>
      <c r="AC42" s="2315"/>
      <c r="AD42" s="2315"/>
      <c r="AE42" s="2315"/>
      <c r="AF42" s="2315"/>
      <c r="AG42" s="2315"/>
      <c r="AH42" s="2315"/>
      <c r="AI42" s="2315"/>
      <c r="AJ42" s="2316"/>
      <c r="AR42"/>
    </row>
    <row r="43" spans="1:44" s="439" customFormat="1" ht="14.25" customHeight="1" x14ac:dyDescent="0.35">
      <c r="A43" s="2309" t="s">
        <v>1031</v>
      </c>
      <c r="B43" s="2307"/>
      <c r="C43" s="2307"/>
      <c r="D43" s="2307"/>
      <c r="E43" s="2307"/>
      <c r="F43" s="2307"/>
      <c r="G43" s="2307"/>
      <c r="H43" s="2308"/>
      <c r="I43" s="2308"/>
      <c r="J43" s="2308"/>
      <c r="K43" s="2308"/>
      <c r="L43" s="2308"/>
      <c r="M43" s="2308"/>
      <c r="N43" s="2308"/>
      <c r="O43" s="2308"/>
      <c r="P43" s="2308"/>
      <c r="Q43" s="2308"/>
      <c r="R43" s="2308"/>
      <c r="S43" s="2308"/>
      <c r="T43" s="2308"/>
      <c r="U43" s="2308"/>
      <c r="V43" s="2308"/>
      <c r="W43" s="2308"/>
      <c r="X43" s="2355"/>
      <c r="Y43" s="2352"/>
      <c r="Z43" s="2353"/>
      <c r="AA43" s="2353"/>
      <c r="AB43" s="2353"/>
      <c r="AC43" s="2353"/>
      <c r="AD43" s="2353"/>
      <c r="AE43" s="2353"/>
      <c r="AF43" s="2353"/>
      <c r="AG43" s="2353"/>
      <c r="AH43" s="2353"/>
      <c r="AI43" s="2353"/>
      <c r="AJ43" s="2354"/>
      <c r="AR43"/>
    </row>
    <row r="44" spans="1:44" s="439" customFormat="1" ht="14.25" customHeight="1" x14ac:dyDescent="0.35">
      <c r="A44" s="2301" t="s">
        <v>59</v>
      </c>
      <c r="B44" s="2302"/>
      <c r="C44" s="2302"/>
      <c r="D44" s="2302"/>
      <c r="E44" s="2302"/>
      <c r="F44" s="2302"/>
      <c r="G44" s="2302"/>
      <c r="H44" s="1800"/>
      <c r="I44" s="1800"/>
      <c r="J44" s="1800"/>
      <c r="K44" s="1800"/>
      <c r="L44" s="1800"/>
      <c r="M44" s="1800"/>
      <c r="N44" s="2302" t="s">
        <v>60</v>
      </c>
      <c r="O44" s="2302"/>
      <c r="P44" s="2302"/>
      <c r="Q44" s="2302"/>
      <c r="R44" s="2302"/>
      <c r="S44" s="2302"/>
      <c r="T44" s="1800"/>
      <c r="U44" s="1800"/>
      <c r="V44" s="1800"/>
      <c r="W44" s="1800"/>
      <c r="X44" s="1801"/>
      <c r="Y44" s="2317"/>
      <c r="Z44" s="2318"/>
      <c r="AA44" s="2318"/>
      <c r="AB44" s="2318"/>
      <c r="AC44" s="2318"/>
      <c r="AD44" s="2318"/>
      <c r="AE44" s="2318"/>
      <c r="AF44" s="2318"/>
      <c r="AG44" s="2318"/>
      <c r="AH44" s="2318"/>
      <c r="AI44" s="2318"/>
      <c r="AJ44" s="2319"/>
      <c r="AK44" s="787"/>
      <c r="AL44" s="787"/>
      <c r="AM44" s="787"/>
      <c r="AN44" s="787"/>
      <c r="AO44" s="787"/>
    </row>
    <row r="45" spans="1:44" s="439" customFormat="1" ht="14.25" customHeight="1" x14ac:dyDescent="0.35">
      <c r="A45" s="2309" t="s">
        <v>61</v>
      </c>
      <c r="B45" s="2307"/>
      <c r="C45" s="2307"/>
      <c r="D45" s="2307"/>
      <c r="E45" s="2307"/>
      <c r="F45" s="2307"/>
      <c r="G45" s="2307"/>
      <c r="H45" s="2308"/>
      <c r="I45" s="2308"/>
      <c r="J45" s="2308"/>
      <c r="K45" s="2308"/>
      <c r="L45" s="2308"/>
      <c r="M45" s="2308"/>
      <c r="N45" s="2307" t="s">
        <v>62</v>
      </c>
      <c r="O45" s="2307"/>
      <c r="P45" s="2307"/>
      <c r="Q45" s="2307"/>
      <c r="R45" s="2307"/>
      <c r="S45" s="2307"/>
      <c r="T45" s="2308"/>
      <c r="U45" s="2308"/>
      <c r="V45" s="2308"/>
      <c r="W45" s="2308"/>
      <c r="X45" s="2355"/>
      <c r="Y45" s="2310" t="s">
        <v>69</v>
      </c>
      <c r="Z45" s="2272"/>
      <c r="AA45" s="2272"/>
      <c r="AB45" s="2272"/>
      <c r="AC45" s="1800"/>
      <c r="AD45" s="1800"/>
      <c r="AE45" s="1800"/>
      <c r="AF45" s="1800"/>
      <c r="AG45" s="1800"/>
      <c r="AH45" s="1800"/>
      <c r="AI45" s="1800"/>
      <c r="AJ45" s="1801"/>
      <c r="AK45" s="787"/>
      <c r="AL45" s="787"/>
      <c r="AM45" s="787"/>
      <c r="AN45" s="787"/>
      <c r="AO45" s="787"/>
    </row>
    <row r="46" spans="1:44" s="439" customFormat="1" ht="14.25" customHeight="1" thickBot="1" x14ac:dyDescent="0.4">
      <c r="A46" s="1860" t="s">
        <v>63</v>
      </c>
      <c r="B46" s="1937"/>
      <c r="C46" s="1937"/>
      <c r="D46" s="1937"/>
      <c r="E46" s="2306" t="s">
        <v>64</v>
      </c>
      <c r="F46" s="2306"/>
      <c r="G46" s="2306"/>
      <c r="H46" s="1848"/>
      <c r="I46" s="1848"/>
      <c r="J46" s="1848"/>
      <c r="K46" s="1848"/>
      <c r="L46" s="1848"/>
      <c r="M46" s="1848"/>
      <c r="N46" s="1848" t="s">
        <v>65</v>
      </c>
      <c r="O46" s="1848"/>
      <c r="P46" s="1848"/>
      <c r="Q46" s="1848"/>
      <c r="R46" s="1848"/>
      <c r="S46" s="1848"/>
      <c r="T46" s="2306" t="s">
        <v>36</v>
      </c>
      <c r="U46" s="2306"/>
      <c r="V46" s="1848"/>
      <c r="W46" s="1848"/>
      <c r="X46" s="1849"/>
      <c r="Y46" s="1875"/>
      <c r="Z46" s="1876"/>
      <c r="AA46" s="1876"/>
      <c r="AB46" s="1876"/>
      <c r="AC46" s="1848"/>
      <c r="AD46" s="1848"/>
      <c r="AE46" s="1848"/>
      <c r="AF46" s="1848"/>
      <c r="AG46" s="1848"/>
      <c r="AH46" s="1848"/>
      <c r="AI46" s="1848"/>
      <c r="AJ46" s="1849"/>
    </row>
    <row r="47" spans="1:44" s="439" customFormat="1" ht="18.75" customHeight="1" x14ac:dyDescent="0.35">
      <c r="X47" s="2359" t="s">
        <v>1045</v>
      </c>
      <c r="Y47" s="2359"/>
      <c r="Z47" s="2359"/>
      <c r="AA47" s="2359"/>
      <c r="AB47" s="2359"/>
      <c r="AC47" s="2360"/>
      <c r="AD47" s="2360"/>
      <c r="AE47" s="2360"/>
      <c r="AF47" s="2360"/>
      <c r="AG47" s="2360"/>
      <c r="AH47" s="2360"/>
      <c r="AI47" s="2360"/>
      <c r="AJ47" s="2360"/>
    </row>
    <row r="48" spans="1:44" s="439" customFormat="1" ht="22" customHeight="1" x14ac:dyDescent="0.35"/>
    <row r="49" spans="1:24" s="439" customFormat="1" ht="22" customHeight="1" x14ac:dyDescent="0.35"/>
    <row r="50" spans="1:24" ht="6" customHeight="1" x14ac:dyDescent="0.3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49999999999999" customHeight="1" x14ac:dyDescent="0.35"/>
    <row r="52" spans="1:24" ht="6" customHeight="1" x14ac:dyDescent="0.35"/>
    <row r="54" spans="1:24" hidden="1" x14ac:dyDescent="0.35"/>
    <row r="55" spans="1:24" ht="15.75" hidden="1" customHeight="1" x14ac:dyDescent="0.35">
      <c r="A55" s="2269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35">
      <c r="A56" s="2269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35">
      <c r="A57" s="2269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35">
      <c r="A58" s="2269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35">
      <c r="A59" s="2269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35">
      <c r="A60" s="2269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35">
      <c r="A61" s="2269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35">
      <c r="A62" s="2269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35">
      <c r="A63" s="2269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35"/>
    <row r="65" spans="3:14" hidden="1" x14ac:dyDescent="0.35"/>
    <row r="66" spans="3:14" hidden="1" x14ac:dyDescent="0.3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3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35"/>
  </sheetData>
  <sheetProtection formatCells="0" formatColumns="0" formatRows="0" insertColumns="0" insertRows="0" insertHyperlinks="0" deleteColumns="0" deleteRows="0" sort="0" autoFilter="0" pivotTables="0"/>
  <mergeCells count="153"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</mergeCells>
  <conditionalFormatting sqref="A28:A37">
    <cfRule type="expression" dxfId="146" priority="36">
      <formula>COUNTIF(A28,"7")</formula>
    </cfRule>
    <cfRule type="expression" dxfId="145" priority="37">
      <formula>COUNTIF(A28,"6")</formula>
    </cfRule>
    <cfRule type="expression" dxfId="144" priority="38">
      <formula>COUNTIF(A28,"5")</formula>
    </cfRule>
    <cfRule type="expression" dxfId="143" priority="39">
      <formula>COUNTIF(A28,"4")</formula>
    </cfRule>
    <cfRule type="expression" dxfId="142" priority="40">
      <formula>COUNTIF(A28,"3")</formula>
    </cfRule>
    <cfRule type="expression" dxfId="141" priority="41">
      <formula>COUNTIF(A28,"2")</formula>
    </cfRule>
    <cfRule type="expression" dxfId="140" priority="42">
      <formula>COUNTIF(A28,"1")</formula>
    </cfRule>
  </conditionalFormatting>
  <conditionalFormatting sqref="A24:C24">
    <cfRule type="expression" dxfId="139" priority="1">
      <formula>$A$24&lt;&gt;""</formula>
    </cfRule>
  </conditionalFormatting>
  <conditionalFormatting sqref="C10:AJ10">
    <cfRule type="beginsWith" dxfId="137" priority="45" operator="beginsWith" text="0a">
      <formula>LEFT(C10,LEN("0a"))="0a"</formula>
    </cfRule>
    <cfRule type="cellIs" dxfId="136" priority="46" operator="equal">
      <formula>0</formula>
    </cfRule>
  </conditionalFormatting>
  <conditionalFormatting sqref="C11:AJ19">
    <cfRule type="expression" dxfId="135" priority="28">
      <formula>AND(COUNTIF(C11,"*V*"),AND(NOT(COUNTIF(B11,"*V*")),NOT(COUNTIF(D11,"*V*"))))</formula>
    </cfRule>
    <cfRule type="expression" dxfId="134" priority="29">
      <formula>COUNTIF(C11,"*7*")</formula>
    </cfRule>
    <cfRule type="expression" dxfId="133" priority="30">
      <formula>COUNTIF(C11,"*6*")</formula>
    </cfRule>
    <cfRule type="expression" dxfId="132" priority="31">
      <formula>COUNTIF(C11,"*5*")</formula>
    </cfRule>
    <cfRule type="expression" dxfId="131" priority="32">
      <formula>COUNTIF(C11,"*4*")</formula>
    </cfRule>
    <cfRule type="expression" dxfId="130" priority="33">
      <formula>COUNTIF(C11,"*3*")</formula>
    </cfRule>
    <cfRule type="expression" dxfId="129" priority="34">
      <formula>COUNTIF(C11,"*2*")</formula>
    </cfRule>
    <cfRule type="expression" dxfId="128" priority="35">
      <formula>COUNTIF(C11,"*1*")</formula>
    </cfRule>
  </conditionalFormatting>
  <conditionalFormatting sqref="D28:D37">
    <cfRule type="cellIs" dxfId="127" priority="11" operator="equal">
      <formula>0</formula>
    </cfRule>
  </conditionalFormatting>
  <conditionalFormatting sqref="D21:E21 I21:J21 N21:O21 S21:T21 Y21:Z21 AD21:AE21">
    <cfRule type="cellIs" dxfId="126" priority="43" operator="equal">
      <formula>0</formula>
    </cfRule>
  </conditionalFormatting>
  <conditionalFormatting sqref="E7">
    <cfRule type="cellIs" dxfId="125" priority="48" operator="equal">
      <formula>0</formula>
    </cfRule>
  </conditionalFormatting>
  <conditionalFormatting sqref="AH3:AJ3">
    <cfRule type="cellIs" dxfId="12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4.5" x14ac:dyDescent="0.35"/>
  <cols>
    <col min="1" max="36" width="6" customWidth="1"/>
  </cols>
  <sheetData>
    <row r="1" spans="1:36" ht="24" thickBot="1" x14ac:dyDescent="0.4">
      <c r="A1" s="1278" t="s">
        <v>1915</v>
      </c>
      <c r="B1" s="1278"/>
      <c r="C1" s="1278"/>
      <c r="D1" s="1278"/>
      <c r="E1" s="1278"/>
      <c r="F1" s="1278"/>
      <c r="G1" s="1278"/>
      <c r="H1" s="1278"/>
      <c r="I1" s="1278"/>
      <c r="J1" s="1278"/>
      <c r="K1" s="1278"/>
      <c r="L1" s="1278"/>
      <c r="M1" s="1278"/>
      <c r="N1" s="1278"/>
      <c r="O1" s="1278"/>
      <c r="P1" s="1278"/>
      <c r="Q1" s="1278"/>
      <c r="R1" s="1278"/>
      <c r="S1" s="1278"/>
      <c r="T1" s="1278"/>
      <c r="U1" s="1278"/>
      <c r="V1" s="1278"/>
      <c r="W1" s="2361">
        <v>1</v>
      </c>
      <c r="X1" s="2361"/>
      <c r="Y1" s="2361"/>
      <c r="Z1" s="2361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35">
      <c r="A2" s="1295"/>
      <c r="B2" s="1296"/>
      <c r="C2" s="1299" t="s">
        <v>17</v>
      </c>
      <c r="D2" s="1299"/>
      <c r="E2" s="1299"/>
      <c r="F2" s="1299"/>
      <c r="G2" s="1299"/>
      <c r="H2" s="1299"/>
      <c r="I2" s="1299"/>
      <c r="J2" s="1299"/>
      <c r="K2" s="1299"/>
      <c r="L2" s="1299"/>
      <c r="M2" s="1299"/>
      <c r="N2" s="1299"/>
      <c r="O2" s="1299"/>
      <c r="P2" s="1299"/>
      <c r="Q2" s="1299"/>
      <c r="R2" s="1299"/>
      <c r="S2" s="1299"/>
      <c r="T2" s="1299"/>
      <c r="U2" s="1299"/>
      <c r="V2" s="1300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" thickBot="1" x14ac:dyDescent="0.4">
      <c r="A3" s="1297"/>
      <c r="B3" s="1298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" x14ac:dyDescent="0.35">
      <c r="A4" s="1304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" x14ac:dyDescent="0.35">
      <c r="A5" s="1305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" x14ac:dyDescent="0.35">
      <c r="A6" s="1305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" x14ac:dyDescent="0.35">
      <c r="A7" s="1305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" x14ac:dyDescent="0.35">
      <c r="A8" s="1305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" x14ac:dyDescent="0.35">
      <c r="A9" s="1305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" x14ac:dyDescent="0.35">
      <c r="A10" s="1305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" x14ac:dyDescent="0.35">
      <c r="A11" s="1305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" x14ac:dyDescent="0.35">
      <c r="A12" s="1305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" x14ac:dyDescent="0.35">
      <c r="A13" s="1305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" x14ac:dyDescent="0.35">
      <c r="A14" s="1305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0.5" thickBot="1" x14ac:dyDescent="0.4">
      <c r="A15" s="1306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" thickBot="1" x14ac:dyDescent="0.4">
      <c r="A16" s="1283"/>
      <c r="B16" s="1313"/>
      <c r="C16" s="1313"/>
      <c r="D16" s="1313"/>
      <c r="E16" s="1313"/>
      <c r="F16" s="1313"/>
      <c r="G16" s="1313"/>
      <c r="H16" s="1313"/>
      <c r="I16" s="1313"/>
      <c r="J16" s="1313"/>
      <c r="K16" s="1313"/>
      <c r="L16" s="1313"/>
      <c r="M16" s="1313"/>
      <c r="N16" s="1313"/>
      <c r="O16" s="1313"/>
      <c r="P16" s="1313"/>
      <c r="Q16" s="1313"/>
      <c r="R16" s="1313"/>
      <c r="S16" s="1313"/>
      <c r="T16" s="1313"/>
      <c r="U16" s="1313"/>
      <c r="V16" s="1313"/>
      <c r="W16" s="1313"/>
      <c r="X16" s="1313"/>
      <c r="Y16" s="1313"/>
      <c r="Z16" s="1313"/>
      <c r="AA16" s="1313"/>
      <c r="AB16" s="1313"/>
      <c r="AC16" s="1313"/>
      <c r="AD16" s="1313"/>
      <c r="AE16" s="1313"/>
      <c r="AF16" s="1313"/>
      <c r="AG16" s="1313"/>
      <c r="AH16" s="1313"/>
      <c r="AI16" s="1313"/>
    </row>
    <row r="17" spans="1:36" ht="20.5" thickBot="1" x14ac:dyDescent="0.4">
      <c r="A17" s="1310" t="s">
        <v>797</v>
      </c>
      <c r="B17" s="1311"/>
      <c r="C17" s="1312"/>
      <c r="D17" s="1307"/>
      <c r="E17" s="1308"/>
      <c r="F17" s="1308"/>
      <c r="G17" s="1308"/>
      <c r="H17" s="1308"/>
      <c r="I17" s="1308"/>
      <c r="J17" s="1308"/>
      <c r="K17" s="1308"/>
      <c r="L17" s="1308"/>
      <c r="M17" s="1308"/>
      <c r="N17" s="1308"/>
      <c r="O17" s="1308"/>
      <c r="P17" s="1308"/>
      <c r="Q17" s="1308"/>
      <c r="R17" s="1308"/>
      <c r="S17" s="1308"/>
      <c r="T17" s="1308"/>
      <c r="U17" s="1308"/>
      <c r="V17" s="1308"/>
      <c r="W17" s="1308"/>
      <c r="X17" s="1308"/>
      <c r="Y17" s="1308"/>
      <c r="Z17" s="1308"/>
      <c r="AA17" s="1308"/>
      <c r="AB17" s="1308"/>
      <c r="AC17" s="1308"/>
      <c r="AD17" s="1308"/>
      <c r="AE17" s="1308"/>
      <c r="AF17" s="1308"/>
      <c r="AG17" s="1308"/>
      <c r="AH17" s="1308"/>
      <c r="AI17" s="1309"/>
    </row>
    <row r="22" spans="1:36" ht="24" thickBot="1" x14ac:dyDescent="0.4">
      <c r="A22" s="1278" t="s">
        <v>1916</v>
      </c>
      <c r="B22" s="1278"/>
      <c r="C22" s="1278"/>
      <c r="D22" s="1278"/>
      <c r="E22" s="1278"/>
      <c r="F22" s="1278"/>
      <c r="G22" s="1278"/>
      <c r="H22" s="1278"/>
      <c r="I22" s="1278"/>
      <c r="J22" s="1278"/>
      <c r="K22" s="1278"/>
      <c r="L22" s="1278"/>
      <c r="M22" s="1278"/>
      <c r="N22" s="1278"/>
      <c r="O22" s="1278"/>
      <c r="P22" s="1278"/>
      <c r="Q22" s="1278"/>
      <c r="R22" s="1278"/>
      <c r="S22" s="1278"/>
      <c r="T22" s="1278"/>
      <c r="U22" s="1278"/>
      <c r="V22" s="1278"/>
      <c r="W22" s="2361"/>
      <c r="X22" s="2361"/>
      <c r="Y22" s="2361"/>
      <c r="Z22" s="2361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35">
      <c r="A23" s="1295"/>
      <c r="B23" s="1296"/>
      <c r="C23" s="1299" t="s">
        <v>17</v>
      </c>
      <c r="D23" s="1299"/>
      <c r="E23" s="1299"/>
      <c r="F23" s="1299"/>
      <c r="G23" s="1299"/>
      <c r="H23" s="1299"/>
      <c r="I23" s="1299"/>
      <c r="J23" s="1299"/>
      <c r="K23" s="1299"/>
      <c r="L23" s="1299"/>
      <c r="M23" s="1299"/>
      <c r="N23" s="1299"/>
      <c r="O23" s="1299"/>
      <c r="P23" s="1299"/>
      <c r="Q23" s="1299"/>
      <c r="R23" s="1299"/>
      <c r="S23" s="1299"/>
      <c r="T23" s="1299"/>
      <c r="U23" s="1299"/>
      <c r="V23" s="1300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" thickBot="1" x14ac:dyDescent="0.4">
      <c r="A24" s="1297"/>
      <c r="B24" s="1298"/>
      <c r="C24" s="3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1b</v>
      </c>
      <c r="M24" s="35" t="str">
        <f>IF(Data!CB42&lt;&gt;"",Data!CB42,"")</f>
        <v>2b</v>
      </c>
      <c r="N24" s="35" t="str">
        <f>IF(Data!CC42&lt;&gt;"",Data!CC42,"")</f>
        <v>3b</v>
      </c>
      <c r="O24" s="35" t="str">
        <f>IF(Data!CD42&lt;&gt;"",Data!CD42,"")</f>
        <v>4b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" x14ac:dyDescent="0.35">
      <c r="A25" s="1304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" x14ac:dyDescent="0.35">
      <c r="A26" s="1305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" x14ac:dyDescent="0.35">
      <c r="A27" s="1305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" x14ac:dyDescent="0.35">
      <c r="A28" s="1305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" x14ac:dyDescent="0.35">
      <c r="A29" s="1305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" x14ac:dyDescent="0.35">
      <c r="A30" s="1305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" x14ac:dyDescent="0.35">
      <c r="A31" s="1305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" x14ac:dyDescent="0.35">
      <c r="A32" s="1305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" x14ac:dyDescent="0.35">
      <c r="A33" s="1305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" x14ac:dyDescent="0.35">
      <c r="A34" s="1305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" x14ac:dyDescent="0.35">
      <c r="A35" s="1305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0.5" thickBot="1" x14ac:dyDescent="0.4">
      <c r="A36" s="1306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" thickBot="1" x14ac:dyDescent="0.4">
      <c r="A37" s="1283"/>
      <c r="B37" s="1313"/>
      <c r="C37" s="1313"/>
      <c r="D37" s="1313"/>
      <c r="E37" s="1313"/>
      <c r="F37" s="1313"/>
      <c r="G37" s="1313"/>
      <c r="H37" s="1313"/>
      <c r="I37" s="1313"/>
      <c r="J37" s="1313"/>
      <c r="K37" s="1313"/>
      <c r="L37" s="1313"/>
      <c r="M37" s="1313"/>
      <c r="N37" s="1313"/>
      <c r="O37" s="1313"/>
      <c r="P37" s="1313"/>
      <c r="Q37" s="1313"/>
      <c r="R37" s="1313"/>
      <c r="S37" s="1313"/>
      <c r="T37" s="1313"/>
      <c r="U37" s="1313"/>
      <c r="V37" s="1313"/>
      <c r="W37" s="1313"/>
      <c r="X37" s="1313"/>
      <c r="Y37" s="1313"/>
      <c r="Z37" s="1313"/>
      <c r="AA37" s="1313"/>
      <c r="AB37" s="1313"/>
      <c r="AC37" s="1313"/>
      <c r="AD37" s="1313"/>
      <c r="AE37" s="1313"/>
      <c r="AF37" s="1313"/>
      <c r="AG37" s="1313"/>
      <c r="AH37" s="1313"/>
      <c r="AI37" s="1313"/>
    </row>
    <row r="38" spans="1:36" ht="20.5" thickBot="1" x14ac:dyDescent="0.4">
      <c r="A38" s="1310" t="s">
        <v>797</v>
      </c>
      <c r="B38" s="1311"/>
      <c r="C38" s="1312"/>
      <c r="D38" s="1307"/>
      <c r="E38" s="1308"/>
      <c r="F38" s="1308"/>
      <c r="G38" s="1308"/>
      <c r="H38" s="1308"/>
      <c r="I38" s="1308"/>
      <c r="J38" s="1308"/>
      <c r="K38" s="1308"/>
      <c r="L38" s="1308"/>
      <c r="M38" s="1308"/>
      <c r="N38" s="1308"/>
      <c r="O38" s="1308"/>
      <c r="P38" s="1308"/>
      <c r="Q38" s="1308"/>
      <c r="R38" s="1308"/>
      <c r="S38" s="1308"/>
      <c r="T38" s="1308"/>
      <c r="U38" s="1308"/>
      <c r="V38" s="1308"/>
      <c r="W38" s="1308"/>
      <c r="X38" s="1308"/>
      <c r="Y38" s="1308"/>
      <c r="Z38" s="1308"/>
      <c r="AA38" s="1308"/>
      <c r="AB38" s="1308"/>
      <c r="AC38" s="1308"/>
      <c r="AD38" s="1308"/>
      <c r="AE38" s="1308"/>
      <c r="AF38" s="1308"/>
      <c r="AG38" s="1308"/>
      <c r="AH38" s="1308"/>
      <c r="AI38" s="1309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21" priority="68">
      <formula>COUNTIF(C3,"0a")</formula>
    </cfRule>
  </conditionalFormatting>
  <conditionalFormatting sqref="C4:AJ15">
    <cfRule type="expression" dxfId="118" priority="50">
      <formula>COUNTIF(C4,"*10*")</formula>
    </cfRule>
    <cfRule type="expression" dxfId="117" priority="51">
      <formula>COUNTIF(C4,"*9*")</formula>
    </cfRule>
    <cfRule type="expression" dxfId="116" priority="53">
      <formula>AND(COUNTIF(C4,"*V*"),AND(NOT(COUNTIF(B4,"*V*")),NOT(COUNTIF(D4,"*V*"))))</formula>
    </cfRule>
    <cfRule type="expression" dxfId="115" priority="52">
      <formula>COUNTIF(C4,"*8*")</formula>
    </cfRule>
    <cfRule type="expression" dxfId="114" priority="54">
      <formula>COUNTIF(C4,"*7*")</formula>
    </cfRule>
    <cfRule type="expression" dxfId="113" priority="55">
      <formula>COUNTIF(C4,"*6*")</formula>
    </cfRule>
    <cfRule type="expression" dxfId="112" priority="56">
      <formula>COUNTIF(C4,"*5*")</formula>
    </cfRule>
    <cfRule type="expression" dxfId="111" priority="57">
      <formula>COUNTIF(C4,"*4*")</formula>
    </cfRule>
    <cfRule type="expression" dxfId="110" priority="58">
      <formula>COUNTIF(C4,"*3*")</formula>
    </cfRule>
    <cfRule type="expression" dxfId="109" priority="60">
      <formula>COUNTIF(C4,"*1*")</formula>
    </cfRule>
    <cfRule type="expression" dxfId="100" priority="59">
      <formula>COUNTIF(C4,"*2*")</formula>
    </cfRule>
  </conditionalFormatting>
  <conditionalFormatting sqref="C24:AJ24">
    <cfRule type="expression" dxfId="99" priority="23">
      <formula>COUNTIF(C3,"0a")</formula>
    </cfRule>
  </conditionalFormatting>
  <conditionalFormatting sqref="C25:AJ36">
    <cfRule type="expression" dxfId="95" priority="4">
      <formula>COUNTIF(C4,"*10*")</formula>
    </cfRule>
    <cfRule type="expression" dxfId="94" priority="5">
      <formula>COUNTIF(C4,"*9*")</formula>
    </cfRule>
    <cfRule type="expression" dxfId="93" priority="7">
      <formula>AND(COUNTIF(C4,"*V*"),AND(NOT(COUNTIF(B4,"*V*")),NOT(COUNTIF(D4,"*V*"))))</formula>
    </cfRule>
    <cfRule type="expression" dxfId="92" priority="8">
      <formula>COUNTIF(C4,"*7*")</formula>
    </cfRule>
    <cfRule type="expression" dxfId="91" priority="9">
      <formula>COUNTIF(C4,"*6*")</formula>
    </cfRule>
    <cfRule type="expression" dxfId="90" priority="10">
      <formula>COUNTIF(C4,"*5*")</formula>
    </cfRule>
    <cfRule type="expression" dxfId="89" priority="11">
      <formula>COUNTIF(C4,"*4*")</formula>
    </cfRule>
    <cfRule type="expression" dxfId="88" priority="12">
      <formula>COUNTIF(C4,"*3*")</formula>
    </cfRule>
    <cfRule type="expression" dxfId="87" priority="13">
      <formula>COUNTIF(C4,"*2*")</formula>
    </cfRule>
    <cfRule type="expression" dxfId="86" priority="14">
      <formula>COUNTIF(C4,"*1*")</formula>
    </cfRule>
    <cfRule type="expression" dxfId="80" priority="6">
      <formula>COUNTIF(C4,"*8*")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796875" defaultRowHeight="12.5" x14ac:dyDescent="0.25"/>
  <cols>
    <col min="1" max="1" width="4.81640625" style="539" customWidth="1"/>
    <col min="2" max="2" width="11.7265625" style="539" customWidth="1"/>
    <col min="3" max="3" width="6.7265625" style="539" customWidth="1"/>
    <col min="4" max="4" width="7.81640625" style="539" customWidth="1"/>
    <col min="5" max="5" width="6.26953125" style="539" customWidth="1"/>
    <col min="6" max="7" width="7.81640625" style="539" customWidth="1"/>
    <col min="8" max="8" width="4.7265625" style="539" customWidth="1"/>
    <col min="9" max="9" width="8.1796875" style="539" customWidth="1"/>
    <col min="10" max="10" width="8.54296875" style="539" customWidth="1"/>
    <col min="11" max="11" width="18.453125" style="539" customWidth="1"/>
    <col min="12" max="16384" width="9.1796875" style="539"/>
  </cols>
  <sheetData>
    <row r="1" spans="1:12" ht="25" customHeight="1" x14ac:dyDescent="0.25"/>
    <row r="2" spans="1:12" ht="25" customHeight="1" x14ac:dyDescent="0.25">
      <c r="C2" s="2376" t="s">
        <v>22</v>
      </c>
      <c r="D2" s="2376"/>
      <c r="E2" s="2376"/>
      <c r="F2" s="2376"/>
      <c r="G2" s="2376"/>
      <c r="H2" s="2376"/>
      <c r="I2" s="2376"/>
      <c r="J2" s="2376"/>
      <c r="K2" s="2376"/>
      <c r="L2" s="2376"/>
    </row>
    <row r="3" spans="1:12" ht="18" customHeight="1" x14ac:dyDescent="0.25">
      <c r="C3" s="2377" t="s">
        <v>1146</v>
      </c>
      <c r="D3" s="2377"/>
      <c r="E3" s="2377"/>
      <c r="F3" s="2377"/>
      <c r="G3" s="2378" t="s">
        <v>1147</v>
      </c>
      <c r="H3" s="2378"/>
      <c r="I3" s="2378"/>
      <c r="J3" s="2378"/>
      <c r="K3" s="2378" t="s">
        <v>1148</v>
      </c>
      <c r="L3" s="2378"/>
    </row>
    <row r="4" spans="1:12" ht="18" customHeight="1" x14ac:dyDescent="0.25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5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49999999999999" customHeight="1" x14ac:dyDescent="0.25"/>
    <row r="7" spans="1:12" ht="12" customHeight="1" x14ac:dyDescent="0.25"/>
    <row r="8" spans="1:12" s="542" customFormat="1" ht="20.149999999999999" customHeight="1" x14ac:dyDescent="0.35"/>
    <row r="9" spans="1:12" s="542" customFormat="1" ht="20.149999999999999" customHeight="1" x14ac:dyDescent="0.35">
      <c r="A9" s="2376" t="s">
        <v>1151</v>
      </c>
      <c r="B9" s="2376"/>
      <c r="C9" s="2376"/>
      <c r="D9" s="2376"/>
      <c r="E9" s="2376"/>
      <c r="F9" s="2376"/>
      <c r="G9" s="2376"/>
      <c r="H9" s="2376"/>
      <c r="I9" s="2376"/>
      <c r="J9" s="2376"/>
      <c r="K9" s="2376"/>
      <c r="L9" s="2376"/>
    </row>
    <row r="10" spans="1:12" s="542" customFormat="1" ht="20.149999999999999" customHeight="1" x14ac:dyDescent="0.25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49999999999999" customHeight="1" x14ac:dyDescent="0.35">
      <c r="A11" s="2362" t="s">
        <v>1152</v>
      </c>
      <c r="B11" s="2362"/>
      <c r="C11" s="2368" t="str">
        <f>IF(Data!B7="SAUDI ARAMCO","ARAMCO Warehouse","HDBS warehouse")</f>
        <v>ARAMCO Warehouse</v>
      </c>
      <c r="D11" s="2369"/>
      <c r="E11" s="2369"/>
      <c r="F11" s="543"/>
      <c r="G11" s="2370" t="s">
        <v>1153</v>
      </c>
      <c r="H11" s="2370"/>
      <c r="I11" s="2370"/>
      <c r="J11" s="2371"/>
      <c r="K11" s="2373" t="str">
        <f>IF(Data!B1&lt;&gt;"", Data!B1, " ")</f>
        <v>2025-AR-109</v>
      </c>
      <c r="L11" s="2373"/>
    </row>
    <row r="12" spans="1:12" s="542" customFormat="1" ht="20.149999999999999" customHeight="1" x14ac:dyDescent="0.35">
      <c r="A12" s="2362" t="s">
        <v>1154</v>
      </c>
      <c r="B12" s="2362"/>
      <c r="C12" s="2368"/>
      <c r="D12" s="2369"/>
      <c r="E12" s="2369"/>
      <c r="F12" s="543"/>
      <c r="G12" s="2370" t="s">
        <v>1155</v>
      </c>
      <c r="H12" s="2370"/>
      <c r="I12" s="2370"/>
      <c r="J12" s="2371"/>
      <c r="K12" s="2372"/>
      <c r="L12" s="2373"/>
    </row>
    <row r="13" spans="1:12" s="542" customFormat="1" ht="20.149999999999999" customHeight="1" x14ac:dyDescent="0.35">
      <c r="A13" s="2362" t="s">
        <v>1156</v>
      </c>
      <c r="B13" s="2362"/>
      <c r="C13" s="2368" t="str">
        <f>IF(Data!B7="AL KHOBAR","ARAMCO Warehouse","SAIHAT")</f>
        <v>SAIHAT</v>
      </c>
      <c r="D13" s="2369"/>
      <c r="E13" s="2369"/>
      <c r="F13" s="543"/>
      <c r="G13" s="2370" t="s">
        <v>1157</v>
      </c>
      <c r="H13" s="2370"/>
      <c r="I13" s="2370"/>
      <c r="J13" s="2371"/>
      <c r="K13" s="2374" t="str">
        <f>IF(Data!B23&lt;&gt;"",Data!B23, " ")</f>
        <v xml:space="preserve"> </v>
      </c>
      <c r="L13" s="2375"/>
    </row>
    <row r="14" spans="1:12" ht="15.5" x14ac:dyDescent="0.25">
      <c r="A14" s="2362" t="s">
        <v>1158</v>
      </c>
      <c r="B14" s="2362"/>
      <c r="C14" s="2368" t="s">
        <v>1148</v>
      </c>
      <c r="D14" s="2369"/>
      <c r="E14" s="2369"/>
      <c r="F14" s="543"/>
      <c r="G14" s="2370" t="s">
        <v>1159</v>
      </c>
      <c r="H14" s="2370"/>
      <c r="I14" s="2370"/>
      <c r="J14" s="2371"/>
      <c r="K14" s="2373"/>
      <c r="L14" s="2373"/>
    </row>
    <row r="15" spans="1:12" ht="25" customHeight="1" x14ac:dyDescent="0.25">
      <c r="A15" s="2362" t="s">
        <v>1160</v>
      </c>
      <c r="B15" s="2362"/>
      <c r="C15" s="2368" t="str">
        <f>IF(Data!B16&lt;&gt;"", Data!B16, " ")</f>
        <v>SAUDI ARAMCO</v>
      </c>
      <c r="D15" s="2369"/>
      <c r="E15" s="2369"/>
      <c r="F15" s="543"/>
      <c r="G15" s="2370" t="s">
        <v>1161</v>
      </c>
      <c r="H15" s="2370"/>
      <c r="I15" s="2370"/>
      <c r="J15" s="2371"/>
      <c r="K15" s="2373"/>
      <c r="L15" s="2373"/>
    </row>
    <row r="16" spans="1:12" ht="25" customHeight="1" x14ac:dyDescent="0.25">
      <c r="A16" s="2362" t="s">
        <v>1162</v>
      </c>
      <c r="B16" s="2362"/>
      <c r="C16" s="2368"/>
      <c r="D16" s="2369"/>
      <c r="E16" s="2369"/>
      <c r="F16" s="543"/>
      <c r="G16" s="2370" t="s">
        <v>1163</v>
      </c>
      <c r="H16" s="2370"/>
      <c r="I16" s="2370"/>
      <c r="J16" s="2371"/>
      <c r="K16" s="2372"/>
      <c r="L16" s="2373"/>
    </row>
    <row r="17" spans="1:12" ht="25" customHeight="1" x14ac:dyDescent="0.25"/>
    <row r="18" spans="1:12" ht="25" customHeight="1" x14ac:dyDescent="0.25">
      <c r="A18" s="544" t="s">
        <v>1164</v>
      </c>
      <c r="B18" s="544" t="s">
        <v>1165</v>
      </c>
      <c r="C18" s="2363" t="s">
        <v>1166</v>
      </c>
      <c r="D18" s="2363"/>
      <c r="E18" s="544" t="s">
        <v>1167</v>
      </c>
      <c r="F18" s="2363" t="s">
        <v>1168</v>
      </c>
      <c r="G18" s="2363"/>
      <c r="H18" s="2363" t="s">
        <v>1169</v>
      </c>
      <c r="I18" s="2363"/>
      <c r="J18" s="2363"/>
      <c r="K18" s="2363" t="s">
        <v>995</v>
      </c>
      <c r="L18" s="2363"/>
    </row>
    <row r="19" spans="1:12" ht="25" customHeight="1" x14ac:dyDescent="0.25">
      <c r="A19" s="544">
        <v>1</v>
      </c>
      <c r="B19" s="545" t="str">
        <f>IF(Data!B3&lt;&gt;"", Data!B3&amp;"""", " ")</f>
        <v>8 3/8""</v>
      </c>
      <c r="C19" s="2365" t="str">
        <f>IF(Data!B4&lt;&gt;"", Data!B4, " ")</f>
        <v>MM65DH-1</v>
      </c>
      <c r="D19" s="2366"/>
      <c r="E19" s="544">
        <v>1</v>
      </c>
      <c r="F19" s="2365">
        <f>IF(Data!B2&lt;&gt;"", Data!B2, " ")</f>
        <v>13845937</v>
      </c>
      <c r="G19" s="2366"/>
      <c r="H19" s="2365" t="str">
        <f>IF(Data!B1&lt;&gt;"", Data!B1, " ")</f>
        <v>2025-AR-109</v>
      </c>
      <c r="I19" s="2367"/>
      <c r="J19" s="2366"/>
      <c r="K19" s="2365" t="str">
        <f>IF(Data!L5&lt;&gt;"","Scrap",IF(Data!L2&lt;&gt;"","Rerun","Repaired"))</f>
        <v>Repaired</v>
      </c>
      <c r="L19" s="2366"/>
    </row>
    <row r="20" spans="1:12" ht="25" customHeight="1" x14ac:dyDescent="0.25">
      <c r="A20" s="544">
        <v>2</v>
      </c>
      <c r="B20" s="544"/>
      <c r="C20" s="2365"/>
      <c r="D20" s="2366"/>
      <c r="E20" s="544"/>
      <c r="F20" s="2365"/>
      <c r="G20" s="2366"/>
      <c r="H20" s="2365"/>
      <c r="I20" s="2367"/>
      <c r="J20" s="2366"/>
      <c r="K20" s="2365"/>
      <c r="L20" s="2366"/>
    </row>
    <row r="21" spans="1:12" ht="25" customHeight="1" x14ac:dyDescent="0.25">
      <c r="A21" s="544">
        <v>3</v>
      </c>
      <c r="B21" s="544"/>
      <c r="C21" s="2365"/>
      <c r="D21" s="2366"/>
      <c r="E21" s="544"/>
      <c r="F21" s="2365"/>
      <c r="G21" s="2366"/>
      <c r="H21" s="2365"/>
      <c r="I21" s="2367"/>
      <c r="J21" s="2366"/>
      <c r="K21" s="2365"/>
      <c r="L21" s="2366"/>
    </row>
    <row r="22" spans="1:12" ht="25" customHeight="1" x14ac:dyDescent="0.25">
      <c r="A22" s="544">
        <v>4</v>
      </c>
      <c r="B22" s="544"/>
      <c r="C22" s="2365"/>
      <c r="D22" s="2366"/>
      <c r="E22" s="544"/>
      <c r="F22" s="2365"/>
      <c r="G22" s="2366"/>
      <c r="H22" s="2365"/>
      <c r="I22" s="2367"/>
      <c r="J22" s="2366"/>
      <c r="K22" s="2365"/>
      <c r="L22" s="2366"/>
    </row>
    <row r="23" spans="1:12" ht="25" customHeight="1" x14ac:dyDescent="0.25">
      <c r="A23" s="544">
        <v>5</v>
      </c>
      <c r="B23" s="544"/>
      <c r="C23" s="2365"/>
      <c r="D23" s="2366"/>
      <c r="E23" s="544"/>
      <c r="F23" s="2365"/>
      <c r="G23" s="2366"/>
      <c r="H23" s="2365"/>
      <c r="I23" s="2367"/>
      <c r="J23" s="2366"/>
      <c r="K23" s="2365"/>
      <c r="L23" s="2366"/>
    </row>
    <row r="24" spans="1:12" ht="25" customHeight="1" x14ac:dyDescent="0.25">
      <c r="A24" s="544">
        <v>6</v>
      </c>
      <c r="B24" s="544"/>
      <c r="C24" s="2365"/>
      <c r="D24" s="2366"/>
      <c r="E24" s="544"/>
      <c r="F24" s="2365"/>
      <c r="G24" s="2366"/>
      <c r="H24" s="2365"/>
      <c r="I24" s="2367"/>
      <c r="J24" s="2366"/>
      <c r="K24" s="2365"/>
      <c r="L24" s="2366"/>
    </row>
    <row r="25" spans="1:12" ht="25" customHeight="1" x14ac:dyDescent="0.25">
      <c r="A25" s="544">
        <v>7</v>
      </c>
      <c r="B25" s="544"/>
      <c r="C25" s="2365"/>
      <c r="D25" s="2366"/>
      <c r="E25" s="544"/>
      <c r="F25" s="2365"/>
      <c r="G25" s="2366"/>
      <c r="H25" s="2365"/>
      <c r="I25" s="2367"/>
      <c r="J25" s="2366"/>
      <c r="K25" s="2365"/>
      <c r="L25" s="2366"/>
    </row>
    <row r="26" spans="1:12" ht="25" customHeight="1" x14ac:dyDescent="0.25">
      <c r="A26" s="544">
        <v>8</v>
      </c>
      <c r="B26" s="544"/>
      <c r="C26" s="2365"/>
      <c r="D26" s="2366"/>
      <c r="E26" s="544"/>
      <c r="F26" s="2365"/>
      <c r="G26" s="2366"/>
      <c r="H26" s="2365"/>
      <c r="I26" s="2367"/>
      <c r="J26" s="2366"/>
      <c r="K26" s="2365"/>
      <c r="L26" s="2366"/>
    </row>
    <row r="27" spans="1:12" s="542" customFormat="1" ht="25" customHeight="1" x14ac:dyDescent="0.35">
      <c r="A27" s="544">
        <v>9</v>
      </c>
      <c r="B27" s="544"/>
      <c r="C27" s="2365"/>
      <c r="D27" s="2366"/>
      <c r="E27" s="544"/>
      <c r="F27" s="2365"/>
      <c r="G27" s="2366"/>
      <c r="H27" s="2365"/>
      <c r="I27" s="2367"/>
      <c r="J27" s="2366"/>
      <c r="K27" s="2365"/>
      <c r="L27" s="2366"/>
    </row>
    <row r="28" spans="1:12" s="542" customFormat="1" ht="25" customHeight="1" x14ac:dyDescent="0.35">
      <c r="A28" s="544">
        <v>10</v>
      </c>
      <c r="B28" s="544"/>
      <c r="C28" s="2365"/>
      <c r="D28" s="2366"/>
      <c r="E28" s="544"/>
      <c r="F28" s="2365"/>
      <c r="G28" s="2366"/>
      <c r="H28" s="2365"/>
      <c r="I28" s="2367"/>
      <c r="J28" s="2366"/>
      <c r="K28" s="2365"/>
      <c r="L28" s="2366"/>
    </row>
    <row r="29" spans="1:12" ht="25" customHeight="1" x14ac:dyDescent="0.25"/>
    <row r="30" spans="1:12" ht="25" customHeight="1" x14ac:dyDescent="0.25">
      <c r="A30" s="2362" t="s">
        <v>1170</v>
      </c>
      <c r="B30" s="2362"/>
      <c r="C30" s="2362"/>
      <c r="D30" s="2363"/>
      <c r="E30" s="2363"/>
      <c r="F30" s="2363"/>
      <c r="G30" s="2363"/>
      <c r="H30" s="542"/>
      <c r="I30" s="2362" t="s">
        <v>1171</v>
      </c>
      <c r="J30" s="2362"/>
      <c r="K30" s="2364"/>
      <c r="L30" s="2364"/>
    </row>
    <row r="31" spans="1:12" ht="25" customHeight="1" x14ac:dyDescent="0.25">
      <c r="A31" s="2362" t="s">
        <v>1172</v>
      </c>
      <c r="B31" s="2362"/>
      <c r="C31" s="2362"/>
      <c r="D31" s="2363"/>
      <c r="E31" s="2363"/>
      <c r="F31" s="2363"/>
      <c r="G31" s="2363"/>
      <c r="H31" s="542"/>
      <c r="I31" s="2362" t="s">
        <v>1173</v>
      </c>
      <c r="J31" s="2362"/>
      <c r="K31" s="2363"/>
      <c r="L31" s="2363"/>
    </row>
  </sheetData>
  <mergeCells count="81">
    <mergeCell ref="A11:B11"/>
    <mergeCell ref="C11:E11"/>
    <mergeCell ref="G11:J11"/>
    <mergeCell ref="K11:L11"/>
    <mergeCell ref="C2:L2"/>
    <mergeCell ref="C3:F3"/>
    <mergeCell ref="G3:J3"/>
    <mergeCell ref="K3:L3"/>
    <mergeCell ref="A9:L9"/>
    <mergeCell ref="A12:B12"/>
    <mergeCell ref="C12:E12"/>
    <mergeCell ref="G12:J12"/>
    <mergeCell ref="K12:L12"/>
    <mergeCell ref="A13:B13"/>
    <mergeCell ref="C13:E13"/>
    <mergeCell ref="G13:J13"/>
    <mergeCell ref="K13:L13"/>
    <mergeCell ref="A14:B14"/>
    <mergeCell ref="C14:E14"/>
    <mergeCell ref="G14:J14"/>
    <mergeCell ref="K14:L14"/>
    <mergeCell ref="A15:B15"/>
    <mergeCell ref="C15:E15"/>
    <mergeCell ref="G15:J15"/>
    <mergeCell ref="K15:L15"/>
    <mergeCell ref="A16:B16"/>
    <mergeCell ref="C16:E16"/>
    <mergeCell ref="G16:J16"/>
    <mergeCell ref="K16:L16"/>
    <mergeCell ref="C18:D18"/>
    <mergeCell ref="F18:G18"/>
    <mergeCell ref="H18:J18"/>
    <mergeCell ref="K18:L18"/>
    <mergeCell ref="C19:D19"/>
    <mergeCell ref="F19:G19"/>
    <mergeCell ref="H19:J19"/>
    <mergeCell ref="K19:L19"/>
    <mergeCell ref="C20:D20"/>
    <mergeCell ref="F20:G20"/>
    <mergeCell ref="H20:J20"/>
    <mergeCell ref="K20:L20"/>
    <mergeCell ref="C21:D21"/>
    <mergeCell ref="F21:G21"/>
    <mergeCell ref="H21:J21"/>
    <mergeCell ref="K21:L21"/>
    <mergeCell ref="C22:D22"/>
    <mergeCell ref="F22:G22"/>
    <mergeCell ref="H22:J22"/>
    <mergeCell ref="K22:L22"/>
    <mergeCell ref="C23:D23"/>
    <mergeCell ref="F23:G23"/>
    <mergeCell ref="H23:J23"/>
    <mergeCell ref="K23:L23"/>
    <mergeCell ref="C24:D24"/>
    <mergeCell ref="F24:G24"/>
    <mergeCell ref="H24:J24"/>
    <mergeCell ref="K24:L24"/>
    <mergeCell ref="C25:D25"/>
    <mergeCell ref="F25:G25"/>
    <mergeCell ref="H25:J25"/>
    <mergeCell ref="K25:L25"/>
    <mergeCell ref="C26:D26"/>
    <mergeCell ref="F26:G26"/>
    <mergeCell ref="H26:J26"/>
    <mergeCell ref="K26:L26"/>
    <mergeCell ref="C27:D27"/>
    <mergeCell ref="F27:G27"/>
    <mergeCell ref="H27:J27"/>
    <mergeCell ref="K27:L27"/>
    <mergeCell ref="C28:D28"/>
    <mergeCell ref="F28:G28"/>
    <mergeCell ref="H28:J28"/>
    <mergeCell ref="K28:L28"/>
    <mergeCell ref="A30:C30"/>
    <mergeCell ref="D30:G30"/>
    <mergeCell ref="I30:J30"/>
    <mergeCell ref="K30:L30"/>
    <mergeCell ref="A31:C31"/>
    <mergeCell ref="D31:G31"/>
    <mergeCell ref="I31:J31"/>
    <mergeCell ref="K31:L31"/>
  </mergeCells>
  <pageMargins left="0.25" right="0" top="0.25" bottom="0.25" header="0.05" footer="0.05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00" ht="30" customHeight="1" x14ac:dyDescent="0.35">
      <c r="B1" s="1248"/>
      <c r="C1" s="1248"/>
      <c r="D1" s="1248"/>
      <c r="E1" s="1248"/>
      <c r="F1" s="1248"/>
      <c r="G1" s="1248"/>
      <c r="H1" s="1248"/>
      <c r="I1" s="1248"/>
      <c r="J1" s="1248"/>
      <c r="K1" s="1248"/>
      <c r="L1" s="1248"/>
      <c r="M1" s="1248"/>
      <c r="N1" s="1248"/>
      <c r="O1" s="1248"/>
      <c r="P1" s="1248"/>
      <c r="Q1" s="1248"/>
      <c r="R1" s="2385" t="str">
        <f>IF(Data!$B$1&lt;&gt;"", Data!$B$1, " ")</f>
        <v>2025-AR-109</v>
      </c>
      <c r="S1" s="2385"/>
      <c r="T1" s="2385"/>
      <c r="U1" s="2385"/>
      <c r="V1" s="2385"/>
      <c r="W1" s="2385"/>
      <c r="X1" s="2385"/>
      <c r="Y1" s="2385"/>
      <c r="Z1" s="2385"/>
      <c r="AA1" s="2385"/>
      <c r="AB1" s="2385"/>
      <c r="AC1" s="2385"/>
      <c r="AD1" s="2385"/>
      <c r="AE1" s="2385"/>
      <c r="AF1" s="2385"/>
      <c r="AG1" s="2385"/>
      <c r="AH1" s="2385"/>
      <c r="AI1" s="2385"/>
      <c r="AJ1" s="2385"/>
      <c r="AK1" s="2385"/>
      <c r="AL1" s="2385"/>
      <c r="AM1" s="2385"/>
      <c r="AN1" s="2385"/>
      <c r="AO1" s="2385"/>
      <c r="AP1" s="2385"/>
      <c r="AQ1" s="2385"/>
      <c r="AR1" s="2385"/>
      <c r="AS1" s="2385"/>
      <c r="AT1" s="2385"/>
      <c r="AU1" s="2385"/>
      <c r="AV1" s="2385"/>
      <c r="AW1" s="2385"/>
      <c r="AX1" s="2385"/>
      <c r="AY1" s="2385"/>
      <c r="AZ1" s="2385"/>
      <c r="BA1" s="2385"/>
      <c r="BB1" s="2385"/>
      <c r="BC1" s="2385"/>
      <c r="BD1" s="2385"/>
      <c r="BE1" s="2385"/>
      <c r="BF1" s="2385"/>
      <c r="BG1" s="2385"/>
      <c r="BH1" s="2385"/>
      <c r="BI1" s="2385">
        <f>IF(Data!$B$2&lt;&gt;"", Data!$B$2, " ")</f>
        <v>13845937</v>
      </c>
      <c r="BJ1" s="2385"/>
      <c r="BK1" s="2385"/>
      <c r="BL1" s="2385"/>
      <c r="BM1" s="2385"/>
      <c r="BN1" s="2385"/>
      <c r="BO1" s="2385"/>
      <c r="BP1" s="2385"/>
      <c r="BQ1" s="2385"/>
      <c r="BR1" s="2385"/>
      <c r="BS1" s="2385"/>
      <c r="BT1" s="2385"/>
      <c r="BU1" s="2385"/>
      <c r="BV1" s="2385"/>
      <c r="BW1" s="2385"/>
      <c r="BX1" s="2385"/>
      <c r="BY1" s="2385"/>
      <c r="BZ1" s="2385"/>
      <c r="CA1" s="2385"/>
      <c r="CB1" s="2385"/>
      <c r="CC1" s="2385"/>
      <c r="CD1" s="2385"/>
      <c r="CE1" s="2385"/>
      <c r="CF1" s="2385"/>
      <c r="CG1" s="2385"/>
      <c r="CH1" s="2385"/>
      <c r="CI1" s="2385"/>
      <c r="CJ1" s="2385"/>
      <c r="CK1" s="2385"/>
      <c r="CL1" s="2385"/>
      <c r="CM1" s="2385"/>
      <c r="CN1" s="2385"/>
      <c r="CO1" s="2385"/>
      <c r="CP1" s="2385"/>
      <c r="CQ1" s="2385"/>
      <c r="CR1" s="2385"/>
      <c r="CS1" s="2385"/>
      <c r="CT1" s="2385"/>
      <c r="CU1" s="2385"/>
      <c r="CV1" s="2385"/>
      <c r="CW1" s="2385"/>
      <c r="CX1" s="2385"/>
      <c r="CY1" s="2385"/>
      <c r="CZ1" s="2385"/>
      <c r="DA1" s="2385"/>
      <c r="DB1" s="2385"/>
      <c r="DC1" s="2385"/>
      <c r="DD1" s="2385"/>
      <c r="DE1" s="2385"/>
      <c r="DF1" s="2385"/>
      <c r="DG1" s="2385"/>
      <c r="DH1" s="2385"/>
      <c r="DI1" s="2385"/>
      <c r="DJ1" s="2385" t="str">
        <f>IF(Data!$B$4&lt;&gt;"",Data!$B$4," ")</f>
        <v>MM65DH-1</v>
      </c>
      <c r="DK1" s="2385"/>
      <c r="DL1" s="2385"/>
      <c r="DM1" s="2385"/>
      <c r="DN1" s="2385"/>
      <c r="DO1" s="2385"/>
      <c r="DP1" s="2385"/>
      <c r="DQ1" s="2385"/>
      <c r="DR1" s="2385"/>
      <c r="DS1" s="2385"/>
      <c r="DT1" s="2385"/>
      <c r="DU1" s="2385"/>
      <c r="DV1" s="2385"/>
      <c r="DW1" s="2385"/>
      <c r="DX1" s="2385"/>
      <c r="DY1" s="2385"/>
      <c r="DZ1" s="2385"/>
      <c r="EA1" s="2385"/>
      <c r="EB1" s="2385"/>
      <c r="EC1" s="2385"/>
      <c r="ED1" s="2385"/>
      <c r="EE1" s="2385"/>
      <c r="EF1" s="2385"/>
      <c r="EG1" s="2385"/>
      <c r="EH1" s="2385"/>
      <c r="EI1" s="2385"/>
      <c r="EJ1" s="2385"/>
      <c r="EK1" s="2385"/>
      <c r="EL1" s="2385"/>
      <c r="EM1" s="2385"/>
      <c r="EN1" s="2385"/>
      <c r="EO1" s="2385"/>
      <c r="EP1" s="2385" t="str">
        <f>IF(LEN(Data!B3)&gt;3,IF(AND(Data!B43&lt;&gt;"",Data!B43&lt;&gt;"0 0/1"""),Data!B43,""),IF(Data!B3&lt;&gt;"",Data!B3&amp;"""",""))</f>
        <v>8 3/8"</v>
      </c>
      <c r="EQ1" s="2385"/>
      <c r="ER1" s="2385"/>
      <c r="ES1" s="2385"/>
      <c r="ET1" s="2385"/>
      <c r="EU1" s="2385"/>
      <c r="EV1" s="2385"/>
      <c r="EW1" s="2385"/>
      <c r="EX1" s="2385"/>
      <c r="EY1" s="2385"/>
      <c r="EZ1" s="2385"/>
      <c r="FA1" s="2385"/>
      <c r="FB1" s="2385"/>
      <c r="FC1" s="2385"/>
      <c r="FD1" s="2385"/>
      <c r="FE1" s="2385"/>
      <c r="FF1" s="2385"/>
      <c r="FG1" s="2385"/>
      <c r="FH1" s="2385"/>
      <c r="FI1" s="2385"/>
      <c r="FJ1" s="2385"/>
      <c r="FK1" s="2385"/>
      <c r="FL1" s="2385"/>
      <c r="FM1" s="2385"/>
      <c r="FN1" s="2385"/>
      <c r="FO1" s="2385"/>
      <c r="FP1" s="2385"/>
      <c r="FQ1" s="2385"/>
      <c r="FR1" s="2385"/>
      <c r="FS1" s="2385"/>
      <c r="FT1" s="2385"/>
      <c r="FU1" s="2385"/>
      <c r="FV1" s="1248"/>
      <c r="FW1" s="1248"/>
      <c r="FX1" s="1248"/>
      <c r="FY1" s="1248"/>
      <c r="FZ1" s="1248"/>
      <c r="GA1" s="1248"/>
      <c r="GB1" s="1248"/>
      <c r="GC1" s="1248"/>
      <c r="GD1" s="1248"/>
      <c r="GE1" s="1248"/>
      <c r="GF1" s="1248"/>
      <c r="GG1" s="1248"/>
    </row>
    <row r="2" spans="1:200" ht="31.5" customHeight="1" x14ac:dyDescent="0.35">
      <c r="B2" s="2387">
        <f>IF(Data!$BR$44&lt;&gt;"",Data!$BR$44, "")</f>
        <v>1</v>
      </c>
      <c r="C2" s="2387"/>
      <c r="D2" s="2387"/>
      <c r="E2" s="2387"/>
      <c r="F2" s="2387"/>
      <c r="G2" s="2387"/>
      <c r="H2" s="2387"/>
      <c r="I2" s="2387"/>
      <c r="J2" s="2387"/>
      <c r="K2" s="2387"/>
      <c r="L2" s="2387"/>
      <c r="M2" s="2387"/>
      <c r="N2" s="2387"/>
      <c r="O2" s="2387"/>
      <c r="P2" s="2387"/>
      <c r="Q2" s="2387"/>
      <c r="R2" s="2387">
        <f>IF(Data!$BS$44&lt;&gt;"",Data!$BS$44, "")</f>
        <v>2</v>
      </c>
      <c r="S2" s="2387"/>
      <c r="T2" s="2387"/>
      <c r="U2" s="2387"/>
      <c r="V2" s="2387"/>
      <c r="W2" s="2387"/>
      <c r="X2" s="2387"/>
      <c r="Y2" s="2387"/>
      <c r="Z2" s="2387"/>
      <c r="AA2" s="2387"/>
      <c r="AB2" s="2387"/>
      <c r="AC2" s="2387"/>
      <c r="AD2" s="2387"/>
      <c r="AE2" s="2387"/>
      <c r="AF2" s="2387"/>
      <c r="AG2" s="2387"/>
      <c r="AH2" s="2387">
        <f>IF(Data!$BT$44&lt;&gt;"", Data!$BT$44, "")</f>
        <v>3</v>
      </c>
      <c r="AI2" s="2387"/>
      <c r="AJ2" s="2387"/>
      <c r="AK2" s="2387"/>
      <c r="AL2" s="2387"/>
      <c r="AM2" s="2387"/>
      <c r="AN2" s="2387"/>
      <c r="AO2" s="2387"/>
      <c r="AP2" s="2387"/>
      <c r="AQ2" s="2387"/>
      <c r="AR2" s="2387"/>
      <c r="AS2" s="2387"/>
      <c r="AT2" s="2387"/>
      <c r="AU2" s="2387"/>
      <c r="AV2" s="2387"/>
      <c r="AW2" s="2387"/>
      <c r="AX2" s="2387">
        <f>IF(Data!$BU$44&lt;&gt;"", Data!$BU$44, "")</f>
        <v>4</v>
      </c>
      <c r="AY2" s="2387"/>
      <c r="AZ2" s="2387"/>
      <c r="BA2" s="2387"/>
      <c r="BB2" s="2387"/>
      <c r="BC2" s="2387"/>
      <c r="BD2" s="2387"/>
      <c r="BE2" s="2387"/>
      <c r="BF2" s="2387"/>
      <c r="BG2" s="2387"/>
      <c r="BH2" s="2387"/>
      <c r="BI2" s="2387"/>
      <c r="BJ2" s="2387"/>
      <c r="BK2" s="2387"/>
      <c r="BL2" s="2387"/>
      <c r="BM2" s="2387"/>
      <c r="BN2" s="2387">
        <f>IF(Data!$BV$44&lt;&gt;"",Data!$BV$44, "")</f>
        <v>5</v>
      </c>
      <c r="BO2" s="2387"/>
      <c r="BP2" s="2387"/>
      <c r="BQ2" s="2387"/>
      <c r="BR2" s="2387"/>
      <c r="BS2" s="2387"/>
      <c r="BT2" s="2387"/>
      <c r="BU2" s="2387"/>
      <c r="BV2" s="2387"/>
      <c r="BW2" s="2387"/>
      <c r="BX2" s="2387"/>
      <c r="BY2" s="2387"/>
      <c r="BZ2" s="2387"/>
      <c r="CA2" s="2387"/>
      <c r="CB2" s="2387"/>
      <c r="CC2" s="2387"/>
      <c r="CD2" s="2387">
        <f>IF(Data!$BW$44&lt;&gt;"",Data!$BW$44, "")</f>
        <v>6</v>
      </c>
      <c r="CE2" s="2387"/>
      <c r="CF2" s="2387"/>
      <c r="CG2" s="2387"/>
      <c r="CH2" s="2387"/>
      <c r="CI2" s="2387"/>
      <c r="CJ2" s="2387"/>
      <c r="CK2" s="2387"/>
      <c r="CL2" s="2387"/>
      <c r="CM2" s="2387"/>
      <c r="CN2" s="2387"/>
      <c r="CO2" s="2387"/>
      <c r="CP2" s="2387"/>
      <c r="CQ2" s="2387"/>
      <c r="CR2" s="2387"/>
      <c r="CS2" s="2387"/>
      <c r="CT2" s="2387">
        <f>IF(Data!$BX$44&lt;&gt;"", Data!$BX$44, "")</f>
        <v>7</v>
      </c>
      <c r="CU2" s="2387"/>
      <c r="CV2" s="2387"/>
      <c r="CW2" s="2387"/>
      <c r="CX2" s="2387"/>
      <c r="CY2" s="2387"/>
      <c r="CZ2" s="2387"/>
      <c r="DA2" s="2387"/>
      <c r="DB2" s="2387"/>
      <c r="DC2" s="2387"/>
      <c r="DD2" s="2387"/>
      <c r="DE2" s="2387"/>
      <c r="DF2" s="2387"/>
      <c r="DG2" s="2387"/>
      <c r="DH2" s="2387"/>
      <c r="DI2" s="2387"/>
      <c r="DJ2" s="2387">
        <f>IF(Data!$BY$44&lt;&gt;"", Data!$BY$44, "")</f>
        <v>8</v>
      </c>
      <c r="DK2" s="2387"/>
      <c r="DL2" s="2387"/>
      <c r="DM2" s="2387"/>
      <c r="DN2" s="2387"/>
      <c r="DO2" s="2387"/>
      <c r="DP2" s="2387"/>
      <c r="DQ2" s="2387"/>
      <c r="DR2" s="2387"/>
      <c r="DS2" s="2387"/>
      <c r="DT2" s="2387"/>
      <c r="DU2" s="2387"/>
      <c r="DV2" s="2387"/>
      <c r="DW2" s="2387"/>
      <c r="DX2" s="2387"/>
      <c r="DY2" s="2387"/>
      <c r="DZ2" s="2387">
        <f>IF(Data!$BZ$44&lt;&gt;"", Data!$BZ$44, "")</f>
        <v>0</v>
      </c>
      <c r="EA2" s="2387"/>
      <c r="EB2" s="2387"/>
      <c r="EC2" s="2387"/>
      <c r="ED2" s="2387"/>
      <c r="EE2" s="2387"/>
      <c r="EF2" s="2387"/>
      <c r="EG2" s="2387"/>
      <c r="EH2" s="2387"/>
      <c r="EI2" s="2387"/>
      <c r="EJ2" s="2387"/>
      <c r="EK2" s="2387"/>
      <c r="EL2" s="2387"/>
      <c r="EM2" s="2387"/>
      <c r="EN2" s="2387"/>
      <c r="EO2" s="2387"/>
      <c r="EP2" s="2387">
        <f>IF(Data!$CA$44&lt;&gt;"", Data!$CA$44, "")</f>
        <v>9</v>
      </c>
      <c r="EQ2" s="2387"/>
      <c r="ER2" s="2387"/>
      <c r="ES2" s="2387"/>
      <c r="ET2" s="2387"/>
      <c r="EU2" s="2387"/>
      <c r="EV2" s="2387"/>
      <c r="EW2" s="2387"/>
      <c r="EX2" s="2387"/>
      <c r="EY2" s="2387"/>
      <c r="EZ2" s="2387"/>
      <c r="FA2" s="2387"/>
      <c r="FB2" s="2387"/>
      <c r="FC2" s="2387"/>
      <c r="FD2" s="2387"/>
      <c r="FE2" s="2387"/>
      <c r="FF2" s="2387">
        <f>IF(Data!$CB$44&lt;&gt;"", Data!$CB$44, "")</f>
        <v>10</v>
      </c>
      <c r="FG2" s="2387"/>
      <c r="FH2" s="2387"/>
      <c r="FI2" s="2387"/>
      <c r="FJ2" s="2387"/>
      <c r="FK2" s="2387"/>
      <c r="FL2" s="2387"/>
      <c r="FM2" s="2387"/>
      <c r="FN2" s="2387"/>
      <c r="FO2" s="2387"/>
      <c r="FP2" s="2387"/>
      <c r="FQ2" s="2387"/>
      <c r="FR2" s="2387"/>
      <c r="FS2" s="2387"/>
      <c r="FT2" s="2387"/>
      <c r="FU2" s="2387"/>
      <c r="FV2" s="1248"/>
      <c r="FW2" s="1248"/>
      <c r="FX2" s="1248"/>
      <c r="FY2" s="1248"/>
      <c r="FZ2" s="1248"/>
      <c r="GA2" s="1248"/>
      <c r="GB2" s="1248"/>
      <c r="GC2" s="1248"/>
      <c r="GD2" s="1248"/>
      <c r="GE2" s="1248"/>
      <c r="GF2" s="1248"/>
      <c r="GG2" s="1248"/>
      <c r="GH2" s="139"/>
    </row>
    <row r="3" spans="1:200" ht="44.25" customHeight="1" x14ac:dyDescent="0.35">
      <c r="A3" s="338">
        <v>1</v>
      </c>
      <c r="B3" s="2386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S</v>
      </c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S</v>
      </c>
      <c r="S3" s="2386"/>
      <c r="T3" s="2386"/>
      <c r="U3" s="2386"/>
      <c r="V3" s="2386"/>
      <c r="W3" s="2386"/>
      <c r="X3" s="2386"/>
      <c r="Y3" s="2386"/>
      <c r="Z3" s="2386"/>
      <c r="AA3" s="2386"/>
      <c r="AB3" s="2386"/>
      <c r="AC3" s="2386"/>
      <c r="AD3" s="2386"/>
      <c r="AE3" s="2386"/>
      <c r="AF3" s="2386"/>
      <c r="AG3" s="2386"/>
      <c r="AH3" s="2386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S</v>
      </c>
      <c r="AI3" s="2386"/>
      <c r="AJ3" s="2386"/>
      <c r="AK3" s="2386"/>
      <c r="AL3" s="2386"/>
      <c r="AM3" s="2386"/>
      <c r="AN3" s="2386"/>
      <c r="AO3" s="2386"/>
      <c r="AP3" s="2386"/>
      <c r="AQ3" s="2386"/>
      <c r="AR3" s="2386"/>
      <c r="AS3" s="2386"/>
      <c r="AT3" s="2386"/>
      <c r="AU3" s="2386"/>
      <c r="AV3" s="2386"/>
      <c r="AW3" s="2386"/>
      <c r="AX3" s="2386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S</v>
      </c>
      <c r="AY3" s="2386"/>
      <c r="AZ3" s="2386"/>
      <c r="BA3" s="2386"/>
      <c r="BB3" s="2386"/>
      <c r="BC3" s="2386"/>
      <c r="BD3" s="2386"/>
      <c r="BE3" s="2386"/>
      <c r="BF3" s="2386"/>
      <c r="BG3" s="2386"/>
      <c r="BH3" s="2386"/>
      <c r="BI3" s="2386"/>
      <c r="BJ3" s="2386"/>
      <c r="BK3" s="2386"/>
      <c r="BL3" s="2386"/>
      <c r="BM3" s="2386"/>
      <c r="BN3" s="2386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S</v>
      </c>
      <c r="BO3" s="2386"/>
      <c r="BP3" s="2386"/>
      <c r="BQ3" s="2386"/>
      <c r="BR3" s="2386"/>
      <c r="BS3" s="2386"/>
      <c r="BT3" s="2386"/>
      <c r="BU3" s="2386"/>
      <c r="BV3" s="2386"/>
      <c r="BW3" s="2386"/>
      <c r="BX3" s="2386"/>
      <c r="BY3" s="2386"/>
      <c r="BZ3" s="2386"/>
      <c r="CA3" s="2386"/>
      <c r="CB3" s="2386"/>
      <c r="CC3" s="2386"/>
      <c r="CD3" s="2386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X1</v>
      </c>
      <c r="CE3" s="2386"/>
      <c r="CF3" s="2386"/>
      <c r="CG3" s="2386"/>
      <c r="CH3" s="2386"/>
      <c r="CI3" s="2386"/>
      <c r="CJ3" s="2386"/>
      <c r="CK3" s="2386"/>
      <c r="CL3" s="2386"/>
      <c r="CM3" s="2386"/>
      <c r="CN3" s="2386"/>
      <c r="CO3" s="2386"/>
      <c r="CP3" s="2386"/>
      <c r="CQ3" s="2386"/>
      <c r="CR3" s="2386"/>
      <c r="CS3" s="2386"/>
      <c r="CT3" s="2386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CU3" s="2386"/>
      <c r="CV3" s="2386"/>
      <c r="CW3" s="2386"/>
      <c r="CX3" s="2386"/>
      <c r="CY3" s="2386"/>
      <c r="CZ3" s="2386"/>
      <c r="DA3" s="2386"/>
      <c r="DB3" s="2386"/>
      <c r="DC3" s="2386"/>
      <c r="DD3" s="2386"/>
      <c r="DE3" s="2386"/>
      <c r="DF3" s="2386"/>
      <c r="DG3" s="2386"/>
      <c r="DH3" s="2386"/>
      <c r="DI3" s="2386"/>
      <c r="DJ3" s="2386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DK3" s="2386"/>
      <c r="DL3" s="2386"/>
      <c r="DM3" s="2386"/>
      <c r="DN3" s="2386"/>
      <c r="DO3" s="2386"/>
      <c r="DP3" s="2386"/>
      <c r="DQ3" s="2386"/>
      <c r="DR3" s="2386"/>
      <c r="DS3" s="2386"/>
      <c r="DT3" s="2386"/>
      <c r="DU3" s="2386"/>
      <c r="DV3" s="2386"/>
      <c r="DW3" s="2386"/>
      <c r="DX3" s="2386"/>
      <c r="DY3" s="2386"/>
      <c r="DZ3" s="2386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EA3" s="2386"/>
      <c r="EB3" s="2386"/>
      <c r="EC3" s="2386"/>
      <c r="ED3" s="2386"/>
      <c r="EE3" s="2386"/>
      <c r="EF3" s="2386"/>
      <c r="EG3" s="2386"/>
      <c r="EH3" s="2386"/>
      <c r="EI3" s="2386"/>
      <c r="EJ3" s="2386"/>
      <c r="EK3" s="2386"/>
      <c r="EL3" s="2386"/>
      <c r="EM3" s="2386"/>
      <c r="EN3" s="2386"/>
      <c r="EO3" s="2386"/>
      <c r="EP3" s="2386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EQ3" s="2386"/>
      <c r="ER3" s="2386"/>
      <c r="ES3" s="2386"/>
      <c r="ET3" s="2386"/>
      <c r="EU3" s="2386"/>
      <c r="EV3" s="2386"/>
      <c r="EW3" s="2386"/>
      <c r="EX3" s="2386"/>
      <c r="EY3" s="2386"/>
      <c r="EZ3" s="2386"/>
      <c r="FA3" s="2386"/>
      <c r="FB3" s="2386"/>
      <c r="FC3" s="2386"/>
      <c r="FD3" s="2386"/>
      <c r="FE3" s="2386"/>
      <c r="FF3" s="2386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S</v>
      </c>
      <c r="FG3" s="2386"/>
      <c r="FH3" s="2386"/>
      <c r="FI3" s="2386"/>
      <c r="FJ3" s="2386"/>
      <c r="FK3" s="2386"/>
      <c r="FL3" s="2386"/>
      <c r="FM3" s="2386"/>
      <c r="FN3" s="2386"/>
      <c r="FO3" s="2386"/>
      <c r="FP3" s="2386"/>
      <c r="FQ3" s="2386"/>
      <c r="FR3" s="2386"/>
      <c r="FS3" s="2386"/>
      <c r="FT3" s="2386"/>
      <c r="FU3" s="2386"/>
      <c r="FV3" s="1248"/>
      <c r="FW3" s="1248"/>
      <c r="FX3" s="1248"/>
      <c r="FY3" s="1248"/>
      <c r="FZ3" s="1248"/>
      <c r="GA3" s="1248"/>
      <c r="GB3" s="1248"/>
      <c r="GC3" s="1248"/>
      <c r="GD3" s="1248"/>
      <c r="GE3" s="1248"/>
      <c r="GF3" s="1248"/>
      <c r="GG3" s="1248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35">
      <c r="A4" s="338">
        <v>2</v>
      </c>
      <c r="B4" s="2386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S</v>
      </c>
      <c r="C4" s="2386"/>
      <c r="D4" s="2386"/>
      <c r="E4" s="2386"/>
      <c r="F4" s="2386"/>
      <c r="G4" s="2386"/>
      <c r="H4" s="2386"/>
      <c r="I4" s="2386"/>
      <c r="J4" s="2386"/>
      <c r="K4" s="2386"/>
      <c r="L4" s="2386"/>
      <c r="M4" s="2386"/>
      <c r="N4" s="2386"/>
      <c r="O4" s="2386"/>
      <c r="P4" s="2386"/>
      <c r="Q4" s="2386"/>
      <c r="R4" s="2386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S</v>
      </c>
      <c r="S4" s="2386"/>
      <c r="T4" s="2386"/>
      <c r="U4" s="2386"/>
      <c r="V4" s="2386"/>
      <c r="W4" s="2386"/>
      <c r="X4" s="2386"/>
      <c r="Y4" s="2386"/>
      <c r="Z4" s="2386"/>
      <c r="AA4" s="2386"/>
      <c r="AB4" s="2386"/>
      <c r="AC4" s="2386"/>
      <c r="AD4" s="2386"/>
      <c r="AE4" s="2386"/>
      <c r="AF4" s="2386"/>
      <c r="AG4" s="2386"/>
      <c r="AH4" s="2386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X1</v>
      </c>
      <c r="AI4" s="2386"/>
      <c r="AJ4" s="2386"/>
      <c r="AK4" s="2386"/>
      <c r="AL4" s="2386"/>
      <c r="AM4" s="2386"/>
      <c r="AN4" s="2386"/>
      <c r="AO4" s="2386"/>
      <c r="AP4" s="2386"/>
      <c r="AQ4" s="2386"/>
      <c r="AR4" s="2386"/>
      <c r="AS4" s="2386"/>
      <c r="AT4" s="2386"/>
      <c r="AU4" s="2386"/>
      <c r="AV4" s="2386"/>
      <c r="AW4" s="2386"/>
      <c r="AX4" s="2386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Y4" s="2386"/>
      <c r="AZ4" s="2386"/>
      <c r="BA4" s="2386"/>
      <c r="BB4" s="2386"/>
      <c r="BC4" s="2386"/>
      <c r="BD4" s="2386"/>
      <c r="BE4" s="2386"/>
      <c r="BF4" s="2386"/>
      <c r="BG4" s="2386"/>
      <c r="BH4" s="2386"/>
      <c r="BI4" s="2386"/>
      <c r="BJ4" s="2386"/>
      <c r="BK4" s="2386"/>
      <c r="BL4" s="2386"/>
      <c r="BM4" s="2386"/>
      <c r="BN4" s="2386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BO4" s="2386"/>
      <c r="BP4" s="2386"/>
      <c r="BQ4" s="2386"/>
      <c r="BR4" s="2386"/>
      <c r="BS4" s="2386"/>
      <c r="BT4" s="2386"/>
      <c r="BU4" s="2386"/>
      <c r="BV4" s="2386"/>
      <c r="BW4" s="2386"/>
      <c r="BX4" s="2386"/>
      <c r="BY4" s="2386"/>
      <c r="BZ4" s="2386"/>
      <c r="CA4" s="2386"/>
      <c r="CB4" s="2386"/>
      <c r="CC4" s="2386"/>
      <c r="CD4" s="2386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CE4" s="2386"/>
      <c r="CF4" s="2386"/>
      <c r="CG4" s="2386"/>
      <c r="CH4" s="2386"/>
      <c r="CI4" s="2386"/>
      <c r="CJ4" s="2386"/>
      <c r="CK4" s="2386"/>
      <c r="CL4" s="2386"/>
      <c r="CM4" s="2386"/>
      <c r="CN4" s="2386"/>
      <c r="CO4" s="2386"/>
      <c r="CP4" s="2386"/>
      <c r="CQ4" s="2386"/>
      <c r="CR4" s="2386"/>
      <c r="CS4" s="2386"/>
      <c r="CT4" s="2386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CU4" s="2386"/>
      <c r="CV4" s="2386"/>
      <c r="CW4" s="2386"/>
      <c r="CX4" s="2386"/>
      <c r="CY4" s="2386"/>
      <c r="CZ4" s="2386"/>
      <c r="DA4" s="2386"/>
      <c r="DB4" s="2386"/>
      <c r="DC4" s="2386"/>
      <c r="DD4" s="2386"/>
      <c r="DE4" s="2386"/>
      <c r="DF4" s="2386"/>
      <c r="DG4" s="2386"/>
      <c r="DH4" s="2386"/>
      <c r="DI4" s="2386"/>
      <c r="DJ4" s="2386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DK4" s="2386"/>
      <c r="DL4" s="2386"/>
      <c r="DM4" s="2386"/>
      <c r="DN4" s="2386"/>
      <c r="DO4" s="2386"/>
      <c r="DP4" s="2386"/>
      <c r="DQ4" s="2386"/>
      <c r="DR4" s="2386"/>
      <c r="DS4" s="2386"/>
      <c r="DT4" s="2386"/>
      <c r="DU4" s="2386"/>
      <c r="DV4" s="2386"/>
      <c r="DW4" s="2386"/>
      <c r="DX4" s="2386"/>
      <c r="DY4" s="2386"/>
      <c r="DZ4" s="2386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EA4" s="2386"/>
      <c r="EB4" s="2386"/>
      <c r="EC4" s="2386"/>
      <c r="ED4" s="2386"/>
      <c r="EE4" s="2386"/>
      <c r="EF4" s="2386"/>
      <c r="EG4" s="2386"/>
      <c r="EH4" s="2386"/>
      <c r="EI4" s="2386"/>
      <c r="EJ4" s="2386"/>
      <c r="EK4" s="2386"/>
      <c r="EL4" s="2386"/>
      <c r="EM4" s="2386"/>
      <c r="EN4" s="2386"/>
      <c r="EO4" s="2386"/>
      <c r="EP4" s="2386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S</v>
      </c>
      <c r="EQ4" s="2386"/>
      <c r="ER4" s="2386"/>
      <c r="ES4" s="2386"/>
      <c r="ET4" s="2386"/>
      <c r="EU4" s="2386"/>
      <c r="EV4" s="2386"/>
      <c r="EW4" s="2386"/>
      <c r="EX4" s="2386"/>
      <c r="EY4" s="2386"/>
      <c r="EZ4" s="2386"/>
      <c r="FA4" s="2386"/>
      <c r="FB4" s="2386"/>
      <c r="FC4" s="2386"/>
      <c r="FD4" s="2386"/>
      <c r="FE4" s="2386"/>
      <c r="FF4" s="2386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S</v>
      </c>
      <c r="FG4" s="2386"/>
      <c r="FH4" s="2386"/>
      <c r="FI4" s="2386"/>
      <c r="FJ4" s="2386"/>
      <c r="FK4" s="2386"/>
      <c r="FL4" s="2386"/>
      <c r="FM4" s="2386"/>
      <c r="FN4" s="2386"/>
      <c r="FO4" s="2386"/>
      <c r="FP4" s="2386"/>
      <c r="FQ4" s="2386"/>
      <c r="FR4" s="2386"/>
      <c r="FS4" s="2386"/>
      <c r="FT4" s="2386"/>
      <c r="FU4" s="2386"/>
      <c r="FV4" s="1248"/>
      <c r="FW4" s="1248"/>
      <c r="FX4" s="1248"/>
      <c r="FY4" s="1248"/>
      <c r="FZ4" s="1248"/>
      <c r="GA4" s="1248"/>
      <c r="GB4" s="1248"/>
      <c r="GC4" s="1248"/>
      <c r="GD4" s="1248"/>
      <c r="GE4" s="1248"/>
      <c r="GF4" s="1248"/>
      <c r="GG4" s="1248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35">
      <c r="A5" s="338">
        <v>3</v>
      </c>
      <c r="B5" s="2386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S</v>
      </c>
      <c r="C5" s="2386"/>
      <c r="D5" s="2386"/>
      <c r="E5" s="2386"/>
      <c r="F5" s="2386"/>
      <c r="G5" s="2386"/>
      <c r="H5" s="2386"/>
      <c r="I5" s="2386"/>
      <c r="J5" s="2386"/>
      <c r="K5" s="2386"/>
      <c r="L5" s="2386"/>
      <c r="M5" s="2386"/>
      <c r="N5" s="2386"/>
      <c r="O5" s="2386"/>
      <c r="P5" s="2386"/>
      <c r="Q5" s="2386"/>
      <c r="R5" s="2386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S</v>
      </c>
      <c r="S5" s="2386"/>
      <c r="T5" s="2386"/>
      <c r="U5" s="2386"/>
      <c r="V5" s="2386"/>
      <c r="W5" s="2386"/>
      <c r="X5" s="2386"/>
      <c r="Y5" s="2386"/>
      <c r="Z5" s="2386"/>
      <c r="AA5" s="2386"/>
      <c r="AB5" s="2386"/>
      <c r="AC5" s="2386"/>
      <c r="AD5" s="2386"/>
      <c r="AE5" s="2386"/>
      <c r="AF5" s="2386"/>
      <c r="AG5" s="2386"/>
      <c r="AH5" s="2386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S</v>
      </c>
      <c r="AI5" s="2386"/>
      <c r="AJ5" s="2386"/>
      <c r="AK5" s="2386"/>
      <c r="AL5" s="2386"/>
      <c r="AM5" s="2386"/>
      <c r="AN5" s="2386"/>
      <c r="AO5" s="2386"/>
      <c r="AP5" s="2386"/>
      <c r="AQ5" s="2386"/>
      <c r="AR5" s="2386"/>
      <c r="AS5" s="2386"/>
      <c r="AT5" s="2386"/>
      <c r="AU5" s="2386"/>
      <c r="AV5" s="2386"/>
      <c r="AW5" s="2386"/>
      <c r="AX5" s="2386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S</v>
      </c>
      <c r="AY5" s="2386"/>
      <c r="AZ5" s="2386"/>
      <c r="BA5" s="2386"/>
      <c r="BB5" s="2386"/>
      <c r="BC5" s="2386"/>
      <c r="BD5" s="2386"/>
      <c r="BE5" s="2386"/>
      <c r="BF5" s="2386"/>
      <c r="BG5" s="2386"/>
      <c r="BH5" s="2386"/>
      <c r="BI5" s="2386"/>
      <c r="BJ5" s="2386"/>
      <c r="BK5" s="2386"/>
      <c r="BL5" s="2386"/>
      <c r="BM5" s="2386"/>
      <c r="BN5" s="2386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X1</v>
      </c>
      <c r="BO5" s="2386"/>
      <c r="BP5" s="2386"/>
      <c r="BQ5" s="2386"/>
      <c r="BR5" s="2386"/>
      <c r="BS5" s="2386"/>
      <c r="BT5" s="2386"/>
      <c r="BU5" s="2386"/>
      <c r="BV5" s="2386"/>
      <c r="BW5" s="2386"/>
      <c r="BX5" s="2386"/>
      <c r="BY5" s="2386"/>
      <c r="BZ5" s="2386"/>
      <c r="CA5" s="2386"/>
      <c r="CB5" s="2386"/>
      <c r="CC5" s="2386"/>
      <c r="CD5" s="2386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CE5" s="2386"/>
      <c r="CF5" s="2386"/>
      <c r="CG5" s="2386"/>
      <c r="CH5" s="2386"/>
      <c r="CI5" s="2386"/>
      <c r="CJ5" s="2386"/>
      <c r="CK5" s="2386"/>
      <c r="CL5" s="2386"/>
      <c r="CM5" s="2386"/>
      <c r="CN5" s="2386"/>
      <c r="CO5" s="2386"/>
      <c r="CP5" s="2386"/>
      <c r="CQ5" s="2386"/>
      <c r="CR5" s="2386"/>
      <c r="CS5" s="2386"/>
      <c r="CT5" s="2386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CU5" s="2386"/>
      <c r="CV5" s="2386"/>
      <c r="CW5" s="2386"/>
      <c r="CX5" s="2386"/>
      <c r="CY5" s="2386"/>
      <c r="CZ5" s="2386"/>
      <c r="DA5" s="2386"/>
      <c r="DB5" s="2386"/>
      <c r="DC5" s="2386"/>
      <c r="DD5" s="2386"/>
      <c r="DE5" s="2386"/>
      <c r="DF5" s="2386"/>
      <c r="DG5" s="2386"/>
      <c r="DH5" s="2386"/>
      <c r="DI5" s="2386"/>
      <c r="DJ5" s="2386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DK5" s="2386"/>
      <c r="DL5" s="2386"/>
      <c r="DM5" s="2386"/>
      <c r="DN5" s="2386"/>
      <c r="DO5" s="2386"/>
      <c r="DP5" s="2386"/>
      <c r="DQ5" s="2386"/>
      <c r="DR5" s="2386"/>
      <c r="DS5" s="2386"/>
      <c r="DT5" s="2386"/>
      <c r="DU5" s="2386"/>
      <c r="DV5" s="2386"/>
      <c r="DW5" s="2386"/>
      <c r="DX5" s="2386"/>
      <c r="DY5" s="2386"/>
      <c r="DZ5" s="2386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EA5" s="2386"/>
      <c r="EB5" s="2386"/>
      <c r="EC5" s="2386"/>
      <c r="ED5" s="2386"/>
      <c r="EE5" s="2386"/>
      <c r="EF5" s="2386"/>
      <c r="EG5" s="2386"/>
      <c r="EH5" s="2386"/>
      <c r="EI5" s="2386"/>
      <c r="EJ5" s="2386"/>
      <c r="EK5" s="2386"/>
      <c r="EL5" s="2386"/>
      <c r="EM5" s="2386"/>
      <c r="EN5" s="2386"/>
      <c r="EO5" s="2386"/>
      <c r="EP5" s="2386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S</v>
      </c>
      <c r="EQ5" s="2386"/>
      <c r="ER5" s="2386"/>
      <c r="ES5" s="2386"/>
      <c r="ET5" s="2386"/>
      <c r="EU5" s="2386"/>
      <c r="EV5" s="2386"/>
      <c r="EW5" s="2386"/>
      <c r="EX5" s="2386"/>
      <c r="EY5" s="2386"/>
      <c r="EZ5" s="2386"/>
      <c r="FA5" s="2386"/>
      <c r="FB5" s="2386"/>
      <c r="FC5" s="2386"/>
      <c r="FD5" s="2386"/>
      <c r="FE5" s="2386"/>
      <c r="FF5" s="2386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S</v>
      </c>
      <c r="FG5" s="2386"/>
      <c r="FH5" s="2386"/>
      <c r="FI5" s="2386"/>
      <c r="FJ5" s="2386"/>
      <c r="FK5" s="2386"/>
      <c r="FL5" s="2386"/>
      <c r="FM5" s="2386"/>
      <c r="FN5" s="2386"/>
      <c r="FO5" s="2386"/>
      <c r="FP5" s="2386"/>
      <c r="FQ5" s="2386"/>
      <c r="FR5" s="2386"/>
      <c r="FS5" s="2386"/>
      <c r="FT5" s="2386"/>
      <c r="FU5" s="2386"/>
      <c r="FV5" s="1248"/>
      <c r="FW5" s="1248"/>
      <c r="FX5" s="1248"/>
      <c r="FY5" s="1248"/>
      <c r="FZ5" s="1248"/>
      <c r="GA5" s="1248"/>
      <c r="GB5" s="1248"/>
      <c r="GC5" s="1248"/>
      <c r="GD5" s="1248"/>
      <c r="GE5" s="1248"/>
      <c r="GF5" s="1248"/>
      <c r="GG5" s="1248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35">
      <c r="A6" s="338">
        <v>4</v>
      </c>
      <c r="B6" s="2386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S</v>
      </c>
      <c r="C6" s="2386"/>
      <c r="D6" s="2386"/>
      <c r="E6" s="2386"/>
      <c r="F6" s="2386"/>
      <c r="G6" s="2386"/>
      <c r="H6" s="2386"/>
      <c r="I6" s="2386"/>
      <c r="J6" s="2386"/>
      <c r="K6" s="2386"/>
      <c r="L6" s="2386"/>
      <c r="M6" s="2386"/>
      <c r="N6" s="2386"/>
      <c r="O6" s="2386"/>
      <c r="P6" s="2386"/>
      <c r="Q6" s="2386"/>
      <c r="R6" s="2386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S</v>
      </c>
      <c r="S6" s="2386"/>
      <c r="T6" s="2386"/>
      <c r="U6" s="2386"/>
      <c r="V6" s="2386"/>
      <c r="W6" s="2386"/>
      <c r="X6" s="2386"/>
      <c r="Y6" s="2386"/>
      <c r="Z6" s="2386"/>
      <c r="AA6" s="2386"/>
      <c r="AB6" s="2386"/>
      <c r="AC6" s="2386"/>
      <c r="AD6" s="2386"/>
      <c r="AE6" s="2386"/>
      <c r="AF6" s="2386"/>
      <c r="AG6" s="2386"/>
      <c r="AH6" s="2386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X1</v>
      </c>
      <c r="AI6" s="2386"/>
      <c r="AJ6" s="2386"/>
      <c r="AK6" s="2386"/>
      <c r="AL6" s="2386"/>
      <c r="AM6" s="2386"/>
      <c r="AN6" s="2386"/>
      <c r="AO6" s="2386"/>
      <c r="AP6" s="2386"/>
      <c r="AQ6" s="2386"/>
      <c r="AR6" s="2386"/>
      <c r="AS6" s="2386"/>
      <c r="AT6" s="2386"/>
      <c r="AU6" s="2386"/>
      <c r="AV6" s="2386"/>
      <c r="AW6" s="2386"/>
      <c r="AX6" s="2386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AY6" s="2386"/>
      <c r="AZ6" s="2386"/>
      <c r="BA6" s="2386"/>
      <c r="BB6" s="2386"/>
      <c r="BC6" s="2386"/>
      <c r="BD6" s="2386"/>
      <c r="BE6" s="2386"/>
      <c r="BF6" s="2386"/>
      <c r="BG6" s="2386"/>
      <c r="BH6" s="2386"/>
      <c r="BI6" s="2386"/>
      <c r="BJ6" s="2386"/>
      <c r="BK6" s="2386"/>
      <c r="BL6" s="2386"/>
      <c r="BM6" s="2386"/>
      <c r="BN6" s="2386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X1</v>
      </c>
      <c r="BO6" s="2386"/>
      <c r="BP6" s="2386"/>
      <c r="BQ6" s="2386"/>
      <c r="BR6" s="2386"/>
      <c r="BS6" s="2386"/>
      <c r="BT6" s="2386"/>
      <c r="BU6" s="2386"/>
      <c r="BV6" s="2386"/>
      <c r="BW6" s="2386"/>
      <c r="BX6" s="2386"/>
      <c r="BY6" s="2386"/>
      <c r="BZ6" s="2386"/>
      <c r="CA6" s="2386"/>
      <c r="CB6" s="2386"/>
      <c r="CC6" s="2386"/>
      <c r="CD6" s="2386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CE6" s="2386"/>
      <c r="CF6" s="2386"/>
      <c r="CG6" s="2386"/>
      <c r="CH6" s="2386"/>
      <c r="CI6" s="2386"/>
      <c r="CJ6" s="2386"/>
      <c r="CK6" s="2386"/>
      <c r="CL6" s="2386"/>
      <c r="CM6" s="2386"/>
      <c r="CN6" s="2386"/>
      <c r="CO6" s="2386"/>
      <c r="CP6" s="2386"/>
      <c r="CQ6" s="2386"/>
      <c r="CR6" s="2386"/>
      <c r="CS6" s="2386"/>
      <c r="CT6" s="2386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CU6" s="2386"/>
      <c r="CV6" s="2386"/>
      <c r="CW6" s="2386"/>
      <c r="CX6" s="2386"/>
      <c r="CY6" s="2386"/>
      <c r="CZ6" s="2386"/>
      <c r="DA6" s="2386"/>
      <c r="DB6" s="2386"/>
      <c r="DC6" s="2386"/>
      <c r="DD6" s="2386"/>
      <c r="DE6" s="2386"/>
      <c r="DF6" s="2386"/>
      <c r="DG6" s="2386"/>
      <c r="DH6" s="2386"/>
      <c r="DI6" s="2386"/>
      <c r="DJ6" s="2386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DK6" s="2386"/>
      <c r="DL6" s="2386"/>
      <c r="DM6" s="2386"/>
      <c r="DN6" s="2386"/>
      <c r="DO6" s="2386"/>
      <c r="DP6" s="2386"/>
      <c r="DQ6" s="2386"/>
      <c r="DR6" s="2386"/>
      <c r="DS6" s="2386"/>
      <c r="DT6" s="2386"/>
      <c r="DU6" s="2386"/>
      <c r="DV6" s="2386"/>
      <c r="DW6" s="2386"/>
      <c r="DX6" s="2386"/>
      <c r="DY6" s="2386"/>
      <c r="DZ6" s="2386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EA6" s="2386"/>
      <c r="EB6" s="2386"/>
      <c r="EC6" s="2386"/>
      <c r="ED6" s="2386"/>
      <c r="EE6" s="2386"/>
      <c r="EF6" s="2386"/>
      <c r="EG6" s="2386"/>
      <c r="EH6" s="2386"/>
      <c r="EI6" s="2386"/>
      <c r="EJ6" s="2386"/>
      <c r="EK6" s="2386"/>
      <c r="EL6" s="2386"/>
      <c r="EM6" s="2386"/>
      <c r="EN6" s="2386"/>
      <c r="EO6" s="2386"/>
      <c r="EP6" s="2386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S</v>
      </c>
      <c r="EQ6" s="2386"/>
      <c r="ER6" s="2386"/>
      <c r="ES6" s="2386"/>
      <c r="ET6" s="2386"/>
      <c r="EU6" s="2386"/>
      <c r="EV6" s="2386"/>
      <c r="EW6" s="2386"/>
      <c r="EX6" s="2386"/>
      <c r="EY6" s="2386"/>
      <c r="EZ6" s="2386"/>
      <c r="FA6" s="2386"/>
      <c r="FB6" s="2386"/>
      <c r="FC6" s="2386"/>
      <c r="FD6" s="2386"/>
      <c r="FE6" s="2386"/>
      <c r="FF6" s="2386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S</v>
      </c>
      <c r="FG6" s="2386"/>
      <c r="FH6" s="2386"/>
      <c r="FI6" s="2386"/>
      <c r="FJ6" s="2386"/>
      <c r="FK6" s="2386"/>
      <c r="FL6" s="2386"/>
      <c r="FM6" s="2386"/>
      <c r="FN6" s="2386"/>
      <c r="FO6" s="2386"/>
      <c r="FP6" s="2386"/>
      <c r="FQ6" s="2386"/>
      <c r="FR6" s="2386"/>
      <c r="FS6" s="2386"/>
      <c r="FT6" s="2386"/>
      <c r="FU6" s="2386"/>
      <c r="FV6" s="1248"/>
      <c r="FW6" s="1248"/>
      <c r="FX6" s="1248"/>
      <c r="FY6" s="1248"/>
      <c r="FZ6" s="1248"/>
      <c r="GA6" s="1248"/>
      <c r="GB6" s="1248"/>
      <c r="GC6" s="1248"/>
      <c r="GD6" s="1248"/>
      <c r="GE6" s="1248"/>
      <c r="GF6" s="1248"/>
      <c r="GG6" s="1248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35">
      <c r="A7" s="338">
        <v>5</v>
      </c>
      <c r="B7" s="2386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S</v>
      </c>
      <c r="C7" s="2386"/>
      <c r="D7" s="2386"/>
      <c r="E7" s="2386"/>
      <c r="F7" s="2386"/>
      <c r="G7" s="2386"/>
      <c r="H7" s="2386"/>
      <c r="I7" s="2386"/>
      <c r="J7" s="2386"/>
      <c r="K7" s="2386"/>
      <c r="L7" s="2386"/>
      <c r="M7" s="2386"/>
      <c r="N7" s="2386"/>
      <c r="O7" s="2386"/>
      <c r="P7" s="2386"/>
      <c r="Q7" s="2386"/>
      <c r="R7" s="2386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S</v>
      </c>
      <c r="S7" s="2386"/>
      <c r="T7" s="2386"/>
      <c r="U7" s="2386"/>
      <c r="V7" s="2386"/>
      <c r="W7" s="2386"/>
      <c r="X7" s="2386"/>
      <c r="Y7" s="2386"/>
      <c r="Z7" s="2386"/>
      <c r="AA7" s="2386"/>
      <c r="AB7" s="2386"/>
      <c r="AC7" s="2386"/>
      <c r="AD7" s="2386"/>
      <c r="AE7" s="2386"/>
      <c r="AF7" s="2386"/>
      <c r="AG7" s="2386"/>
      <c r="AH7" s="2386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S</v>
      </c>
      <c r="AI7" s="2386"/>
      <c r="AJ7" s="2386"/>
      <c r="AK7" s="2386"/>
      <c r="AL7" s="2386"/>
      <c r="AM7" s="2386"/>
      <c r="AN7" s="2386"/>
      <c r="AO7" s="2386"/>
      <c r="AP7" s="2386"/>
      <c r="AQ7" s="2386"/>
      <c r="AR7" s="2386"/>
      <c r="AS7" s="2386"/>
      <c r="AT7" s="2386"/>
      <c r="AU7" s="2386"/>
      <c r="AV7" s="2386"/>
      <c r="AW7" s="2386"/>
      <c r="AX7" s="2386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S</v>
      </c>
      <c r="AY7" s="2386"/>
      <c r="AZ7" s="2386"/>
      <c r="BA7" s="2386"/>
      <c r="BB7" s="2386"/>
      <c r="BC7" s="2386"/>
      <c r="BD7" s="2386"/>
      <c r="BE7" s="2386"/>
      <c r="BF7" s="2386"/>
      <c r="BG7" s="2386"/>
      <c r="BH7" s="2386"/>
      <c r="BI7" s="2386"/>
      <c r="BJ7" s="2386"/>
      <c r="BK7" s="2386"/>
      <c r="BL7" s="2386"/>
      <c r="BM7" s="2386"/>
      <c r="BN7" s="2386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S</v>
      </c>
      <c r="BO7" s="2386"/>
      <c r="BP7" s="2386"/>
      <c r="BQ7" s="2386"/>
      <c r="BR7" s="2386"/>
      <c r="BS7" s="2386"/>
      <c r="BT7" s="2386"/>
      <c r="BU7" s="2386"/>
      <c r="BV7" s="2386"/>
      <c r="BW7" s="2386"/>
      <c r="BX7" s="2386"/>
      <c r="BY7" s="2386"/>
      <c r="BZ7" s="2386"/>
      <c r="CA7" s="2386"/>
      <c r="CB7" s="2386"/>
      <c r="CC7" s="2386"/>
      <c r="CD7" s="2386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X1</v>
      </c>
      <c r="CE7" s="2386"/>
      <c r="CF7" s="2386"/>
      <c r="CG7" s="2386"/>
      <c r="CH7" s="2386"/>
      <c r="CI7" s="2386"/>
      <c r="CJ7" s="2386"/>
      <c r="CK7" s="2386"/>
      <c r="CL7" s="2386"/>
      <c r="CM7" s="2386"/>
      <c r="CN7" s="2386"/>
      <c r="CO7" s="2386"/>
      <c r="CP7" s="2386"/>
      <c r="CQ7" s="2386"/>
      <c r="CR7" s="2386"/>
      <c r="CS7" s="2386"/>
      <c r="CT7" s="2386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CU7" s="2386"/>
      <c r="CV7" s="2386"/>
      <c r="CW7" s="2386"/>
      <c r="CX7" s="2386"/>
      <c r="CY7" s="2386"/>
      <c r="CZ7" s="2386"/>
      <c r="DA7" s="2386"/>
      <c r="DB7" s="2386"/>
      <c r="DC7" s="2386"/>
      <c r="DD7" s="2386"/>
      <c r="DE7" s="2386"/>
      <c r="DF7" s="2386"/>
      <c r="DG7" s="2386"/>
      <c r="DH7" s="2386"/>
      <c r="DI7" s="2386"/>
      <c r="DJ7" s="2386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DK7" s="2386"/>
      <c r="DL7" s="2386"/>
      <c r="DM7" s="2386"/>
      <c r="DN7" s="2386"/>
      <c r="DO7" s="2386"/>
      <c r="DP7" s="2386"/>
      <c r="DQ7" s="2386"/>
      <c r="DR7" s="2386"/>
      <c r="DS7" s="2386"/>
      <c r="DT7" s="2386"/>
      <c r="DU7" s="2386"/>
      <c r="DV7" s="2386"/>
      <c r="DW7" s="2386"/>
      <c r="DX7" s="2386"/>
      <c r="DY7" s="2386"/>
      <c r="DZ7" s="2386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EA7" s="2386"/>
      <c r="EB7" s="2386"/>
      <c r="EC7" s="2386"/>
      <c r="ED7" s="2386"/>
      <c r="EE7" s="2386"/>
      <c r="EF7" s="2386"/>
      <c r="EG7" s="2386"/>
      <c r="EH7" s="2386"/>
      <c r="EI7" s="2386"/>
      <c r="EJ7" s="2386"/>
      <c r="EK7" s="2386"/>
      <c r="EL7" s="2386"/>
      <c r="EM7" s="2386"/>
      <c r="EN7" s="2386"/>
      <c r="EO7" s="2386"/>
      <c r="EP7" s="2386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S</v>
      </c>
      <c r="EQ7" s="2386"/>
      <c r="ER7" s="2386"/>
      <c r="ES7" s="2386"/>
      <c r="ET7" s="2386"/>
      <c r="EU7" s="2386"/>
      <c r="EV7" s="2386"/>
      <c r="EW7" s="2386"/>
      <c r="EX7" s="2386"/>
      <c r="EY7" s="2386"/>
      <c r="EZ7" s="2386"/>
      <c r="FA7" s="2386"/>
      <c r="FB7" s="2386"/>
      <c r="FC7" s="2386"/>
      <c r="FD7" s="2386"/>
      <c r="FE7" s="2386"/>
      <c r="FF7" s="2386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S</v>
      </c>
      <c r="FG7" s="2386"/>
      <c r="FH7" s="2386"/>
      <c r="FI7" s="2386"/>
      <c r="FJ7" s="2386"/>
      <c r="FK7" s="2386"/>
      <c r="FL7" s="2386"/>
      <c r="FM7" s="2386"/>
      <c r="FN7" s="2386"/>
      <c r="FO7" s="2386"/>
      <c r="FP7" s="2386"/>
      <c r="FQ7" s="2386"/>
      <c r="FR7" s="2386"/>
      <c r="FS7" s="2386"/>
      <c r="FT7" s="2386"/>
      <c r="FU7" s="2386"/>
      <c r="FV7" s="1248"/>
      <c r="FW7" s="1248"/>
      <c r="FX7" s="1248"/>
      <c r="FY7" s="1248"/>
      <c r="FZ7" s="1248"/>
      <c r="GA7" s="1248"/>
      <c r="GB7" s="1248"/>
      <c r="GC7" s="1248"/>
      <c r="GD7" s="1248"/>
      <c r="GE7" s="1248"/>
      <c r="GF7" s="1248"/>
      <c r="GG7" s="1248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35">
      <c r="A8" s="338">
        <v>6</v>
      </c>
      <c r="B8" s="2386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S</v>
      </c>
      <c r="C8" s="2386"/>
      <c r="D8" s="2386"/>
      <c r="E8" s="2386"/>
      <c r="F8" s="2386"/>
      <c r="G8" s="2386"/>
      <c r="H8" s="2386"/>
      <c r="I8" s="2386"/>
      <c r="J8" s="2386"/>
      <c r="K8" s="2386"/>
      <c r="L8" s="2386"/>
      <c r="M8" s="2386"/>
      <c r="N8" s="2386"/>
      <c r="O8" s="2386"/>
      <c r="P8" s="2386"/>
      <c r="Q8" s="2386"/>
      <c r="R8" s="2386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X1</v>
      </c>
      <c r="S8" s="2386"/>
      <c r="T8" s="2386"/>
      <c r="U8" s="2386"/>
      <c r="V8" s="2386"/>
      <c r="W8" s="2386"/>
      <c r="X8" s="2386"/>
      <c r="Y8" s="2386"/>
      <c r="Z8" s="2386"/>
      <c r="AA8" s="2386"/>
      <c r="AB8" s="2386"/>
      <c r="AC8" s="2386"/>
      <c r="AD8" s="2386"/>
      <c r="AE8" s="2386"/>
      <c r="AF8" s="2386"/>
      <c r="AG8" s="2386"/>
      <c r="AH8" s="2386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S</v>
      </c>
      <c r="AI8" s="2386"/>
      <c r="AJ8" s="2386"/>
      <c r="AK8" s="2386"/>
      <c r="AL8" s="2386"/>
      <c r="AM8" s="2386"/>
      <c r="AN8" s="2386"/>
      <c r="AO8" s="2386"/>
      <c r="AP8" s="2386"/>
      <c r="AQ8" s="2386"/>
      <c r="AR8" s="2386"/>
      <c r="AS8" s="2386"/>
      <c r="AT8" s="2386"/>
      <c r="AU8" s="2386"/>
      <c r="AV8" s="2386"/>
      <c r="AW8" s="2386"/>
      <c r="AX8" s="2386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X1</v>
      </c>
      <c r="AY8" s="2386"/>
      <c r="AZ8" s="2386"/>
      <c r="BA8" s="2386"/>
      <c r="BB8" s="2386"/>
      <c r="BC8" s="2386"/>
      <c r="BD8" s="2386"/>
      <c r="BE8" s="2386"/>
      <c r="BF8" s="2386"/>
      <c r="BG8" s="2386"/>
      <c r="BH8" s="2386"/>
      <c r="BI8" s="2386"/>
      <c r="BJ8" s="2386"/>
      <c r="BK8" s="2386"/>
      <c r="BL8" s="2386"/>
      <c r="BM8" s="2386"/>
      <c r="BN8" s="2386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BO8" s="2386"/>
      <c r="BP8" s="2386"/>
      <c r="BQ8" s="2386"/>
      <c r="BR8" s="2386"/>
      <c r="BS8" s="2386"/>
      <c r="BT8" s="2386"/>
      <c r="BU8" s="2386"/>
      <c r="BV8" s="2386"/>
      <c r="BW8" s="2386"/>
      <c r="BX8" s="2386"/>
      <c r="BY8" s="2386"/>
      <c r="BZ8" s="2386"/>
      <c r="CA8" s="2386"/>
      <c r="CB8" s="2386"/>
      <c r="CC8" s="2386"/>
      <c r="CD8" s="2386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CE8" s="2386"/>
      <c r="CF8" s="2386"/>
      <c r="CG8" s="2386"/>
      <c r="CH8" s="2386"/>
      <c r="CI8" s="2386"/>
      <c r="CJ8" s="2386"/>
      <c r="CK8" s="2386"/>
      <c r="CL8" s="2386"/>
      <c r="CM8" s="2386"/>
      <c r="CN8" s="2386"/>
      <c r="CO8" s="2386"/>
      <c r="CP8" s="2386"/>
      <c r="CQ8" s="2386"/>
      <c r="CR8" s="2386"/>
      <c r="CS8" s="2386"/>
      <c r="CT8" s="2386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CU8" s="2386"/>
      <c r="CV8" s="2386"/>
      <c r="CW8" s="2386"/>
      <c r="CX8" s="2386"/>
      <c r="CY8" s="2386"/>
      <c r="CZ8" s="2386"/>
      <c r="DA8" s="2386"/>
      <c r="DB8" s="2386"/>
      <c r="DC8" s="2386"/>
      <c r="DD8" s="2386"/>
      <c r="DE8" s="2386"/>
      <c r="DF8" s="2386"/>
      <c r="DG8" s="2386"/>
      <c r="DH8" s="2386"/>
      <c r="DI8" s="2386"/>
      <c r="DJ8" s="2386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DK8" s="2386"/>
      <c r="DL8" s="2386"/>
      <c r="DM8" s="2386"/>
      <c r="DN8" s="2386"/>
      <c r="DO8" s="2386"/>
      <c r="DP8" s="2386"/>
      <c r="DQ8" s="2386"/>
      <c r="DR8" s="2386"/>
      <c r="DS8" s="2386"/>
      <c r="DT8" s="2386"/>
      <c r="DU8" s="2386"/>
      <c r="DV8" s="2386"/>
      <c r="DW8" s="2386"/>
      <c r="DX8" s="2386"/>
      <c r="DY8" s="2386"/>
      <c r="DZ8" s="2386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EA8" s="2386"/>
      <c r="EB8" s="2386"/>
      <c r="EC8" s="2386"/>
      <c r="ED8" s="2386"/>
      <c r="EE8" s="2386"/>
      <c r="EF8" s="2386"/>
      <c r="EG8" s="2386"/>
      <c r="EH8" s="2386"/>
      <c r="EI8" s="2386"/>
      <c r="EJ8" s="2386"/>
      <c r="EK8" s="2386"/>
      <c r="EL8" s="2386"/>
      <c r="EM8" s="2386"/>
      <c r="EN8" s="2386"/>
      <c r="EO8" s="2386"/>
      <c r="EP8" s="2386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EQ8" s="2386"/>
      <c r="ER8" s="2386"/>
      <c r="ES8" s="2386"/>
      <c r="ET8" s="2386"/>
      <c r="EU8" s="2386"/>
      <c r="EV8" s="2386"/>
      <c r="EW8" s="2386"/>
      <c r="EX8" s="2386"/>
      <c r="EY8" s="2386"/>
      <c r="EZ8" s="2386"/>
      <c r="FA8" s="2386"/>
      <c r="FB8" s="2386"/>
      <c r="FC8" s="2386"/>
      <c r="FD8" s="2386"/>
      <c r="FE8" s="2386"/>
      <c r="FF8" s="2386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S</v>
      </c>
      <c r="FG8" s="2386"/>
      <c r="FH8" s="2386"/>
      <c r="FI8" s="2386"/>
      <c r="FJ8" s="2386"/>
      <c r="FK8" s="2386"/>
      <c r="FL8" s="2386"/>
      <c r="FM8" s="2386"/>
      <c r="FN8" s="2386"/>
      <c r="FO8" s="2386"/>
      <c r="FP8" s="2386"/>
      <c r="FQ8" s="2386"/>
      <c r="FR8" s="2386"/>
      <c r="FS8" s="2386"/>
      <c r="FT8" s="2386"/>
      <c r="FU8" s="2386"/>
      <c r="FV8" s="1248"/>
      <c r="FW8" s="1248"/>
      <c r="FX8" s="1248"/>
      <c r="FY8" s="1248"/>
      <c r="FZ8" s="1248"/>
      <c r="GA8" s="1248"/>
      <c r="GB8" s="1248"/>
      <c r="GC8" s="1248"/>
      <c r="GD8" s="1248"/>
      <c r="GE8" s="1248"/>
      <c r="GF8" s="1248"/>
      <c r="GG8" s="1248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35">
      <c r="A9" s="338">
        <v>7</v>
      </c>
      <c r="B9" s="2386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9" s="2386"/>
      <c r="D9" s="2386"/>
      <c r="E9" s="2386"/>
      <c r="F9" s="2386"/>
      <c r="G9" s="2386"/>
      <c r="H9" s="2386"/>
      <c r="I9" s="2386"/>
      <c r="J9" s="2386"/>
      <c r="K9" s="2386"/>
      <c r="L9" s="2386"/>
      <c r="M9" s="2386"/>
      <c r="N9" s="2386"/>
      <c r="O9" s="2386"/>
      <c r="P9" s="2386"/>
      <c r="Q9" s="2386"/>
      <c r="R9" s="2386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S9" s="2386"/>
      <c r="T9" s="2386"/>
      <c r="U9" s="2386"/>
      <c r="V9" s="2386"/>
      <c r="W9" s="2386"/>
      <c r="X9" s="2386"/>
      <c r="Y9" s="2386"/>
      <c r="Z9" s="2386"/>
      <c r="AA9" s="2386"/>
      <c r="AB9" s="2386"/>
      <c r="AC9" s="2386"/>
      <c r="AD9" s="2386"/>
      <c r="AE9" s="2386"/>
      <c r="AF9" s="2386"/>
      <c r="AG9" s="2386"/>
      <c r="AH9" s="2386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AI9" s="2386"/>
      <c r="AJ9" s="2386"/>
      <c r="AK9" s="2386"/>
      <c r="AL9" s="2386"/>
      <c r="AM9" s="2386"/>
      <c r="AN9" s="2386"/>
      <c r="AO9" s="2386"/>
      <c r="AP9" s="2386"/>
      <c r="AQ9" s="2386"/>
      <c r="AR9" s="2386"/>
      <c r="AS9" s="2386"/>
      <c r="AT9" s="2386"/>
      <c r="AU9" s="2386"/>
      <c r="AV9" s="2386"/>
      <c r="AW9" s="2386"/>
      <c r="AX9" s="2386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Y9" s="2386"/>
      <c r="AZ9" s="2386"/>
      <c r="BA9" s="2386"/>
      <c r="BB9" s="2386"/>
      <c r="BC9" s="2386"/>
      <c r="BD9" s="2386"/>
      <c r="BE9" s="2386"/>
      <c r="BF9" s="2386"/>
      <c r="BG9" s="2386"/>
      <c r="BH9" s="2386"/>
      <c r="BI9" s="2386"/>
      <c r="BJ9" s="2386"/>
      <c r="BK9" s="2386"/>
      <c r="BL9" s="2386"/>
      <c r="BM9" s="2386"/>
      <c r="BN9" s="2386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BO9" s="2386"/>
      <c r="BP9" s="2386"/>
      <c r="BQ9" s="2386"/>
      <c r="BR9" s="2386"/>
      <c r="BS9" s="2386"/>
      <c r="BT9" s="2386"/>
      <c r="BU9" s="2386"/>
      <c r="BV9" s="2386"/>
      <c r="BW9" s="2386"/>
      <c r="BX9" s="2386"/>
      <c r="BY9" s="2386"/>
      <c r="BZ9" s="2386"/>
      <c r="CA9" s="2386"/>
      <c r="CB9" s="2386"/>
      <c r="CC9" s="2386"/>
      <c r="CD9" s="2386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CE9" s="2386"/>
      <c r="CF9" s="2386"/>
      <c r="CG9" s="2386"/>
      <c r="CH9" s="2386"/>
      <c r="CI9" s="2386"/>
      <c r="CJ9" s="2386"/>
      <c r="CK9" s="2386"/>
      <c r="CL9" s="2386"/>
      <c r="CM9" s="2386"/>
      <c r="CN9" s="2386"/>
      <c r="CO9" s="2386"/>
      <c r="CP9" s="2386"/>
      <c r="CQ9" s="2386"/>
      <c r="CR9" s="2386"/>
      <c r="CS9" s="2386"/>
      <c r="CT9" s="2386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CU9" s="2386"/>
      <c r="CV9" s="2386"/>
      <c r="CW9" s="2386"/>
      <c r="CX9" s="2386"/>
      <c r="CY9" s="2386"/>
      <c r="CZ9" s="2386"/>
      <c r="DA9" s="2386"/>
      <c r="DB9" s="2386"/>
      <c r="DC9" s="2386"/>
      <c r="DD9" s="2386"/>
      <c r="DE9" s="2386"/>
      <c r="DF9" s="2386"/>
      <c r="DG9" s="2386"/>
      <c r="DH9" s="2386"/>
      <c r="DI9" s="2386"/>
      <c r="DJ9" s="2386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DK9" s="2386"/>
      <c r="DL9" s="2386"/>
      <c r="DM9" s="2386"/>
      <c r="DN9" s="2386"/>
      <c r="DO9" s="2386"/>
      <c r="DP9" s="2386"/>
      <c r="DQ9" s="2386"/>
      <c r="DR9" s="2386"/>
      <c r="DS9" s="2386"/>
      <c r="DT9" s="2386"/>
      <c r="DU9" s="2386"/>
      <c r="DV9" s="2386"/>
      <c r="DW9" s="2386"/>
      <c r="DX9" s="2386"/>
      <c r="DY9" s="2386"/>
      <c r="DZ9" s="2386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EA9" s="2386"/>
      <c r="EB9" s="2386"/>
      <c r="EC9" s="2386"/>
      <c r="ED9" s="2386"/>
      <c r="EE9" s="2386"/>
      <c r="EF9" s="2386"/>
      <c r="EG9" s="2386"/>
      <c r="EH9" s="2386"/>
      <c r="EI9" s="2386"/>
      <c r="EJ9" s="2386"/>
      <c r="EK9" s="2386"/>
      <c r="EL9" s="2386"/>
      <c r="EM9" s="2386"/>
      <c r="EN9" s="2386"/>
      <c r="EO9" s="2386"/>
      <c r="EP9" s="2386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EQ9" s="2386"/>
      <c r="ER9" s="2386"/>
      <c r="ES9" s="2386"/>
      <c r="ET9" s="2386"/>
      <c r="EU9" s="2386"/>
      <c r="EV9" s="2386"/>
      <c r="EW9" s="2386"/>
      <c r="EX9" s="2386"/>
      <c r="EY9" s="2386"/>
      <c r="EZ9" s="2386"/>
      <c r="FA9" s="2386"/>
      <c r="FB9" s="2386"/>
      <c r="FC9" s="2386"/>
      <c r="FD9" s="2386"/>
      <c r="FE9" s="2386"/>
      <c r="FF9" s="2386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FG9" s="2386"/>
      <c r="FH9" s="2386"/>
      <c r="FI9" s="2386"/>
      <c r="FJ9" s="2386"/>
      <c r="FK9" s="2386"/>
      <c r="FL9" s="2386"/>
      <c r="FM9" s="2386"/>
      <c r="FN9" s="2386"/>
      <c r="FO9" s="2386"/>
      <c r="FP9" s="2386"/>
      <c r="FQ9" s="2386"/>
      <c r="FR9" s="2386"/>
      <c r="FS9" s="2386"/>
      <c r="FT9" s="2386"/>
      <c r="FU9" s="2386"/>
      <c r="FV9" s="1248"/>
      <c r="FW9" s="1248"/>
      <c r="FX9" s="1248"/>
      <c r="FY9" s="1248"/>
      <c r="FZ9" s="1248"/>
      <c r="GA9" s="1248"/>
      <c r="GB9" s="1248"/>
      <c r="GC9" s="1248"/>
      <c r="GD9" s="1248"/>
      <c r="GE9" s="1248"/>
      <c r="GF9" s="1248"/>
      <c r="GG9" s="1248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35">
      <c r="A10" s="338">
        <v>8</v>
      </c>
      <c r="B10" s="2386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10" s="2386"/>
      <c r="D10" s="2386"/>
      <c r="E10" s="2386"/>
      <c r="F10" s="2386"/>
      <c r="G10" s="2386"/>
      <c r="H10" s="2386"/>
      <c r="I10" s="2386"/>
      <c r="J10" s="2386"/>
      <c r="K10" s="2386"/>
      <c r="L10" s="2386"/>
      <c r="M10" s="2386"/>
      <c r="N10" s="2386"/>
      <c r="O10" s="2386"/>
      <c r="P10" s="2386"/>
      <c r="Q10" s="2386"/>
      <c r="R10" s="2386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S10" s="2386"/>
      <c r="T10" s="2386"/>
      <c r="U10" s="2386"/>
      <c r="V10" s="2386"/>
      <c r="W10" s="2386"/>
      <c r="X10" s="2386"/>
      <c r="Y10" s="2386"/>
      <c r="Z10" s="2386"/>
      <c r="AA10" s="2386"/>
      <c r="AB10" s="2386"/>
      <c r="AC10" s="2386"/>
      <c r="AD10" s="2386"/>
      <c r="AE10" s="2386"/>
      <c r="AF10" s="2386"/>
      <c r="AG10" s="2386"/>
      <c r="AH10" s="2386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AI10" s="2386"/>
      <c r="AJ10" s="2386"/>
      <c r="AK10" s="2386"/>
      <c r="AL10" s="2386"/>
      <c r="AM10" s="2386"/>
      <c r="AN10" s="2386"/>
      <c r="AO10" s="2386"/>
      <c r="AP10" s="2386"/>
      <c r="AQ10" s="2386"/>
      <c r="AR10" s="2386"/>
      <c r="AS10" s="2386"/>
      <c r="AT10" s="2386"/>
      <c r="AU10" s="2386"/>
      <c r="AV10" s="2386"/>
      <c r="AW10" s="2386"/>
      <c r="AX10" s="2386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Y10" s="2386"/>
      <c r="AZ10" s="2386"/>
      <c r="BA10" s="2386"/>
      <c r="BB10" s="2386"/>
      <c r="BC10" s="2386"/>
      <c r="BD10" s="2386"/>
      <c r="BE10" s="2386"/>
      <c r="BF10" s="2386"/>
      <c r="BG10" s="2386"/>
      <c r="BH10" s="2386"/>
      <c r="BI10" s="2386"/>
      <c r="BJ10" s="2386"/>
      <c r="BK10" s="2386"/>
      <c r="BL10" s="2386"/>
      <c r="BM10" s="2386"/>
      <c r="BN10" s="2386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BO10" s="2386"/>
      <c r="BP10" s="2386"/>
      <c r="BQ10" s="2386"/>
      <c r="BR10" s="2386"/>
      <c r="BS10" s="2386"/>
      <c r="BT10" s="2386"/>
      <c r="BU10" s="2386"/>
      <c r="BV10" s="2386"/>
      <c r="BW10" s="2386"/>
      <c r="BX10" s="2386"/>
      <c r="BY10" s="2386"/>
      <c r="BZ10" s="2386"/>
      <c r="CA10" s="2386"/>
      <c r="CB10" s="2386"/>
      <c r="CC10" s="2386"/>
      <c r="CD10" s="2386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CE10" s="2386"/>
      <c r="CF10" s="2386"/>
      <c r="CG10" s="2386"/>
      <c r="CH10" s="2386"/>
      <c r="CI10" s="2386"/>
      <c r="CJ10" s="2386"/>
      <c r="CK10" s="2386"/>
      <c r="CL10" s="2386"/>
      <c r="CM10" s="2386"/>
      <c r="CN10" s="2386"/>
      <c r="CO10" s="2386"/>
      <c r="CP10" s="2386"/>
      <c r="CQ10" s="2386"/>
      <c r="CR10" s="2386"/>
      <c r="CS10" s="2386"/>
      <c r="CT10" s="2386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CU10" s="2386"/>
      <c r="CV10" s="2386"/>
      <c r="CW10" s="2386"/>
      <c r="CX10" s="2386"/>
      <c r="CY10" s="2386"/>
      <c r="CZ10" s="2386"/>
      <c r="DA10" s="2386"/>
      <c r="DB10" s="2386"/>
      <c r="DC10" s="2386"/>
      <c r="DD10" s="2386"/>
      <c r="DE10" s="2386"/>
      <c r="DF10" s="2386"/>
      <c r="DG10" s="2386"/>
      <c r="DH10" s="2386"/>
      <c r="DI10" s="2386"/>
      <c r="DJ10" s="2386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DK10" s="2386"/>
      <c r="DL10" s="2386"/>
      <c r="DM10" s="2386"/>
      <c r="DN10" s="2386"/>
      <c r="DO10" s="2386"/>
      <c r="DP10" s="2386"/>
      <c r="DQ10" s="2386"/>
      <c r="DR10" s="2386"/>
      <c r="DS10" s="2386"/>
      <c r="DT10" s="2386"/>
      <c r="DU10" s="2386"/>
      <c r="DV10" s="2386"/>
      <c r="DW10" s="2386"/>
      <c r="DX10" s="2386"/>
      <c r="DY10" s="2386"/>
      <c r="DZ10" s="2386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EA10" s="2386"/>
      <c r="EB10" s="2386"/>
      <c r="EC10" s="2386"/>
      <c r="ED10" s="2386"/>
      <c r="EE10" s="2386"/>
      <c r="EF10" s="2386"/>
      <c r="EG10" s="2386"/>
      <c r="EH10" s="2386"/>
      <c r="EI10" s="2386"/>
      <c r="EJ10" s="2386"/>
      <c r="EK10" s="2386"/>
      <c r="EL10" s="2386"/>
      <c r="EM10" s="2386"/>
      <c r="EN10" s="2386"/>
      <c r="EO10" s="2386"/>
      <c r="EP10" s="2386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EQ10" s="2386"/>
      <c r="ER10" s="2386"/>
      <c r="ES10" s="2386"/>
      <c r="ET10" s="2386"/>
      <c r="EU10" s="2386"/>
      <c r="EV10" s="2386"/>
      <c r="EW10" s="2386"/>
      <c r="EX10" s="2386"/>
      <c r="EY10" s="2386"/>
      <c r="EZ10" s="2386"/>
      <c r="FA10" s="2386"/>
      <c r="FB10" s="2386"/>
      <c r="FC10" s="2386"/>
      <c r="FD10" s="2386"/>
      <c r="FE10" s="2386"/>
      <c r="FF10" s="2386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6"/>
      <c r="FH10" s="2386"/>
      <c r="FI10" s="2386"/>
      <c r="FJ10" s="2386"/>
      <c r="FK10" s="2386"/>
      <c r="FL10" s="2386"/>
      <c r="FM10" s="2386"/>
      <c r="FN10" s="2386"/>
      <c r="FO10" s="2386"/>
      <c r="FP10" s="2386"/>
      <c r="FQ10" s="2386"/>
      <c r="FR10" s="2386"/>
      <c r="FS10" s="2386"/>
      <c r="FT10" s="2386"/>
      <c r="FU10" s="2386"/>
      <c r="FV10" s="1248"/>
      <c r="FW10" s="1248"/>
      <c r="FX10" s="1248"/>
      <c r="FY10" s="1248"/>
      <c r="FZ10" s="1248"/>
      <c r="GA10" s="1248"/>
      <c r="GB10" s="1248"/>
      <c r="GC10" s="1248"/>
      <c r="GD10" s="1248"/>
      <c r="GE10" s="1248"/>
      <c r="GF10" s="1248"/>
      <c r="GG10" s="1248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35">
      <c r="A11" s="338">
        <v>9</v>
      </c>
      <c r="B11" s="2386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6"/>
      <c r="D11" s="2386"/>
      <c r="E11" s="2386"/>
      <c r="F11" s="2386"/>
      <c r="G11" s="2386"/>
      <c r="H11" s="2386"/>
      <c r="I11" s="2386"/>
      <c r="J11" s="2386"/>
      <c r="K11" s="2386"/>
      <c r="L11" s="2386"/>
      <c r="M11" s="2386"/>
      <c r="N11" s="2386"/>
      <c r="O11" s="2386"/>
      <c r="P11" s="2386"/>
      <c r="Q11" s="2386"/>
      <c r="R11" s="2386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6"/>
      <c r="T11" s="2386"/>
      <c r="U11" s="2386"/>
      <c r="V11" s="2386"/>
      <c r="W11" s="2386"/>
      <c r="X11" s="2386"/>
      <c r="Y11" s="2386"/>
      <c r="Z11" s="2386"/>
      <c r="AA11" s="2386"/>
      <c r="AB11" s="2386"/>
      <c r="AC11" s="2386"/>
      <c r="AD11" s="2386"/>
      <c r="AE11" s="2386"/>
      <c r="AF11" s="2386"/>
      <c r="AG11" s="2386"/>
      <c r="AH11" s="2386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6"/>
      <c r="AJ11" s="2386"/>
      <c r="AK11" s="2386"/>
      <c r="AL11" s="2386"/>
      <c r="AM11" s="2386"/>
      <c r="AN11" s="2386"/>
      <c r="AO11" s="2386"/>
      <c r="AP11" s="2386"/>
      <c r="AQ11" s="2386"/>
      <c r="AR11" s="2386"/>
      <c r="AS11" s="2386"/>
      <c r="AT11" s="2386"/>
      <c r="AU11" s="2386"/>
      <c r="AV11" s="2386"/>
      <c r="AW11" s="2386"/>
      <c r="AX11" s="2386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6"/>
      <c r="AZ11" s="2386"/>
      <c r="BA11" s="2386"/>
      <c r="BB11" s="2386"/>
      <c r="BC11" s="2386"/>
      <c r="BD11" s="2386"/>
      <c r="BE11" s="2386"/>
      <c r="BF11" s="2386"/>
      <c r="BG11" s="2386"/>
      <c r="BH11" s="2386"/>
      <c r="BI11" s="2386"/>
      <c r="BJ11" s="2386"/>
      <c r="BK11" s="2386"/>
      <c r="BL11" s="2386"/>
      <c r="BM11" s="2386"/>
      <c r="BN11" s="2386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6"/>
      <c r="BP11" s="2386"/>
      <c r="BQ11" s="2386"/>
      <c r="BR11" s="2386"/>
      <c r="BS11" s="2386"/>
      <c r="BT11" s="2386"/>
      <c r="BU11" s="2386"/>
      <c r="BV11" s="2386"/>
      <c r="BW11" s="2386"/>
      <c r="BX11" s="2386"/>
      <c r="BY11" s="2386"/>
      <c r="BZ11" s="2386"/>
      <c r="CA11" s="2386"/>
      <c r="CB11" s="2386"/>
      <c r="CC11" s="2386"/>
      <c r="CD11" s="2386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6"/>
      <c r="CF11" s="2386"/>
      <c r="CG11" s="2386"/>
      <c r="CH11" s="2386"/>
      <c r="CI11" s="2386"/>
      <c r="CJ11" s="2386"/>
      <c r="CK11" s="2386"/>
      <c r="CL11" s="2386"/>
      <c r="CM11" s="2386"/>
      <c r="CN11" s="2386"/>
      <c r="CO11" s="2386"/>
      <c r="CP11" s="2386"/>
      <c r="CQ11" s="2386"/>
      <c r="CR11" s="2386"/>
      <c r="CS11" s="2386"/>
      <c r="CT11" s="2386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6"/>
      <c r="CV11" s="2386"/>
      <c r="CW11" s="2386"/>
      <c r="CX11" s="2386"/>
      <c r="CY11" s="2386"/>
      <c r="CZ11" s="2386"/>
      <c r="DA11" s="2386"/>
      <c r="DB11" s="2386"/>
      <c r="DC11" s="2386"/>
      <c r="DD11" s="2386"/>
      <c r="DE11" s="2386"/>
      <c r="DF11" s="2386"/>
      <c r="DG11" s="2386"/>
      <c r="DH11" s="2386"/>
      <c r="DI11" s="2386"/>
      <c r="DJ11" s="2386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6"/>
      <c r="DL11" s="2386"/>
      <c r="DM11" s="2386"/>
      <c r="DN11" s="2386"/>
      <c r="DO11" s="2386"/>
      <c r="DP11" s="2386"/>
      <c r="DQ11" s="2386"/>
      <c r="DR11" s="2386"/>
      <c r="DS11" s="2386"/>
      <c r="DT11" s="2386"/>
      <c r="DU11" s="2386"/>
      <c r="DV11" s="2386"/>
      <c r="DW11" s="2386"/>
      <c r="DX11" s="2386"/>
      <c r="DY11" s="2386"/>
      <c r="DZ11" s="2386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6"/>
      <c r="EB11" s="2386"/>
      <c r="EC11" s="2386"/>
      <c r="ED11" s="2386"/>
      <c r="EE11" s="2386"/>
      <c r="EF11" s="2386"/>
      <c r="EG11" s="2386"/>
      <c r="EH11" s="2386"/>
      <c r="EI11" s="2386"/>
      <c r="EJ11" s="2386"/>
      <c r="EK11" s="2386"/>
      <c r="EL11" s="2386"/>
      <c r="EM11" s="2386"/>
      <c r="EN11" s="2386"/>
      <c r="EO11" s="2386"/>
      <c r="EP11" s="2386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6"/>
      <c r="ER11" s="2386"/>
      <c r="ES11" s="2386"/>
      <c r="ET11" s="2386"/>
      <c r="EU11" s="2386"/>
      <c r="EV11" s="2386"/>
      <c r="EW11" s="2386"/>
      <c r="EX11" s="2386"/>
      <c r="EY11" s="2386"/>
      <c r="EZ11" s="2386"/>
      <c r="FA11" s="2386"/>
      <c r="FB11" s="2386"/>
      <c r="FC11" s="2386"/>
      <c r="FD11" s="2386"/>
      <c r="FE11" s="2386"/>
      <c r="FF11" s="2386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6"/>
      <c r="FH11" s="2386"/>
      <c r="FI11" s="2386"/>
      <c r="FJ11" s="2386"/>
      <c r="FK11" s="2386"/>
      <c r="FL11" s="2386"/>
      <c r="FM11" s="2386"/>
      <c r="FN11" s="2386"/>
      <c r="FO11" s="2386"/>
      <c r="FP11" s="2386"/>
      <c r="FQ11" s="2386"/>
      <c r="FR11" s="2386"/>
      <c r="FS11" s="2386"/>
      <c r="FT11" s="2386"/>
      <c r="FU11" s="2386"/>
      <c r="FV11" s="1248"/>
      <c r="FW11" s="1248"/>
      <c r="FX11" s="1248"/>
      <c r="FY11" s="1248"/>
      <c r="FZ11" s="1248"/>
      <c r="GA11" s="1248"/>
      <c r="GB11" s="1248"/>
      <c r="GC11" s="1248"/>
      <c r="GD11" s="1248"/>
      <c r="GE11" s="1248"/>
      <c r="GF11" s="1248"/>
      <c r="GG11" s="1248"/>
    </row>
    <row r="12" spans="1:200" ht="67.5" customHeight="1" x14ac:dyDescent="0.35">
      <c r="A12" s="339"/>
      <c r="B12" s="2379" t="str">
        <f>IF(Data!$GI$2&lt;&gt;"","X1: "&amp; Data!$GI$2, " ")</f>
        <v>X1: 1613 CT182 0.018"</v>
      </c>
      <c r="C12" s="2379"/>
      <c r="D12" s="2379"/>
      <c r="E12" s="2379"/>
      <c r="F12" s="2379"/>
      <c r="G12" s="2379"/>
      <c r="H12" s="2379"/>
      <c r="I12" s="2379"/>
      <c r="J12" s="2379"/>
      <c r="K12" s="2379"/>
      <c r="L12" s="2379"/>
      <c r="M12" s="2379"/>
      <c r="N12" s="2379"/>
      <c r="O12" s="2379"/>
      <c r="P12" s="2379"/>
      <c r="Q12" s="2379"/>
      <c r="R12" s="2379"/>
      <c r="S12" s="2379"/>
      <c r="T12" s="2379"/>
      <c r="U12" s="2379" t="str">
        <f>IF(Data!$GI$3&lt;&gt;"","X2: "&amp; Data!$GI$3, " ")</f>
        <v>X2: 1608 CT200 0.018"</v>
      </c>
      <c r="V12" s="2379"/>
      <c r="W12" s="2379"/>
      <c r="X12" s="2379"/>
      <c r="Y12" s="2379"/>
      <c r="Z12" s="2379"/>
      <c r="AA12" s="2379"/>
      <c r="AB12" s="2379"/>
      <c r="AC12" s="2379"/>
      <c r="AD12" s="2379"/>
      <c r="AE12" s="2379"/>
      <c r="AF12" s="2379"/>
      <c r="AG12" s="2379"/>
      <c r="AH12" s="2379"/>
      <c r="AI12" s="2379"/>
      <c r="AJ12" s="2379"/>
      <c r="AK12" s="2379"/>
      <c r="AL12" s="2379"/>
      <c r="AM12" s="2379"/>
      <c r="AN12" s="2379" t="str">
        <f>IF(Data!$GI$4&lt;&gt;"","X3: "&amp; Data!$GI$4, " ")</f>
        <v xml:space="preserve">X3: 1308 CT31 Drop in </v>
      </c>
      <c r="AO12" s="2379"/>
      <c r="AP12" s="2379"/>
      <c r="AQ12" s="2379"/>
      <c r="AR12" s="2379"/>
      <c r="AS12" s="2379"/>
      <c r="AT12" s="2379"/>
      <c r="AU12" s="2379"/>
      <c r="AV12" s="2379"/>
      <c r="AW12" s="2379"/>
      <c r="AX12" s="2379"/>
      <c r="AY12" s="2379"/>
      <c r="AZ12" s="2379"/>
      <c r="BA12" s="2379"/>
      <c r="BB12" s="2379"/>
      <c r="BC12" s="2379"/>
      <c r="BD12" s="2379"/>
      <c r="BE12" s="2379"/>
      <c r="BF12" s="2379"/>
      <c r="BG12" s="2379" t="str">
        <f>IF(Data!$GI$5&lt;&gt;"","X4: "&amp; Data!$GI$5, " ")</f>
        <v xml:space="preserve"> </v>
      </c>
      <c r="BH12" s="2379"/>
      <c r="BI12" s="2379"/>
      <c r="BJ12" s="2379"/>
      <c r="BK12" s="2379"/>
      <c r="BL12" s="2379"/>
      <c r="BM12" s="2379"/>
      <c r="BN12" s="2379"/>
      <c r="BO12" s="2379"/>
      <c r="BP12" s="2379"/>
      <c r="BQ12" s="2379"/>
      <c r="BR12" s="2379"/>
      <c r="BS12" s="2379"/>
      <c r="BT12" s="2379"/>
      <c r="BU12" s="2379"/>
      <c r="BV12" s="2379"/>
      <c r="BW12" s="2379"/>
      <c r="BX12" s="2379"/>
      <c r="BY12" s="2379"/>
      <c r="BZ12" s="2379" t="str">
        <f>IF(Data!$GI$6&lt;&gt;"","X5: "&amp; Data!$GI$6, " ")</f>
        <v xml:space="preserve"> </v>
      </c>
      <c r="CA12" s="2379"/>
      <c r="CB12" s="2379"/>
      <c r="CC12" s="2379"/>
      <c r="CD12" s="2379"/>
      <c r="CE12" s="2379"/>
      <c r="CF12" s="2379"/>
      <c r="CG12" s="2379"/>
      <c r="CH12" s="2379"/>
      <c r="CI12" s="2379"/>
      <c r="CJ12" s="2379"/>
      <c r="CK12" s="2379"/>
      <c r="CL12" s="2379"/>
      <c r="CM12" s="2379"/>
      <c r="CN12" s="2379"/>
      <c r="CO12" s="2379"/>
      <c r="CP12" s="2379"/>
      <c r="CQ12" s="2379"/>
      <c r="CR12" s="2379"/>
      <c r="CS12" s="2379" t="str">
        <f>IF(Data!$GI$7&lt;&gt;"","X6: "&amp; Data!$GI$7, " ")</f>
        <v xml:space="preserve"> </v>
      </c>
      <c r="CT12" s="2379"/>
      <c r="CU12" s="2379"/>
      <c r="CV12" s="2379"/>
      <c r="CW12" s="2379"/>
      <c r="CX12" s="2379"/>
      <c r="CY12" s="2379"/>
      <c r="CZ12" s="2379"/>
      <c r="DA12" s="2379"/>
      <c r="DB12" s="2379"/>
      <c r="DC12" s="2379"/>
      <c r="DD12" s="2379"/>
      <c r="DE12" s="2379"/>
      <c r="DF12" s="2379"/>
      <c r="DG12" s="2379"/>
      <c r="DH12" s="2379"/>
      <c r="DI12" s="2379"/>
      <c r="DJ12" s="2379"/>
      <c r="DK12" s="2379"/>
      <c r="DL12" s="2379" t="str">
        <f>IF(Data!$GI$8&lt;&gt;"","X7: "&amp; Data!$GI$8, " ")</f>
        <v xml:space="preserve"> </v>
      </c>
      <c r="DM12" s="2379"/>
      <c r="DN12" s="2379"/>
      <c r="DO12" s="2379"/>
      <c r="DP12" s="2379"/>
      <c r="DQ12" s="2379"/>
      <c r="DR12" s="2379"/>
      <c r="DS12" s="2379"/>
      <c r="DT12" s="2379"/>
      <c r="DU12" s="2379"/>
      <c r="DV12" s="2379"/>
      <c r="DW12" s="2379"/>
      <c r="DX12" s="2379"/>
      <c r="DY12" s="2379"/>
      <c r="DZ12" s="2379"/>
      <c r="EA12" s="2379"/>
      <c r="EB12" s="2379"/>
      <c r="EC12" s="2379"/>
      <c r="ED12" s="2379"/>
      <c r="EE12" s="2379" t="str">
        <f>IF(Data!$GI$9&lt;&gt;"","X8: "&amp; Data!$GI$9, " ")</f>
        <v xml:space="preserve"> </v>
      </c>
      <c r="EF12" s="2379"/>
      <c r="EG12" s="2379"/>
      <c r="EH12" s="2379"/>
      <c r="EI12" s="2379"/>
      <c r="EJ12" s="2379"/>
      <c r="EK12" s="2379"/>
      <c r="EL12" s="2379"/>
      <c r="EM12" s="2379"/>
      <c r="EN12" s="2379"/>
      <c r="EO12" s="2379"/>
      <c r="EP12" s="2379"/>
      <c r="EQ12" s="2379"/>
      <c r="ER12" s="2379"/>
      <c r="ES12" s="2379"/>
      <c r="ET12" s="2379"/>
      <c r="EU12" s="2379"/>
      <c r="EV12" s="2379"/>
      <c r="EW12" s="2379"/>
      <c r="EX12" s="2379" t="str">
        <f>IF(Data!$GI$10&lt;&gt;"","X9: "&amp; Data!$GI$10, " ")</f>
        <v xml:space="preserve"> </v>
      </c>
      <c r="EY12" s="2379"/>
      <c r="EZ12" s="2379"/>
      <c r="FA12" s="2379"/>
      <c r="FB12" s="2379"/>
      <c r="FC12" s="2379"/>
      <c r="FD12" s="2379"/>
      <c r="FE12" s="2379"/>
      <c r="FF12" s="2379"/>
      <c r="FG12" s="2379"/>
      <c r="FH12" s="2379"/>
      <c r="FI12" s="2379"/>
      <c r="FJ12" s="2379"/>
      <c r="FK12" s="2379"/>
      <c r="FL12" s="2379"/>
      <c r="FM12" s="2379"/>
      <c r="FN12" s="2379"/>
      <c r="FO12" s="2379"/>
      <c r="FP12" s="2379"/>
      <c r="FQ12" s="2379" t="str">
        <f>IF(Data!$GI$11&lt;&gt;"","X10: "&amp; Data!$GI$11, " ")</f>
        <v xml:space="preserve"> </v>
      </c>
      <c r="FR12" s="2379"/>
      <c r="FS12" s="2379"/>
      <c r="FT12" s="2379"/>
      <c r="FU12" s="2379"/>
      <c r="FV12" s="2379"/>
      <c r="FW12" s="2379"/>
      <c r="FX12" s="2379"/>
      <c r="FY12" s="2379"/>
      <c r="FZ12" s="2379"/>
      <c r="GA12" s="2379"/>
      <c r="GB12" s="2379"/>
      <c r="GC12" s="2379"/>
      <c r="GD12" s="2379"/>
      <c r="GE12" s="2379"/>
      <c r="GF12" s="2379"/>
      <c r="GG12" s="2379"/>
      <c r="GH12" s="159"/>
    </row>
    <row r="13" spans="1:200" ht="30" customHeight="1" x14ac:dyDescent="0.35">
      <c r="A13" s="340"/>
      <c r="B13" s="2382"/>
      <c r="C13" s="2382"/>
      <c r="D13" s="2382"/>
      <c r="E13" s="2382"/>
      <c r="F13" s="2382"/>
      <c r="G13" s="2382"/>
      <c r="H13" s="2382"/>
      <c r="I13" s="2382"/>
      <c r="J13" s="2382"/>
      <c r="K13" s="2382"/>
      <c r="L13" s="2382"/>
      <c r="M13" s="2382"/>
      <c r="N13" s="2382"/>
      <c r="O13" s="2382"/>
      <c r="P13" s="2382"/>
      <c r="Q13" s="2382"/>
      <c r="R13" s="2385" t="str">
        <f>IF(Data!$B$1&lt;&gt;"", Data!$B$1, " ")</f>
        <v>2025-AR-109</v>
      </c>
      <c r="S13" s="2385"/>
      <c r="T13" s="2385"/>
      <c r="U13" s="2385"/>
      <c r="V13" s="2385"/>
      <c r="W13" s="2385"/>
      <c r="X13" s="2385"/>
      <c r="Y13" s="2385"/>
      <c r="Z13" s="2385"/>
      <c r="AA13" s="2385"/>
      <c r="AB13" s="2385"/>
      <c r="AC13" s="2385"/>
      <c r="AD13" s="2385"/>
      <c r="AE13" s="2385"/>
      <c r="AF13" s="2385"/>
      <c r="AG13" s="2385"/>
      <c r="AH13" s="2385"/>
      <c r="AI13" s="2385"/>
      <c r="AJ13" s="2385"/>
      <c r="AK13" s="2385"/>
      <c r="AL13" s="2385"/>
      <c r="AM13" s="2385"/>
      <c r="AN13" s="2385"/>
      <c r="AO13" s="2385"/>
      <c r="AP13" s="2385"/>
      <c r="AQ13" s="2385"/>
      <c r="AR13" s="2385"/>
      <c r="AS13" s="2385"/>
      <c r="AT13" s="2385"/>
      <c r="AU13" s="2385"/>
      <c r="AV13" s="2385"/>
      <c r="AW13" s="2385"/>
      <c r="AX13" s="2385"/>
      <c r="AY13" s="2385"/>
      <c r="AZ13" s="2385"/>
      <c r="BA13" s="2385"/>
      <c r="BB13" s="2385"/>
      <c r="BC13" s="2385"/>
      <c r="BD13" s="2385"/>
      <c r="BE13" s="2385"/>
      <c r="BF13" s="2385"/>
      <c r="BG13" s="2385"/>
      <c r="BH13" s="2385"/>
      <c r="BI13" s="2385">
        <f>IF(Data!$B$2&lt;&gt;"", Data!$B$2, " ")</f>
        <v>13845937</v>
      </c>
      <c r="BJ13" s="2385"/>
      <c r="BK13" s="2385"/>
      <c r="BL13" s="2385"/>
      <c r="BM13" s="2385"/>
      <c r="BN13" s="2385"/>
      <c r="BO13" s="2385"/>
      <c r="BP13" s="2385"/>
      <c r="BQ13" s="2385"/>
      <c r="BR13" s="2385"/>
      <c r="BS13" s="2385"/>
      <c r="BT13" s="2385"/>
      <c r="BU13" s="2385"/>
      <c r="BV13" s="2385"/>
      <c r="BW13" s="2385"/>
      <c r="BX13" s="2385"/>
      <c r="BY13" s="2385"/>
      <c r="BZ13" s="2385"/>
      <c r="CA13" s="2385"/>
      <c r="CB13" s="2385"/>
      <c r="CC13" s="2385"/>
      <c r="CD13" s="2385"/>
      <c r="CE13" s="2385"/>
      <c r="CF13" s="2385"/>
      <c r="CG13" s="2385"/>
      <c r="CH13" s="2385"/>
      <c r="CI13" s="2385"/>
      <c r="CJ13" s="2385"/>
      <c r="CK13" s="2385"/>
      <c r="CL13" s="2385"/>
      <c r="CM13" s="2385"/>
      <c r="CN13" s="2385"/>
      <c r="CO13" s="2385"/>
      <c r="CP13" s="2385"/>
      <c r="CQ13" s="2385"/>
      <c r="CR13" s="2385"/>
      <c r="CS13" s="2385"/>
      <c r="CT13" s="2385"/>
      <c r="CU13" s="2385"/>
      <c r="CV13" s="2385"/>
      <c r="CW13" s="2385"/>
      <c r="CX13" s="2385"/>
      <c r="CY13" s="2385"/>
      <c r="CZ13" s="2385"/>
      <c r="DA13" s="2385"/>
      <c r="DB13" s="2385"/>
      <c r="DC13" s="2385"/>
      <c r="DD13" s="2385"/>
      <c r="DE13" s="2385"/>
      <c r="DF13" s="2385"/>
      <c r="DG13" s="2385"/>
      <c r="DH13" s="2385"/>
      <c r="DI13" s="2385"/>
      <c r="DJ13" s="2385" t="str">
        <f>IF(Data!$B$4&lt;&gt;"",Data!$B$4," ")</f>
        <v>MM65DH-1</v>
      </c>
      <c r="DK13" s="2385"/>
      <c r="DL13" s="2385"/>
      <c r="DM13" s="2385"/>
      <c r="DN13" s="2385"/>
      <c r="DO13" s="2385"/>
      <c r="DP13" s="2385"/>
      <c r="DQ13" s="2385"/>
      <c r="DR13" s="2385"/>
      <c r="DS13" s="2385"/>
      <c r="DT13" s="2385"/>
      <c r="DU13" s="2385"/>
      <c r="DV13" s="2385"/>
      <c r="DW13" s="2385"/>
      <c r="DX13" s="2385"/>
      <c r="DY13" s="2385"/>
      <c r="DZ13" s="2385"/>
      <c r="EA13" s="2385"/>
      <c r="EB13" s="2385"/>
      <c r="EC13" s="2385"/>
      <c r="ED13" s="2385"/>
      <c r="EE13" s="2385"/>
      <c r="EF13" s="2385"/>
      <c r="EG13" s="2385"/>
      <c r="EH13" s="2385"/>
      <c r="EI13" s="2385"/>
      <c r="EJ13" s="2385"/>
      <c r="EK13" s="2385"/>
      <c r="EL13" s="2385"/>
      <c r="EM13" s="2385"/>
      <c r="EN13" s="2385"/>
      <c r="EO13" s="2385"/>
      <c r="EP13" s="2385" t="str">
        <f>IF(LEN(Data!B3)&gt;3,IF(AND(Data!B43&lt;&gt;"",Data!B43&lt;&gt;"0 0/1"""),Data!B43,""),IF(Data!B3&lt;&gt;"",Data!B3,""))</f>
        <v>8 3/8"</v>
      </c>
      <c r="EQ13" s="2385"/>
      <c r="ER13" s="2385"/>
      <c r="ES13" s="2385"/>
      <c r="ET13" s="2385"/>
      <c r="EU13" s="2385"/>
      <c r="EV13" s="2385"/>
      <c r="EW13" s="2385"/>
      <c r="EX13" s="2385"/>
      <c r="EY13" s="2385"/>
      <c r="EZ13" s="2385"/>
      <c r="FA13" s="2385"/>
      <c r="FB13" s="2385"/>
      <c r="FC13" s="2385"/>
      <c r="FD13" s="2385"/>
      <c r="FE13" s="2385"/>
      <c r="FF13" s="2385"/>
      <c r="FG13" s="2385"/>
      <c r="FH13" s="2385"/>
      <c r="FI13" s="2385"/>
      <c r="FJ13" s="2385"/>
      <c r="FK13" s="2385"/>
      <c r="FL13" s="2385"/>
      <c r="FM13" s="2385"/>
      <c r="FN13" s="2385"/>
      <c r="FO13" s="2385"/>
      <c r="FP13" s="2385"/>
      <c r="FQ13" s="2385"/>
      <c r="FR13" s="2385"/>
      <c r="FS13" s="2385"/>
      <c r="FT13" s="2385"/>
      <c r="FU13" s="2385"/>
      <c r="FV13" s="2382"/>
      <c r="FW13" s="2382"/>
      <c r="FX13" s="2382"/>
      <c r="FY13" s="2382"/>
      <c r="FZ13" s="2382"/>
      <c r="GA13" s="2382"/>
      <c r="GB13" s="2382"/>
      <c r="GC13" s="2382"/>
      <c r="GD13" s="2382"/>
      <c r="GE13" s="2382"/>
      <c r="GF13" s="2382"/>
      <c r="GG13" s="2382"/>
    </row>
    <row r="14" spans="1:200" ht="32.25" customHeight="1" x14ac:dyDescent="0.35">
      <c r="B14" s="2380">
        <f>IF(Data!$BR$44&lt;&gt;"",Data!$BR$44, "")</f>
        <v>1</v>
      </c>
      <c r="C14" s="2380"/>
      <c r="D14" s="2380"/>
      <c r="E14" s="2380"/>
      <c r="F14" s="2380"/>
      <c r="G14" s="2380"/>
      <c r="H14" s="2380"/>
      <c r="I14" s="2380"/>
      <c r="J14" s="2380">
        <f>IF(Data!$BS$44&lt;&gt;"",Data!$BS$44, "")</f>
        <v>2</v>
      </c>
      <c r="K14" s="2380"/>
      <c r="L14" s="2380"/>
      <c r="M14" s="2380"/>
      <c r="N14" s="2380"/>
      <c r="O14" s="2380"/>
      <c r="P14" s="2380"/>
      <c r="Q14" s="2380"/>
      <c r="R14" s="2380">
        <f>IF(Data!$BT$44&lt;&gt;"", Data!$BT$44, "")</f>
        <v>3</v>
      </c>
      <c r="S14" s="2380"/>
      <c r="T14" s="2380"/>
      <c r="U14" s="2380"/>
      <c r="V14" s="2380"/>
      <c r="W14" s="2380"/>
      <c r="X14" s="2380"/>
      <c r="Y14" s="2380"/>
      <c r="Z14" s="2380">
        <f>IF(Data!$BU$44&lt;&gt;"", Data!$BU$44, "")</f>
        <v>4</v>
      </c>
      <c r="AA14" s="2380"/>
      <c r="AB14" s="2380"/>
      <c r="AC14" s="2380"/>
      <c r="AD14" s="2380"/>
      <c r="AE14" s="2380"/>
      <c r="AF14" s="2380"/>
      <c r="AG14" s="2380"/>
      <c r="AH14" s="2380">
        <f>IF(Data!$BV$44&lt;&gt;"",Data!$BV$44, "")</f>
        <v>5</v>
      </c>
      <c r="AI14" s="2380"/>
      <c r="AJ14" s="2380"/>
      <c r="AK14" s="2380"/>
      <c r="AL14" s="2380"/>
      <c r="AM14" s="2380"/>
      <c r="AN14" s="2380"/>
      <c r="AO14" s="2380"/>
      <c r="AP14" s="2380">
        <f>IF(Data!$BW$44&lt;&gt;"",Data!$BW$44, "")</f>
        <v>6</v>
      </c>
      <c r="AQ14" s="2380"/>
      <c r="AR14" s="2380"/>
      <c r="AS14" s="2380"/>
      <c r="AT14" s="2380"/>
      <c r="AU14" s="2380"/>
      <c r="AV14" s="2380"/>
      <c r="AW14" s="2380"/>
      <c r="AX14" s="2380">
        <f>IF(Data!$BX$44&lt;&gt;"", Data!$BX$44, "")</f>
        <v>7</v>
      </c>
      <c r="AY14" s="2380"/>
      <c r="AZ14" s="2380"/>
      <c r="BA14" s="2380"/>
      <c r="BB14" s="2380"/>
      <c r="BC14" s="2380"/>
      <c r="BD14" s="2380"/>
      <c r="BE14" s="2380"/>
      <c r="BF14" s="2380">
        <f>IF(Data!$BY$44&lt;&gt;"", Data!$BY$44, "")</f>
        <v>8</v>
      </c>
      <c r="BG14" s="2380"/>
      <c r="BH14" s="2380"/>
      <c r="BI14" s="2380"/>
      <c r="BJ14" s="2380"/>
      <c r="BK14" s="2380"/>
      <c r="BL14" s="2380"/>
      <c r="BM14" s="2380"/>
      <c r="BN14" s="2380">
        <f>IF(Data!$BZ$44&lt;&gt;"", Data!$BZ$44, "")</f>
        <v>0</v>
      </c>
      <c r="BO14" s="2380"/>
      <c r="BP14" s="2380"/>
      <c r="BQ14" s="2380"/>
      <c r="BR14" s="2380"/>
      <c r="BS14" s="2380"/>
      <c r="BT14" s="2380"/>
      <c r="BU14" s="2380"/>
      <c r="BV14" s="2380">
        <f>IF(Data!$CA$44&lt;&gt;"", Data!$CA$44, "")</f>
        <v>9</v>
      </c>
      <c r="BW14" s="2380"/>
      <c r="BX14" s="2380"/>
      <c r="BY14" s="2380"/>
      <c r="BZ14" s="2380"/>
      <c r="CA14" s="2380"/>
      <c r="CB14" s="2380"/>
      <c r="CC14" s="2380"/>
      <c r="CD14" s="2380">
        <f>IF(Data!$CB$44&lt;&gt;"", Data!$CB$44, "")</f>
        <v>10</v>
      </c>
      <c r="CE14" s="2380"/>
      <c r="CF14" s="2380"/>
      <c r="CG14" s="2380"/>
      <c r="CH14" s="2380"/>
      <c r="CI14" s="2380"/>
      <c r="CJ14" s="2380"/>
      <c r="CK14" s="2380"/>
      <c r="CL14" s="2380">
        <f>IF(Data!$CC$44&lt;&gt;"", Data!$CC$44, "")</f>
        <v>11</v>
      </c>
      <c r="CM14" s="2380"/>
      <c r="CN14" s="2380"/>
      <c r="CO14" s="2380"/>
      <c r="CP14" s="2380"/>
      <c r="CQ14" s="2380"/>
      <c r="CR14" s="2380"/>
      <c r="CS14" s="2380"/>
      <c r="CT14" s="2380">
        <f>IF(Data!$CD$44&lt;&gt;"",Data!$CD$44, "")</f>
        <v>12</v>
      </c>
      <c r="CU14" s="2380"/>
      <c r="CV14" s="2380"/>
      <c r="CW14" s="2380"/>
      <c r="CX14" s="2380"/>
      <c r="CY14" s="2380"/>
      <c r="CZ14" s="2380"/>
      <c r="DA14" s="2380"/>
      <c r="DB14" s="2380">
        <f>IF(Data!$CE$44&lt;&gt;"",Data!$CE$44, "")</f>
        <v>0</v>
      </c>
      <c r="DC14" s="2380"/>
      <c r="DD14" s="2380"/>
      <c r="DE14" s="2380"/>
      <c r="DF14" s="2380"/>
      <c r="DG14" s="2380"/>
      <c r="DH14" s="2380"/>
      <c r="DI14" s="2380"/>
      <c r="DJ14" s="2380">
        <f>IF(Data!$CF$44&lt;&gt;"",Data!$CF$44, "")</f>
        <v>0</v>
      </c>
      <c r="DK14" s="2380"/>
      <c r="DL14" s="2380"/>
      <c r="DM14" s="2380"/>
      <c r="DN14" s="2380"/>
      <c r="DO14" s="2380"/>
      <c r="DP14" s="2380"/>
      <c r="DQ14" s="2380"/>
      <c r="DR14" s="2380">
        <f>IF(Data!$CG$44&lt;&gt;"",Data!$CG$44, "")</f>
        <v>0</v>
      </c>
      <c r="DS14" s="2380"/>
      <c r="DT14" s="2380"/>
      <c r="DU14" s="2380"/>
      <c r="DV14" s="2380"/>
      <c r="DW14" s="2380"/>
      <c r="DX14" s="2380"/>
      <c r="DY14" s="2380"/>
      <c r="DZ14" s="2380">
        <f>IF(Data!$CH$44&lt;&gt;"",Data!$CH$44, "")</f>
        <v>0</v>
      </c>
      <c r="EA14" s="2380"/>
      <c r="EB14" s="2380"/>
      <c r="EC14" s="2380"/>
      <c r="ED14" s="2380"/>
      <c r="EE14" s="2380"/>
      <c r="EF14" s="2380"/>
      <c r="EG14" s="2380"/>
      <c r="EH14" s="2380">
        <f>IF(Data!$C$48&lt;&gt;"",Data!$CI$44, "")</f>
        <v>0</v>
      </c>
      <c r="EI14" s="2380"/>
      <c r="EJ14" s="2380"/>
      <c r="EK14" s="2380"/>
      <c r="EL14" s="2380"/>
      <c r="EM14" s="2380"/>
      <c r="EN14" s="2380"/>
      <c r="EO14" s="2380"/>
      <c r="EP14" s="2380">
        <f>IF(Data!$CJ$44&lt;&gt;"",Data!$CJ$44, "")</f>
        <v>0</v>
      </c>
      <c r="EQ14" s="2380"/>
      <c r="ER14" s="2380"/>
      <c r="ES14" s="2380"/>
      <c r="ET14" s="2380"/>
      <c r="EU14" s="2380"/>
      <c r="EV14" s="2380"/>
      <c r="EW14" s="2380"/>
      <c r="EX14" s="2380">
        <f>IF(Data!$CK$44&lt;&gt;"",Data!$CK$44, "")</f>
        <v>0</v>
      </c>
      <c r="EY14" s="2380"/>
      <c r="EZ14" s="2380"/>
      <c r="FA14" s="2380"/>
      <c r="FB14" s="2380"/>
      <c r="FC14" s="2380"/>
      <c r="FD14" s="2380"/>
      <c r="FE14" s="2380"/>
      <c r="FF14" s="2380">
        <f>IF(Data!$CL$44&lt;&gt;"",Data!$CL$44, "")</f>
        <v>0</v>
      </c>
      <c r="FG14" s="2380"/>
      <c r="FH14" s="2380"/>
      <c r="FI14" s="2380"/>
      <c r="FJ14" s="2380"/>
      <c r="FK14" s="2380"/>
      <c r="FL14" s="2380"/>
      <c r="FM14" s="2380"/>
      <c r="FN14" s="2380">
        <f>IF(Data!$CM$44&lt;&gt;"",Data!$CM$44, "")</f>
        <v>0</v>
      </c>
      <c r="FO14" s="2380"/>
      <c r="FP14" s="2380"/>
      <c r="FQ14" s="2380"/>
      <c r="FR14" s="2380"/>
      <c r="FS14" s="2380"/>
      <c r="FT14" s="2380"/>
      <c r="FU14" s="2380"/>
      <c r="FV14" s="2380">
        <f>IF(Data!$CN$44&lt;&gt;"",Data!$CN$44, "")</f>
        <v>0</v>
      </c>
      <c r="FW14" s="2380"/>
      <c r="FX14" s="2380"/>
      <c r="FY14" s="2380"/>
      <c r="FZ14" s="2380"/>
      <c r="GA14" s="2380"/>
      <c r="GB14" s="2380"/>
      <c r="GC14" s="2380"/>
      <c r="GD14" s="2382"/>
      <c r="GE14" s="2382"/>
      <c r="GF14" s="2382"/>
      <c r="GG14" s="2382"/>
    </row>
    <row r="15" spans="1:200" ht="44.25" customHeight="1" x14ac:dyDescent="0.55000000000000004">
      <c r="A15" s="338">
        <v>1</v>
      </c>
      <c r="B15" s="2381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S</v>
      </c>
      <c r="C15" s="2381"/>
      <c r="D15" s="2381"/>
      <c r="E15" s="2381"/>
      <c r="F15" s="2381"/>
      <c r="G15" s="2381"/>
      <c r="H15" s="2381"/>
      <c r="I15" s="2381"/>
      <c r="J15" s="2381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S</v>
      </c>
      <c r="K15" s="2381"/>
      <c r="L15" s="2381"/>
      <c r="M15" s="2381"/>
      <c r="N15" s="2381"/>
      <c r="O15" s="2381"/>
      <c r="P15" s="2381"/>
      <c r="Q15" s="2381"/>
      <c r="R15" s="2381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S</v>
      </c>
      <c r="S15" s="2381"/>
      <c r="T15" s="2381"/>
      <c r="U15" s="2381"/>
      <c r="V15" s="2381"/>
      <c r="W15" s="2381"/>
      <c r="X15" s="2381"/>
      <c r="Y15" s="2381"/>
      <c r="Z15" s="2381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S</v>
      </c>
      <c r="AA15" s="2381"/>
      <c r="AB15" s="2381"/>
      <c r="AC15" s="2381"/>
      <c r="AD15" s="2381"/>
      <c r="AE15" s="2381"/>
      <c r="AF15" s="2381"/>
      <c r="AG15" s="2381"/>
      <c r="AH15" s="2381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S</v>
      </c>
      <c r="AI15" s="2381"/>
      <c r="AJ15" s="2381"/>
      <c r="AK15" s="2381"/>
      <c r="AL15" s="2381"/>
      <c r="AM15" s="2381"/>
      <c r="AN15" s="2381"/>
      <c r="AO15" s="2381"/>
      <c r="AP15" s="2381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X1</v>
      </c>
      <c r="AQ15" s="2381"/>
      <c r="AR15" s="2381"/>
      <c r="AS15" s="2381"/>
      <c r="AT15" s="2381"/>
      <c r="AU15" s="2381"/>
      <c r="AV15" s="2381"/>
      <c r="AW15" s="2381"/>
      <c r="AX15" s="2381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Y15" s="2381"/>
      <c r="AZ15" s="2381"/>
      <c r="BA15" s="2381"/>
      <c r="BB15" s="2381"/>
      <c r="BC15" s="2381"/>
      <c r="BD15" s="2381"/>
      <c r="BE15" s="2381"/>
      <c r="BF15" s="2381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BG15" s="2381"/>
      <c r="BH15" s="2381"/>
      <c r="BI15" s="2381"/>
      <c r="BJ15" s="2381"/>
      <c r="BK15" s="2381"/>
      <c r="BL15" s="2381"/>
      <c r="BM15" s="2381"/>
      <c r="BN15" s="2381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BO15" s="2381"/>
      <c r="BP15" s="2381"/>
      <c r="BQ15" s="2381"/>
      <c r="BR15" s="2381"/>
      <c r="BS15" s="2381"/>
      <c r="BT15" s="2381"/>
      <c r="BU15" s="2381"/>
      <c r="BV15" s="2381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BW15" s="2381"/>
      <c r="BX15" s="2381"/>
      <c r="BY15" s="2381"/>
      <c r="BZ15" s="2381"/>
      <c r="CA15" s="2381"/>
      <c r="CB15" s="2381"/>
      <c r="CC15" s="2381"/>
      <c r="CD15" s="2381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S</v>
      </c>
      <c r="CE15" s="2381"/>
      <c r="CF15" s="2381"/>
      <c r="CG15" s="2381"/>
      <c r="CH15" s="2381"/>
      <c r="CI15" s="2381"/>
      <c r="CJ15" s="2381"/>
      <c r="CK15" s="2381"/>
      <c r="CL15" s="2381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X2</v>
      </c>
      <c r="CM15" s="2381"/>
      <c r="CN15" s="2381"/>
      <c r="CO15" s="2381"/>
      <c r="CP15" s="2381"/>
      <c r="CQ15" s="2381"/>
      <c r="CR15" s="2381"/>
      <c r="CS15" s="2381"/>
      <c r="CT15" s="2381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X2</v>
      </c>
      <c r="CU15" s="2381"/>
      <c r="CV15" s="2381"/>
      <c r="CW15" s="2381"/>
      <c r="CX15" s="2381"/>
      <c r="CY15" s="2381"/>
      <c r="CZ15" s="2381"/>
      <c r="DA15" s="2381"/>
      <c r="DB15" s="2381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DC15" s="2381"/>
      <c r="DD15" s="2381"/>
      <c r="DE15" s="2381"/>
      <c r="DF15" s="2381"/>
      <c r="DG15" s="2381"/>
      <c r="DH15" s="2381"/>
      <c r="DI15" s="2381"/>
      <c r="DJ15" s="2381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DK15" s="2381"/>
      <c r="DL15" s="2381"/>
      <c r="DM15" s="2381"/>
      <c r="DN15" s="2381"/>
      <c r="DO15" s="2381"/>
      <c r="DP15" s="2381"/>
      <c r="DQ15" s="2381"/>
      <c r="DR15" s="2381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DS15" s="2381"/>
      <c r="DT15" s="2381"/>
      <c r="DU15" s="2381"/>
      <c r="DV15" s="2381"/>
      <c r="DW15" s="2381"/>
      <c r="DX15" s="2381"/>
      <c r="DY15" s="2381"/>
      <c r="DZ15" s="2381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EA15" s="2381"/>
      <c r="EB15" s="2381"/>
      <c r="EC15" s="2381"/>
      <c r="ED15" s="2381"/>
      <c r="EE15" s="2381"/>
      <c r="EF15" s="2381"/>
      <c r="EG15" s="2381"/>
      <c r="EH15" s="2381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EI15" s="2381"/>
      <c r="EJ15" s="2381"/>
      <c r="EK15" s="2381"/>
      <c r="EL15" s="2381"/>
      <c r="EM15" s="2381"/>
      <c r="EN15" s="2381"/>
      <c r="EO15" s="2381"/>
      <c r="EP15" s="2381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EQ15" s="2381"/>
      <c r="ER15" s="2381"/>
      <c r="ES15" s="2381"/>
      <c r="ET15" s="2381"/>
      <c r="EU15" s="2381"/>
      <c r="EV15" s="2381"/>
      <c r="EW15" s="2381"/>
      <c r="EX15" s="2381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EY15" s="2381"/>
      <c r="EZ15" s="2381"/>
      <c r="FA15" s="2381"/>
      <c r="FB15" s="2381"/>
      <c r="FC15" s="2381"/>
      <c r="FD15" s="2381"/>
      <c r="FE15" s="2381"/>
      <c r="FF15" s="2381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FG15" s="2381"/>
      <c r="FH15" s="2381"/>
      <c r="FI15" s="2381"/>
      <c r="FJ15" s="2381"/>
      <c r="FK15" s="2381"/>
      <c r="FL15" s="2381"/>
      <c r="FM15" s="2381"/>
      <c r="FN15" s="2381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FO15" s="2381"/>
      <c r="FP15" s="2381"/>
      <c r="FQ15" s="2381"/>
      <c r="FR15" s="2381"/>
      <c r="FS15" s="2381"/>
      <c r="FT15" s="2381"/>
      <c r="FU15" s="2381"/>
      <c r="FV15" s="2381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FW15" s="2381"/>
      <c r="FX15" s="2381"/>
      <c r="FY15" s="2381"/>
      <c r="FZ15" s="2381"/>
      <c r="GA15" s="2381"/>
      <c r="GB15" s="2381"/>
      <c r="GC15" s="2381"/>
      <c r="GD15" s="2382"/>
      <c r="GE15" s="2382"/>
      <c r="GF15" s="2382"/>
      <c r="GG15" s="2382"/>
    </row>
    <row r="16" spans="1:200" ht="44.25" customHeight="1" x14ac:dyDescent="0.55000000000000004">
      <c r="A16" s="338">
        <v>2</v>
      </c>
      <c r="B16" s="2381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S</v>
      </c>
      <c r="C16" s="2381"/>
      <c r="D16" s="2381"/>
      <c r="E16" s="2381"/>
      <c r="F16" s="2381"/>
      <c r="G16" s="2381"/>
      <c r="H16" s="2381"/>
      <c r="I16" s="2381"/>
      <c r="J16" s="2381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S</v>
      </c>
      <c r="K16" s="2381"/>
      <c r="L16" s="2381"/>
      <c r="M16" s="2381"/>
      <c r="N16" s="2381"/>
      <c r="O16" s="2381"/>
      <c r="P16" s="2381"/>
      <c r="Q16" s="2381"/>
      <c r="R16" s="2381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X1</v>
      </c>
      <c r="S16" s="2381"/>
      <c r="T16" s="2381"/>
      <c r="U16" s="2381"/>
      <c r="V16" s="2381"/>
      <c r="W16" s="2381"/>
      <c r="X16" s="2381"/>
      <c r="Y16" s="2381"/>
      <c r="Z16" s="2381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A16" s="2381"/>
      <c r="AB16" s="2381"/>
      <c r="AC16" s="2381"/>
      <c r="AD16" s="2381"/>
      <c r="AE16" s="2381"/>
      <c r="AF16" s="2381"/>
      <c r="AG16" s="2381"/>
      <c r="AH16" s="2381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I16" s="2381"/>
      <c r="AJ16" s="2381"/>
      <c r="AK16" s="2381"/>
      <c r="AL16" s="2381"/>
      <c r="AM16" s="2381"/>
      <c r="AN16" s="2381"/>
      <c r="AO16" s="2381"/>
      <c r="AP16" s="2381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Q16" s="2381"/>
      <c r="AR16" s="2381"/>
      <c r="AS16" s="2381"/>
      <c r="AT16" s="2381"/>
      <c r="AU16" s="2381"/>
      <c r="AV16" s="2381"/>
      <c r="AW16" s="2381"/>
      <c r="AX16" s="2381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Y16" s="2381"/>
      <c r="AZ16" s="2381"/>
      <c r="BA16" s="2381"/>
      <c r="BB16" s="2381"/>
      <c r="BC16" s="2381"/>
      <c r="BD16" s="2381"/>
      <c r="BE16" s="2381"/>
      <c r="BF16" s="2381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BG16" s="2381"/>
      <c r="BH16" s="2381"/>
      <c r="BI16" s="2381"/>
      <c r="BJ16" s="2381"/>
      <c r="BK16" s="2381"/>
      <c r="BL16" s="2381"/>
      <c r="BM16" s="2381"/>
      <c r="BN16" s="2381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BO16" s="2381"/>
      <c r="BP16" s="2381"/>
      <c r="BQ16" s="2381"/>
      <c r="BR16" s="2381"/>
      <c r="BS16" s="2381"/>
      <c r="BT16" s="2381"/>
      <c r="BU16" s="2381"/>
      <c r="BV16" s="2381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S</v>
      </c>
      <c r="BW16" s="2381"/>
      <c r="BX16" s="2381"/>
      <c r="BY16" s="2381"/>
      <c r="BZ16" s="2381"/>
      <c r="CA16" s="2381"/>
      <c r="CB16" s="2381"/>
      <c r="CC16" s="2381"/>
      <c r="CD16" s="2381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S</v>
      </c>
      <c r="CE16" s="2381"/>
      <c r="CF16" s="2381"/>
      <c r="CG16" s="2381"/>
      <c r="CH16" s="2381"/>
      <c r="CI16" s="2381"/>
      <c r="CJ16" s="2381"/>
      <c r="CK16" s="2381"/>
      <c r="CL16" s="2381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>S</v>
      </c>
      <c r="CM16" s="2381"/>
      <c r="CN16" s="2381"/>
      <c r="CO16" s="2381"/>
      <c r="CP16" s="2381"/>
      <c r="CQ16" s="2381"/>
      <c r="CR16" s="2381"/>
      <c r="CS16" s="2381"/>
      <c r="CT16" s="2381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>R</v>
      </c>
      <c r="CU16" s="2381"/>
      <c r="CV16" s="2381"/>
      <c r="CW16" s="2381"/>
      <c r="CX16" s="2381"/>
      <c r="CY16" s="2381"/>
      <c r="CZ16" s="2381"/>
      <c r="DA16" s="2381"/>
      <c r="DB16" s="2381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DC16" s="2381"/>
      <c r="DD16" s="2381"/>
      <c r="DE16" s="2381"/>
      <c r="DF16" s="2381"/>
      <c r="DG16" s="2381"/>
      <c r="DH16" s="2381"/>
      <c r="DI16" s="2381"/>
      <c r="DJ16" s="2381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DK16" s="2381"/>
      <c r="DL16" s="2381"/>
      <c r="DM16" s="2381"/>
      <c r="DN16" s="2381"/>
      <c r="DO16" s="2381"/>
      <c r="DP16" s="2381"/>
      <c r="DQ16" s="2381"/>
      <c r="DR16" s="2381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DS16" s="2381"/>
      <c r="DT16" s="2381"/>
      <c r="DU16" s="2381"/>
      <c r="DV16" s="2381"/>
      <c r="DW16" s="2381"/>
      <c r="DX16" s="2381"/>
      <c r="DY16" s="2381"/>
      <c r="DZ16" s="2381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EA16" s="2381"/>
      <c r="EB16" s="2381"/>
      <c r="EC16" s="2381"/>
      <c r="ED16" s="2381"/>
      <c r="EE16" s="2381"/>
      <c r="EF16" s="2381"/>
      <c r="EG16" s="2381"/>
      <c r="EH16" s="2381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EI16" s="2381"/>
      <c r="EJ16" s="2381"/>
      <c r="EK16" s="2381"/>
      <c r="EL16" s="2381"/>
      <c r="EM16" s="2381"/>
      <c r="EN16" s="2381"/>
      <c r="EO16" s="2381"/>
      <c r="EP16" s="2381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EQ16" s="2381"/>
      <c r="ER16" s="2381"/>
      <c r="ES16" s="2381"/>
      <c r="ET16" s="2381"/>
      <c r="EU16" s="2381"/>
      <c r="EV16" s="2381"/>
      <c r="EW16" s="2381"/>
      <c r="EX16" s="2381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EY16" s="2381"/>
      <c r="EZ16" s="2381"/>
      <c r="FA16" s="2381"/>
      <c r="FB16" s="2381"/>
      <c r="FC16" s="2381"/>
      <c r="FD16" s="2381"/>
      <c r="FE16" s="2381"/>
      <c r="FF16" s="2381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FG16" s="2381"/>
      <c r="FH16" s="2381"/>
      <c r="FI16" s="2381"/>
      <c r="FJ16" s="2381"/>
      <c r="FK16" s="2381"/>
      <c r="FL16" s="2381"/>
      <c r="FM16" s="2381"/>
      <c r="FN16" s="2381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FO16" s="2381"/>
      <c r="FP16" s="2381"/>
      <c r="FQ16" s="2381"/>
      <c r="FR16" s="2381"/>
      <c r="FS16" s="2381"/>
      <c r="FT16" s="2381"/>
      <c r="FU16" s="2381"/>
      <c r="FV16" s="2381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FW16" s="2381"/>
      <c r="FX16" s="2381"/>
      <c r="FY16" s="2381"/>
      <c r="FZ16" s="2381"/>
      <c r="GA16" s="2381"/>
      <c r="GB16" s="2381"/>
      <c r="GC16" s="2381"/>
      <c r="GD16" s="2382"/>
      <c r="GE16" s="2382"/>
      <c r="GF16" s="2382"/>
      <c r="GG16" s="2382"/>
    </row>
    <row r="17" spans="1:235" ht="44.25" customHeight="1" x14ac:dyDescent="0.55000000000000004">
      <c r="A17" s="338">
        <v>3</v>
      </c>
      <c r="B17" s="2381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S</v>
      </c>
      <c r="C17" s="2381"/>
      <c r="D17" s="2381"/>
      <c r="E17" s="2381"/>
      <c r="F17" s="2381"/>
      <c r="G17" s="2381"/>
      <c r="H17" s="2381"/>
      <c r="I17" s="2381"/>
      <c r="J17" s="2381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S</v>
      </c>
      <c r="K17" s="2381"/>
      <c r="L17" s="2381"/>
      <c r="M17" s="2381"/>
      <c r="N17" s="2381"/>
      <c r="O17" s="2381"/>
      <c r="P17" s="2381"/>
      <c r="Q17" s="2381"/>
      <c r="R17" s="2381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S</v>
      </c>
      <c r="S17" s="2381"/>
      <c r="T17" s="2381"/>
      <c r="U17" s="2381"/>
      <c r="V17" s="2381"/>
      <c r="W17" s="2381"/>
      <c r="X17" s="2381"/>
      <c r="Y17" s="2381"/>
      <c r="Z17" s="2381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S</v>
      </c>
      <c r="AA17" s="2381"/>
      <c r="AB17" s="2381"/>
      <c r="AC17" s="2381"/>
      <c r="AD17" s="2381"/>
      <c r="AE17" s="2381"/>
      <c r="AF17" s="2381"/>
      <c r="AG17" s="2381"/>
      <c r="AH17" s="2381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X1</v>
      </c>
      <c r="AI17" s="2381"/>
      <c r="AJ17" s="2381"/>
      <c r="AK17" s="2381"/>
      <c r="AL17" s="2381"/>
      <c r="AM17" s="2381"/>
      <c r="AN17" s="2381"/>
      <c r="AO17" s="2381"/>
      <c r="AP17" s="2381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AQ17" s="2381"/>
      <c r="AR17" s="2381"/>
      <c r="AS17" s="2381"/>
      <c r="AT17" s="2381"/>
      <c r="AU17" s="2381"/>
      <c r="AV17" s="2381"/>
      <c r="AW17" s="2381"/>
      <c r="AX17" s="2381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Y17" s="2381"/>
      <c r="AZ17" s="2381"/>
      <c r="BA17" s="2381"/>
      <c r="BB17" s="2381"/>
      <c r="BC17" s="2381"/>
      <c r="BD17" s="2381"/>
      <c r="BE17" s="2381"/>
      <c r="BF17" s="2381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BG17" s="2381"/>
      <c r="BH17" s="2381"/>
      <c r="BI17" s="2381"/>
      <c r="BJ17" s="2381"/>
      <c r="BK17" s="2381"/>
      <c r="BL17" s="2381"/>
      <c r="BM17" s="2381"/>
      <c r="BN17" s="2381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BO17" s="2381"/>
      <c r="BP17" s="2381"/>
      <c r="BQ17" s="2381"/>
      <c r="BR17" s="2381"/>
      <c r="BS17" s="2381"/>
      <c r="BT17" s="2381"/>
      <c r="BU17" s="2381"/>
      <c r="BV17" s="2381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S</v>
      </c>
      <c r="BW17" s="2381"/>
      <c r="BX17" s="2381"/>
      <c r="BY17" s="2381"/>
      <c r="BZ17" s="2381"/>
      <c r="CA17" s="2381"/>
      <c r="CB17" s="2381"/>
      <c r="CC17" s="2381"/>
      <c r="CD17" s="2381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S</v>
      </c>
      <c r="CE17" s="2381"/>
      <c r="CF17" s="2381"/>
      <c r="CG17" s="2381"/>
      <c r="CH17" s="2381"/>
      <c r="CI17" s="2381"/>
      <c r="CJ17" s="2381"/>
      <c r="CK17" s="2381"/>
      <c r="CL17" s="2381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>R</v>
      </c>
      <c r="CM17" s="2381"/>
      <c r="CN17" s="2381"/>
      <c r="CO17" s="2381"/>
      <c r="CP17" s="2381"/>
      <c r="CQ17" s="2381"/>
      <c r="CR17" s="2381"/>
      <c r="CS17" s="2381"/>
      <c r="CT17" s="2381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1"/>
      <c r="CV17" s="2381"/>
      <c r="CW17" s="2381"/>
      <c r="CX17" s="2381"/>
      <c r="CY17" s="2381"/>
      <c r="CZ17" s="2381"/>
      <c r="DA17" s="2381"/>
      <c r="DB17" s="2381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DC17" s="2381"/>
      <c r="DD17" s="2381"/>
      <c r="DE17" s="2381"/>
      <c r="DF17" s="2381"/>
      <c r="DG17" s="2381"/>
      <c r="DH17" s="2381"/>
      <c r="DI17" s="2381"/>
      <c r="DJ17" s="2381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DK17" s="2381"/>
      <c r="DL17" s="2381"/>
      <c r="DM17" s="2381"/>
      <c r="DN17" s="2381"/>
      <c r="DO17" s="2381"/>
      <c r="DP17" s="2381"/>
      <c r="DQ17" s="2381"/>
      <c r="DR17" s="2381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DS17" s="2381"/>
      <c r="DT17" s="2381"/>
      <c r="DU17" s="2381"/>
      <c r="DV17" s="2381"/>
      <c r="DW17" s="2381"/>
      <c r="DX17" s="2381"/>
      <c r="DY17" s="2381"/>
      <c r="DZ17" s="2381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EA17" s="2381"/>
      <c r="EB17" s="2381"/>
      <c r="EC17" s="2381"/>
      <c r="ED17" s="2381"/>
      <c r="EE17" s="2381"/>
      <c r="EF17" s="2381"/>
      <c r="EG17" s="2381"/>
      <c r="EH17" s="2381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EI17" s="2381"/>
      <c r="EJ17" s="2381"/>
      <c r="EK17" s="2381"/>
      <c r="EL17" s="2381"/>
      <c r="EM17" s="2381"/>
      <c r="EN17" s="2381"/>
      <c r="EO17" s="2381"/>
      <c r="EP17" s="2381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EQ17" s="2381"/>
      <c r="ER17" s="2381"/>
      <c r="ES17" s="2381"/>
      <c r="ET17" s="2381"/>
      <c r="EU17" s="2381"/>
      <c r="EV17" s="2381"/>
      <c r="EW17" s="2381"/>
      <c r="EX17" s="2381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EY17" s="2381"/>
      <c r="EZ17" s="2381"/>
      <c r="FA17" s="2381"/>
      <c r="FB17" s="2381"/>
      <c r="FC17" s="2381"/>
      <c r="FD17" s="2381"/>
      <c r="FE17" s="2381"/>
      <c r="FF17" s="2381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FG17" s="2381"/>
      <c r="FH17" s="2381"/>
      <c r="FI17" s="2381"/>
      <c r="FJ17" s="2381"/>
      <c r="FK17" s="2381"/>
      <c r="FL17" s="2381"/>
      <c r="FM17" s="2381"/>
      <c r="FN17" s="2381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FO17" s="2381"/>
      <c r="FP17" s="2381"/>
      <c r="FQ17" s="2381"/>
      <c r="FR17" s="2381"/>
      <c r="FS17" s="2381"/>
      <c r="FT17" s="2381"/>
      <c r="FU17" s="2381"/>
      <c r="FV17" s="2381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FW17" s="2381"/>
      <c r="FX17" s="2381"/>
      <c r="FY17" s="2381"/>
      <c r="FZ17" s="2381"/>
      <c r="GA17" s="2381"/>
      <c r="GB17" s="2381"/>
      <c r="GC17" s="2381"/>
      <c r="GD17" s="2382"/>
      <c r="GE17" s="2382"/>
      <c r="GF17" s="2382"/>
      <c r="GG17" s="2382"/>
    </row>
    <row r="18" spans="1:235" ht="44.25" customHeight="1" x14ac:dyDescent="0.55000000000000004">
      <c r="A18" s="338">
        <v>4</v>
      </c>
      <c r="B18" s="2381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S</v>
      </c>
      <c r="C18" s="2381"/>
      <c r="D18" s="2381"/>
      <c r="E18" s="2381"/>
      <c r="F18" s="2381"/>
      <c r="G18" s="2381"/>
      <c r="H18" s="2381"/>
      <c r="I18" s="2381"/>
      <c r="J18" s="2381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S</v>
      </c>
      <c r="K18" s="2381"/>
      <c r="L18" s="2381"/>
      <c r="M18" s="2381"/>
      <c r="N18" s="2381"/>
      <c r="O18" s="2381"/>
      <c r="P18" s="2381"/>
      <c r="Q18" s="2381"/>
      <c r="R18" s="2381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X1</v>
      </c>
      <c r="S18" s="2381"/>
      <c r="T18" s="2381"/>
      <c r="U18" s="2381"/>
      <c r="V18" s="2381"/>
      <c r="W18" s="2381"/>
      <c r="X18" s="2381"/>
      <c r="Y18" s="2381"/>
      <c r="Z18" s="2381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AA18" s="2381"/>
      <c r="AB18" s="2381"/>
      <c r="AC18" s="2381"/>
      <c r="AD18" s="2381"/>
      <c r="AE18" s="2381"/>
      <c r="AF18" s="2381"/>
      <c r="AG18" s="2381"/>
      <c r="AH18" s="2381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X1</v>
      </c>
      <c r="AI18" s="2381"/>
      <c r="AJ18" s="2381"/>
      <c r="AK18" s="2381"/>
      <c r="AL18" s="2381"/>
      <c r="AM18" s="2381"/>
      <c r="AN18" s="2381"/>
      <c r="AO18" s="2381"/>
      <c r="AP18" s="2381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AQ18" s="2381"/>
      <c r="AR18" s="2381"/>
      <c r="AS18" s="2381"/>
      <c r="AT18" s="2381"/>
      <c r="AU18" s="2381"/>
      <c r="AV18" s="2381"/>
      <c r="AW18" s="2381"/>
      <c r="AX18" s="2381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Y18" s="2381"/>
      <c r="AZ18" s="2381"/>
      <c r="BA18" s="2381"/>
      <c r="BB18" s="2381"/>
      <c r="BC18" s="2381"/>
      <c r="BD18" s="2381"/>
      <c r="BE18" s="2381"/>
      <c r="BF18" s="2381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BG18" s="2381"/>
      <c r="BH18" s="2381"/>
      <c r="BI18" s="2381"/>
      <c r="BJ18" s="2381"/>
      <c r="BK18" s="2381"/>
      <c r="BL18" s="2381"/>
      <c r="BM18" s="2381"/>
      <c r="BN18" s="2381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BO18" s="2381"/>
      <c r="BP18" s="2381"/>
      <c r="BQ18" s="2381"/>
      <c r="BR18" s="2381"/>
      <c r="BS18" s="2381"/>
      <c r="BT18" s="2381"/>
      <c r="BU18" s="2381"/>
      <c r="BV18" s="2381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S</v>
      </c>
      <c r="BW18" s="2381"/>
      <c r="BX18" s="2381"/>
      <c r="BY18" s="2381"/>
      <c r="BZ18" s="2381"/>
      <c r="CA18" s="2381"/>
      <c r="CB18" s="2381"/>
      <c r="CC18" s="2381"/>
      <c r="CD18" s="2381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S</v>
      </c>
      <c r="CE18" s="2381"/>
      <c r="CF18" s="2381"/>
      <c r="CG18" s="2381"/>
      <c r="CH18" s="2381"/>
      <c r="CI18" s="2381"/>
      <c r="CJ18" s="2381"/>
      <c r="CK18" s="2381"/>
      <c r="CL18" s="2381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S</v>
      </c>
      <c r="CM18" s="2381"/>
      <c r="CN18" s="2381"/>
      <c r="CO18" s="2381"/>
      <c r="CP18" s="2381"/>
      <c r="CQ18" s="2381"/>
      <c r="CR18" s="2381"/>
      <c r="CS18" s="2381"/>
      <c r="CT18" s="2381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R</v>
      </c>
      <c r="CU18" s="2381"/>
      <c r="CV18" s="2381"/>
      <c r="CW18" s="2381"/>
      <c r="CX18" s="2381"/>
      <c r="CY18" s="2381"/>
      <c r="CZ18" s="2381"/>
      <c r="DA18" s="2381"/>
      <c r="DB18" s="2381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DC18" s="2381"/>
      <c r="DD18" s="2381"/>
      <c r="DE18" s="2381"/>
      <c r="DF18" s="2381"/>
      <c r="DG18" s="2381"/>
      <c r="DH18" s="2381"/>
      <c r="DI18" s="2381"/>
      <c r="DJ18" s="2381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DK18" s="2381"/>
      <c r="DL18" s="2381"/>
      <c r="DM18" s="2381"/>
      <c r="DN18" s="2381"/>
      <c r="DO18" s="2381"/>
      <c r="DP18" s="2381"/>
      <c r="DQ18" s="2381"/>
      <c r="DR18" s="2381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DS18" s="2381"/>
      <c r="DT18" s="2381"/>
      <c r="DU18" s="2381"/>
      <c r="DV18" s="2381"/>
      <c r="DW18" s="2381"/>
      <c r="DX18" s="2381"/>
      <c r="DY18" s="2381"/>
      <c r="DZ18" s="2381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EA18" s="2381"/>
      <c r="EB18" s="2381"/>
      <c r="EC18" s="2381"/>
      <c r="ED18" s="2381"/>
      <c r="EE18" s="2381"/>
      <c r="EF18" s="2381"/>
      <c r="EG18" s="2381"/>
      <c r="EH18" s="2381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EI18" s="2381"/>
      <c r="EJ18" s="2381"/>
      <c r="EK18" s="2381"/>
      <c r="EL18" s="2381"/>
      <c r="EM18" s="2381"/>
      <c r="EN18" s="2381"/>
      <c r="EO18" s="2381"/>
      <c r="EP18" s="2381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EQ18" s="2381"/>
      <c r="ER18" s="2381"/>
      <c r="ES18" s="2381"/>
      <c r="ET18" s="2381"/>
      <c r="EU18" s="2381"/>
      <c r="EV18" s="2381"/>
      <c r="EW18" s="2381"/>
      <c r="EX18" s="2381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EY18" s="2381"/>
      <c r="EZ18" s="2381"/>
      <c r="FA18" s="2381"/>
      <c r="FB18" s="2381"/>
      <c r="FC18" s="2381"/>
      <c r="FD18" s="2381"/>
      <c r="FE18" s="2381"/>
      <c r="FF18" s="2381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FG18" s="2381"/>
      <c r="FH18" s="2381"/>
      <c r="FI18" s="2381"/>
      <c r="FJ18" s="2381"/>
      <c r="FK18" s="2381"/>
      <c r="FL18" s="2381"/>
      <c r="FM18" s="2381"/>
      <c r="FN18" s="2381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FO18" s="2381"/>
      <c r="FP18" s="2381"/>
      <c r="FQ18" s="2381"/>
      <c r="FR18" s="2381"/>
      <c r="FS18" s="2381"/>
      <c r="FT18" s="2381"/>
      <c r="FU18" s="2381"/>
      <c r="FV18" s="2381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FW18" s="2381"/>
      <c r="FX18" s="2381"/>
      <c r="FY18" s="2381"/>
      <c r="FZ18" s="2381"/>
      <c r="GA18" s="2381"/>
      <c r="GB18" s="2381"/>
      <c r="GC18" s="2381"/>
      <c r="GD18" s="2382"/>
      <c r="GE18" s="2382"/>
      <c r="GF18" s="2382"/>
      <c r="GG18" s="2382"/>
    </row>
    <row r="19" spans="1:235" ht="44.25" customHeight="1" x14ac:dyDescent="0.55000000000000004">
      <c r="A19" s="338">
        <v>5</v>
      </c>
      <c r="B19" s="2381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S</v>
      </c>
      <c r="C19" s="2381"/>
      <c r="D19" s="2381"/>
      <c r="E19" s="2381"/>
      <c r="F19" s="2381"/>
      <c r="G19" s="2381"/>
      <c r="H19" s="2381"/>
      <c r="I19" s="2381"/>
      <c r="J19" s="2381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S</v>
      </c>
      <c r="K19" s="2381"/>
      <c r="L19" s="2381"/>
      <c r="M19" s="2381"/>
      <c r="N19" s="2381"/>
      <c r="O19" s="2381"/>
      <c r="P19" s="2381"/>
      <c r="Q19" s="2381"/>
      <c r="R19" s="2381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S</v>
      </c>
      <c r="S19" s="2381"/>
      <c r="T19" s="2381"/>
      <c r="U19" s="2381"/>
      <c r="V19" s="2381"/>
      <c r="W19" s="2381"/>
      <c r="X19" s="2381"/>
      <c r="Y19" s="2381"/>
      <c r="Z19" s="2381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S</v>
      </c>
      <c r="AA19" s="2381"/>
      <c r="AB19" s="2381"/>
      <c r="AC19" s="2381"/>
      <c r="AD19" s="2381"/>
      <c r="AE19" s="2381"/>
      <c r="AF19" s="2381"/>
      <c r="AG19" s="2381"/>
      <c r="AH19" s="2381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S</v>
      </c>
      <c r="AI19" s="2381"/>
      <c r="AJ19" s="2381"/>
      <c r="AK19" s="2381"/>
      <c r="AL19" s="2381"/>
      <c r="AM19" s="2381"/>
      <c r="AN19" s="2381"/>
      <c r="AO19" s="2381"/>
      <c r="AP19" s="2381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X1</v>
      </c>
      <c r="AQ19" s="2381"/>
      <c r="AR19" s="2381"/>
      <c r="AS19" s="2381"/>
      <c r="AT19" s="2381"/>
      <c r="AU19" s="2381"/>
      <c r="AV19" s="2381"/>
      <c r="AW19" s="2381"/>
      <c r="AX19" s="2381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Y19" s="2381"/>
      <c r="AZ19" s="2381"/>
      <c r="BA19" s="2381"/>
      <c r="BB19" s="2381"/>
      <c r="BC19" s="2381"/>
      <c r="BD19" s="2381"/>
      <c r="BE19" s="2381"/>
      <c r="BF19" s="2381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BG19" s="2381"/>
      <c r="BH19" s="2381"/>
      <c r="BI19" s="2381"/>
      <c r="BJ19" s="2381"/>
      <c r="BK19" s="2381"/>
      <c r="BL19" s="2381"/>
      <c r="BM19" s="2381"/>
      <c r="BN19" s="2381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BO19" s="2381"/>
      <c r="BP19" s="2381"/>
      <c r="BQ19" s="2381"/>
      <c r="BR19" s="2381"/>
      <c r="BS19" s="2381"/>
      <c r="BT19" s="2381"/>
      <c r="BU19" s="2381"/>
      <c r="BV19" s="2381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S</v>
      </c>
      <c r="BW19" s="2381"/>
      <c r="BX19" s="2381"/>
      <c r="BY19" s="2381"/>
      <c r="BZ19" s="2381"/>
      <c r="CA19" s="2381"/>
      <c r="CB19" s="2381"/>
      <c r="CC19" s="2381"/>
      <c r="CD19" s="2381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S</v>
      </c>
      <c r="CE19" s="2381"/>
      <c r="CF19" s="2381"/>
      <c r="CG19" s="2381"/>
      <c r="CH19" s="2381"/>
      <c r="CI19" s="2381"/>
      <c r="CJ19" s="2381"/>
      <c r="CK19" s="2381"/>
      <c r="CL19" s="2381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>X2</v>
      </c>
      <c r="CM19" s="2381"/>
      <c r="CN19" s="2381"/>
      <c r="CO19" s="2381"/>
      <c r="CP19" s="2381"/>
      <c r="CQ19" s="2381"/>
      <c r="CR19" s="2381"/>
      <c r="CS19" s="2381"/>
      <c r="CT19" s="2381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>R</v>
      </c>
      <c r="CU19" s="2381"/>
      <c r="CV19" s="2381"/>
      <c r="CW19" s="2381"/>
      <c r="CX19" s="2381"/>
      <c r="CY19" s="2381"/>
      <c r="CZ19" s="2381"/>
      <c r="DA19" s="2381"/>
      <c r="DB19" s="2381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DC19" s="2381"/>
      <c r="DD19" s="2381"/>
      <c r="DE19" s="2381"/>
      <c r="DF19" s="2381"/>
      <c r="DG19" s="2381"/>
      <c r="DH19" s="2381"/>
      <c r="DI19" s="2381"/>
      <c r="DJ19" s="2381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DK19" s="2381"/>
      <c r="DL19" s="2381"/>
      <c r="DM19" s="2381"/>
      <c r="DN19" s="2381"/>
      <c r="DO19" s="2381"/>
      <c r="DP19" s="2381"/>
      <c r="DQ19" s="2381"/>
      <c r="DR19" s="2381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DS19" s="2381"/>
      <c r="DT19" s="2381"/>
      <c r="DU19" s="2381"/>
      <c r="DV19" s="2381"/>
      <c r="DW19" s="2381"/>
      <c r="DX19" s="2381"/>
      <c r="DY19" s="2381"/>
      <c r="DZ19" s="2381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EA19" s="2381"/>
      <c r="EB19" s="2381"/>
      <c r="EC19" s="2381"/>
      <c r="ED19" s="2381"/>
      <c r="EE19" s="2381"/>
      <c r="EF19" s="2381"/>
      <c r="EG19" s="2381"/>
      <c r="EH19" s="2381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EI19" s="2381"/>
      <c r="EJ19" s="2381"/>
      <c r="EK19" s="2381"/>
      <c r="EL19" s="2381"/>
      <c r="EM19" s="2381"/>
      <c r="EN19" s="2381"/>
      <c r="EO19" s="2381"/>
      <c r="EP19" s="2381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EQ19" s="2381"/>
      <c r="ER19" s="2381"/>
      <c r="ES19" s="2381"/>
      <c r="ET19" s="2381"/>
      <c r="EU19" s="2381"/>
      <c r="EV19" s="2381"/>
      <c r="EW19" s="2381"/>
      <c r="EX19" s="2381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EY19" s="2381"/>
      <c r="EZ19" s="2381"/>
      <c r="FA19" s="2381"/>
      <c r="FB19" s="2381"/>
      <c r="FC19" s="2381"/>
      <c r="FD19" s="2381"/>
      <c r="FE19" s="2381"/>
      <c r="FF19" s="2381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FG19" s="2381"/>
      <c r="FH19" s="2381"/>
      <c r="FI19" s="2381"/>
      <c r="FJ19" s="2381"/>
      <c r="FK19" s="2381"/>
      <c r="FL19" s="2381"/>
      <c r="FM19" s="2381"/>
      <c r="FN19" s="2381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FO19" s="2381"/>
      <c r="FP19" s="2381"/>
      <c r="FQ19" s="2381"/>
      <c r="FR19" s="2381"/>
      <c r="FS19" s="2381"/>
      <c r="FT19" s="2381"/>
      <c r="FU19" s="2381"/>
      <c r="FV19" s="2381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FW19" s="2381"/>
      <c r="FX19" s="2381"/>
      <c r="FY19" s="2381"/>
      <c r="FZ19" s="2381"/>
      <c r="GA19" s="2381"/>
      <c r="GB19" s="2381"/>
      <c r="GC19" s="2381"/>
      <c r="GD19" s="2382"/>
      <c r="GE19" s="2382"/>
      <c r="GF19" s="2382"/>
      <c r="GG19" s="2382"/>
    </row>
    <row r="20" spans="1:235" ht="44.25" customHeight="1" x14ac:dyDescent="0.55000000000000004">
      <c r="A20" s="338">
        <v>6</v>
      </c>
      <c r="B20" s="2381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S</v>
      </c>
      <c r="C20" s="2381"/>
      <c r="D20" s="2381"/>
      <c r="E20" s="2381"/>
      <c r="F20" s="2381"/>
      <c r="G20" s="2381"/>
      <c r="H20" s="2381"/>
      <c r="I20" s="2381"/>
      <c r="J20" s="2381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X1</v>
      </c>
      <c r="K20" s="2381"/>
      <c r="L20" s="2381"/>
      <c r="M20" s="2381"/>
      <c r="N20" s="2381"/>
      <c r="O20" s="2381"/>
      <c r="P20" s="2381"/>
      <c r="Q20" s="2381"/>
      <c r="R20" s="2381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S</v>
      </c>
      <c r="S20" s="2381"/>
      <c r="T20" s="2381"/>
      <c r="U20" s="2381"/>
      <c r="V20" s="2381"/>
      <c r="W20" s="2381"/>
      <c r="X20" s="2381"/>
      <c r="Y20" s="2381"/>
      <c r="Z20" s="2381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X1</v>
      </c>
      <c r="AA20" s="2381"/>
      <c r="AB20" s="2381"/>
      <c r="AC20" s="2381"/>
      <c r="AD20" s="2381"/>
      <c r="AE20" s="2381"/>
      <c r="AF20" s="2381"/>
      <c r="AG20" s="2381"/>
      <c r="AH20" s="2381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AI20" s="2381"/>
      <c r="AJ20" s="2381"/>
      <c r="AK20" s="2381"/>
      <c r="AL20" s="2381"/>
      <c r="AM20" s="2381"/>
      <c r="AN20" s="2381"/>
      <c r="AO20" s="2381"/>
      <c r="AP20" s="2381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Q20" s="2381"/>
      <c r="AR20" s="2381"/>
      <c r="AS20" s="2381"/>
      <c r="AT20" s="2381"/>
      <c r="AU20" s="2381"/>
      <c r="AV20" s="2381"/>
      <c r="AW20" s="2381"/>
      <c r="AX20" s="2381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Y20" s="2381"/>
      <c r="AZ20" s="2381"/>
      <c r="BA20" s="2381"/>
      <c r="BB20" s="2381"/>
      <c r="BC20" s="2381"/>
      <c r="BD20" s="2381"/>
      <c r="BE20" s="2381"/>
      <c r="BF20" s="2381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BG20" s="2381"/>
      <c r="BH20" s="2381"/>
      <c r="BI20" s="2381"/>
      <c r="BJ20" s="2381"/>
      <c r="BK20" s="2381"/>
      <c r="BL20" s="2381"/>
      <c r="BM20" s="2381"/>
      <c r="BN20" s="2381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BO20" s="2381"/>
      <c r="BP20" s="2381"/>
      <c r="BQ20" s="2381"/>
      <c r="BR20" s="2381"/>
      <c r="BS20" s="2381"/>
      <c r="BT20" s="2381"/>
      <c r="BU20" s="2381"/>
      <c r="BV20" s="2381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BW20" s="2381"/>
      <c r="BX20" s="2381"/>
      <c r="BY20" s="2381"/>
      <c r="BZ20" s="2381"/>
      <c r="CA20" s="2381"/>
      <c r="CB20" s="2381"/>
      <c r="CC20" s="2381"/>
      <c r="CD20" s="2381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S</v>
      </c>
      <c r="CE20" s="2381"/>
      <c r="CF20" s="2381"/>
      <c r="CG20" s="2381"/>
      <c r="CH20" s="2381"/>
      <c r="CI20" s="2381"/>
      <c r="CJ20" s="2381"/>
      <c r="CK20" s="2381"/>
      <c r="CL20" s="2381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S</v>
      </c>
      <c r="CM20" s="2381"/>
      <c r="CN20" s="2381"/>
      <c r="CO20" s="2381"/>
      <c r="CP20" s="2381"/>
      <c r="CQ20" s="2381"/>
      <c r="CR20" s="2381"/>
      <c r="CS20" s="2381"/>
      <c r="CT20" s="2381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R</v>
      </c>
      <c r="CU20" s="2381"/>
      <c r="CV20" s="2381"/>
      <c r="CW20" s="2381"/>
      <c r="CX20" s="2381"/>
      <c r="CY20" s="2381"/>
      <c r="CZ20" s="2381"/>
      <c r="DA20" s="2381"/>
      <c r="DB20" s="2381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DC20" s="2381"/>
      <c r="DD20" s="2381"/>
      <c r="DE20" s="2381"/>
      <c r="DF20" s="2381"/>
      <c r="DG20" s="2381"/>
      <c r="DH20" s="2381"/>
      <c r="DI20" s="2381"/>
      <c r="DJ20" s="2381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DK20" s="2381"/>
      <c r="DL20" s="2381"/>
      <c r="DM20" s="2381"/>
      <c r="DN20" s="2381"/>
      <c r="DO20" s="2381"/>
      <c r="DP20" s="2381"/>
      <c r="DQ20" s="2381"/>
      <c r="DR20" s="2381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DS20" s="2381"/>
      <c r="DT20" s="2381"/>
      <c r="DU20" s="2381"/>
      <c r="DV20" s="2381"/>
      <c r="DW20" s="2381"/>
      <c r="DX20" s="2381"/>
      <c r="DY20" s="2381"/>
      <c r="DZ20" s="2381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EA20" s="2381"/>
      <c r="EB20" s="2381"/>
      <c r="EC20" s="2381"/>
      <c r="ED20" s="2381"/>
      <c r="EE20" s="2381"/>
      <c r="EF20" s="2381"/>
      <c r="EG20" s="2381"/>
      <c r="EH20" s="2381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EI20" s="2381"/>
      <c r="EJ20" s="2381"/>
      <c r="EK20" s="2381"/>
      <c r="EL20" s="2381"/>
      <c r="EM20" s="2381"/>
      <c r="EN20" s="2381"/>
      <c r="EO20" s="2381"/>
      <c r="EP20" s="2381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EQ20" s="2381"/>
      <c r="ER20" s="2381"/>
      <c r="ES20" s="2381"/>
      <c r="ET20" s="2381"/>
      <c r="EU20" s="2381"/>
      <c r="EV20" s="2381"/>
      <c r="EW20" s="2381"/>
      <c r="EX20" s="2381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EY20" s="2381"/>
      <c r="EZ20" s="2381"/>
      <c r="FA20" s="2381"/>
      <c r="FB20" s="2381"/>
      <c r="FC20" s="2381"/>
      <c r="FD20" s="2381"/>
      <c r="FE20" s="2381"/>
      <c r="FF20" s="2381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FG20" s="2381"/>
      <c r="FH20" s="2381"/>
      <c r="FI20" s="2381"/>
      <c r="FJ20" s="2381"/>
      <c r="FK20" s="2381"/>
      <c r="FL20" s="2381"/>
      <c r="FM20" s="2381"/>
      <c r="FN20" s="2381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FO20" s="2381"/>
      <c r="FP20" s="2381"/>
      <c r="FQ20" s="2381"/>
      <c r="FR20" s="2381"/>
      <c r="FS20" s="2381"/>
      <c r="FT20" s="2381"/>
      <c r="FU20" s="2381"/>
      <c r="FV20" s="2381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FW20" s="2381"/>
      <c r="FX20" s="2381"/>
      <c r="FY20" s="2381"/>
      <c r="FZ20" s="2381"/>
      <c r="GA20" s="2381"/>
      <c r="GB20" s="2381"/>
      <c r="GC20" s="2381"/>
      <c r="GD20" s="2382"/>
      <c r="GE20" s="2382"/>
      <c r="GF20" s="2382"/>
      <c r="GG20" s="2382"/>
    </row>
    <row r="21" spans="1:235" ht="44.25" customHeight="1" x14ac:dyDescent="0.55000000000000004">
      <c r="A21" s="338">
        <v>7</v>
      </c>
      <c r="B21" s="2381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21" s="2381"/>
      <c r="D21" s="2381"/>
      <c r="E21" s="2381"/>
      <c r="F21" s="2381"/>
      <c r="G21" s="2381"/>
      <c r="H21" s="2381"/>
      <c r="I21" s="2381"/>
      <c r="J21" s="2381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K21" s="2381"/>
      <c r="L21" s="2381"/>
      <c r="M21" s="2381"/>
      <c r="N21" s="2381"/>
      <c r="O21" s="2381"/>
      <c r="P21" s="2381"/>
      <c r="Q21" s="2381"/>
      <c r="R21" s="2381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S21" s="2381"/>
      <c r="T21" s="2381"/>
      <c r="U21" s="2381"/>
      <c r="V21" s="2381"/>
      <c r="W21" s="2381"/>
      <c r="X21" s="2381"/>
      <c r="Y21" s="2381"/>
      <c r="Z21" s="2381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A21" s="2381"/>
      <c r="AB21" s="2381"/>
      <c r="AC21" s="2381"/>
      <c r="AD21" s="2381"/>
      <c r="AE21" s="2381"/>
      <c r="AF21" s="2381"/>
      <c r="AG21" s="2381"/>
      <c r="AH21" s="2381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I21" s="2381"/>
      <c r="AJ21" s="2381"/>
      <c r="AK21" s="2381"/>
      <c r="AL21" s="2381"/>
      <c r="AM21" s="2381"/>
      <c r="AN21" s="2381"/>
      <c r="AO21" s="2381"/>
      <c r="AP21" s="2381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Q21" s="2381"/>
      <c r="AR21" s="2381"/>
      <c r="AS21" s="2381"/>
      <c r="AT21" s="2381"/>
      <c r="AU21" s="2381"/>
      <c r="AV21" s="2381"/>
      <c r="AW21" s="2381"/>
      <c r="AX21" s="2381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Y21" s="2381"/>
      <c r="AZ21" s="2381"/>
      <c r="BA21" s="2381"/>
      <c r="BB21" s="2381"/>
      <c r="BC21" s="2381"/>
      <c r="BD21" s="2381"/>
      <c r="BE21" s="2381"/>
      <c r="BF21" s="2381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BG21" s="2381"/>
      <c r="BH21" s="2381"/>
      <c r="BI21" s="2381"/>
      <c r="BJ21" s="2381"/>
      <c r="BK21" s="2381"/>
      <c r="BL21" s="2381"/>
      <c r="BM21" s="2381"/>
      <c r="BN21" s="2381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BO21" s="2381"/>
      <c r="BP21" s="2381"/>
      <c r="BQ21" s="2381"/>
      <c r="BR21" s="2381"/>
      <c r="BS21" s="2381"/>
      <c r="BT21" s="2381"/>
      <c r="BU21" s="2381"/>
      <c r="BV21" s="2381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W21" s="2381"/>
      <c r="BX21" s="2381"/>
      <c r="BY21" s="2381"/>
      <c r="BZ21" s="2381"/>
      <c r="CA21" s="2381"/>
      <c r="CB21" s="2381"/>
      <c r="CC21" s="2381"/>
      <c r="CD21" s="2381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CE21" s="2381"/>
      <c r="CF21" s="2381"/>
      <c r="CG21" s="2381"/>
      <c r="CH21" s="2381"/>
      <c r="CI21" s="2381"/>
      <c r="CJ21" s="2381"/>
      <c r="CK21" s="2381"/>
      <c r="CL21" s="2381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1"/>
      <c r="CN21" s="2381"/>
      <c r="CO21" s="2381"/>
      <c r="CP21" s="2381"/>
      <c r="CQ21" s="2381"/>
      <c r="CR21" s="2381"/>
      <c r="CS21" s="2381"/>
      <c r="CT21" s="2381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1"/>
      <c r="CV21" s="2381"/>
      <c r="CW21" s="2381"/>
      <c r="CX21" s="2381"/>
      <c r="CY21" s="2381"/>
      <c r="CZ21" s="2381"/>
      <c r="DA21" s="2381"/>
      <c r="DB21" s="2381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1"/>
      <c r="DD21" s="2381"/>
      <c r="DE21" s="2381"/>
      <c r="DF21" s="2381"/>
      <c r="DG21" s="2381"/>
      <c r="DH21" s="2381"/>
      <c r="DI21" s="2381"/>
      <c r="DJ21" s="2381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1"/>
      <c r="DL21" s="2381"/>
      <c r="DM21" s="2381"/>
      <c r="DN21" s="2381"/>
      <c r="DO21" s="2381"/>
      <c r="DP21" s="2381"/>
      <c r="DQ21" s="2381"/>
      <c r="DR21" s="2381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1"/>
      <c r="DT21" s="2381"/>
      <c r="DU21" s="2381"/>
      <c r="DV21" s="2381"/>
      <c r="DW21" s="2381"/>
      <c r="DX21" s="2381"/>
      <c r="DY21" s="2381"/>
      <c r="DZ21" s="2381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1"/>
      <c r="EB21" s="2381"/>
      <c r="EC21" s="2381"/>
      <c r="ED21" s="2381"/>
      <c r="EE21" s="2381"/>
      <c r="EF21" s="2381"/>
      <c r="EG21" s="2381"/>
      <c r="EH21" s="2381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EI21" s="2381"/>
      <c r="EJ21" s="2381"/>
      <c r="EK21" s="2381"/>
      <c r="EL21" s="2381"/>
      <c r="EM21" s="2381"/>
      <c r="EN21" s="2381"/>
      <c r="EO21" s="2381"/>
      <c r="EP21" s="2381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EQ21" s="2381"/>
      <c r="ER21" s="2381"/>
      <c r="ES21" s="2381"/>
      <c r="ET21" s="2381"/>
      <c r="EU21" s="2381"/>
      <c r="EV21" s="2381"/>
      <c r="EW21" s="2381"/>
      <c r="EX21" s="2381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EY21" s="2381"/>
      <c r="EZ21" s="2381"/>
      <c r="FA21" s="2381"/>
      <c r="FB21" s="2381"/>
      <c r="FC21" s="2381"/>
      <c r="FD21" s="2381"/>
      <c r="FE21" s="2381"/>
      <c r="FF21" s="2381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FG21" s="2381"/>
      <c r="FH21" s="2381"/>
      <c r="FI21" s="2381"/>
      <c r="FJ21" s="2381"/>
      <c r="FK21" s="2381"/>
      <c r="FL21" s="2381"/>
      <c r="FM21" s="2381"/>
      <c r="FN21" s="2381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FO21" s="2381"/>
      <c r="FP21" s="2381"/>
      <c r="FQ21" s="2381"/>
      <c r="FR21" s="2381"/>
      <c r="FS21" s="2381"/>
      <c r="FT21" s="2381"/>
      <c r="FU21" s="2381"/>
      <c r="FV21" s="2381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FW21" s="2381"/>
      <c r="FX21" s="2381"/>
      <c r="FY21" s="2381"/>
      <c r="FZ21" s="2381"/>
      <c r="GA21" s="2381"/>
      <c r="GB21" s="2381"/>
      <c r="GC21" s="2381"/>
      <c r="GD21" s="2382"/>
      <c r="GE21" s="2382"/>
      <c r="GF21" s="2382"/>
      <c r="GG21" s="2382"/>
    </row>
    <row r="22" spans="1:235" ht="44.25" customHeight="1" x14ac:dyDescent="0.55000000000000004">
      <c r="A22" s="338">
        <v>8</v>
      </c>
      <c r="B22" s="2381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22" s="2381"/>
      <c r="D22" s="2381"/>
      <c r="E22" s="2381"/>
      <c r="F22" s="2381"/>
      <c r="G22" s="2381"/>
      <c r="H22" s="2381"/>
      <c r="I22" s="2381"/>
      <c r="J22" s="2381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K22" s="2381"/>
      <c r="L22" s="2381"/>
      <c r="M22" s="2381"/>
      <c r="N22" s="2381"/>
      <c r="O22" s="2381"/>
      <c r="P22" s="2381"/>
      <c r="Q22" s="2381"/>
      <c r="R22" s="2381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S22" s="2381"/>
      <c r="T22" s="2381"/>
      <c r="U22" s="2381"/>
      <c r="V22" s="2381"/>
      <c r="W22" s="2381"/>
      <c r="X22" s="2381"/>
      <c r="Y22" s="2381"/>
      <c r="Z22" s="2381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A22" s="2381"/>
      <c r="AB22" s="2381"/>
      <c r="AC22" s="2381"/>
      <c r="AD22" s="2381"/>
      <c r="AE22" s="2381"/>
      <c r="AF22" s="2381"/>
      <c r="AG22" s="2381"/>
      <c r="AH22" s="2381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I22" s="2381"/>
      <c r="AJ22" s="2381"/>
      <c r="AK22" s="2381"/>
      <c r="AL22" s="2381"/>
      <c r="AM22" s="2381"/>
      <c r="AN22" s="2381"/>
      <c r="AO22" s="2381"/>
      <c r="AP22" s="2381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Q22" s="2381"/>
      <c r="AR22" s="2381"/>
      <c r="AS22" s="2381"/>
      <c r="AT22" s="2381"/>
      <c r="AU22" s="2381"/>
      <c r="AV22" s="2381"/>
      <c r="AW22" s="2381"/>
      <c r="AX22" s="2381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Y22" s="2381"/>
      <c r="AZ22" s="2381"/>
      <c r="BA22" s="2381"/>
      <c r="BB22" s="2381"/>
      <c r="BC22" s="2381"/>
      <c r="BD22" s="2381"/>
      <c r="BE22" s="2381"/>
      <c r="BF22" s="2381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BG22" s="2381"/>
      <c r="BH22" s="2381"/>
      <c r="BI22" s="2381"/>
      <c r="BJ22" s="2381"/>
      <c r="BK22" s="2381"/>
      <c r="BL22" s="2381"/>
      <c r="BM22" s="2381"/>
      <c r="BN22" s="2381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BO22" s="2381"/>
      <c r="BP22" s="2381"/>
      <c r="BQ22" s="2381"/>
      <c r="BR22" s="2381"/>
      <c r="BS22" s="2381"/>
      <c r="BT22" s="2381"/>
      <c r="BU22" s="2381"/>
      <c r="BV22" s="2381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W22" s="2381"/>
      <c r="BX22" s="2381"/>
      <c r="BY22" s="2381"/>
      <c r="BZ22" s="2381"/>
      <c r="CA22" s="2381"/>
      <c r="CB22" s="2381"/>
      <c r="CC22" s="2381"/>
      <c r="CD22" s="2381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1"/>
      <c r="CF22" s="2381"/>
      <c r="CG22" s="2381"/>
      <c r="CH22" s="2381"/>
      <c r="CI22" s="2381"/>
      <c r="CJ22" s="2381"/>
      <c r="CK22" s="2381"/>
      <c r="CL22" s="2381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1"/>
      <c r="CN22" s="2381"/>
      <c r="CO22" s="2381"/>
      <c r="CP22" s="2381"/>
      <c r="CQ22" s="2381"/>
      <c r="CR22" s="2381"/>
      <c r="CS22" s="2381"/>
      <c r="CT22" s="2381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1"/>
      <c r="CV22" s="2381"/>
      <c r="CW22" s="2381"/>
      <c r="CX22" s="2381"/>
      <c r="CY22" s="2381"/>
      <c r="CZ22" s="2381"/>
      <c r="DA22" s="2381"/>
      <c r="DB22" s="2381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1"/>
      <c r="DD22" s="2381"/>
      <c r="DE22" s="2381"/>
      <c r="DF22" s="2381"/>
      <c r="DG22" s="2381"/>
      <c r="DH22" s="2381"/>
      <c r="DI22" s="2381"/>
      <c r="DJ22" s="2381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1"/>
      <c r="DL22" s="2381"/>
      <c r="DM22" s="2381"/>
      <c r="DN22" s="2381"/>
      <c r="DO22" s="2381"/>
      <c r="DP22" s="2381"/>
      <c r="DQ22" s="2381"/>
      <c r="DR22" s="2381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1"/>
      <c r="DT22" s="2381"/>
      <c r="DU22" s="2381"/>
      <c r="DV22" s="2381"/>
      <c r="DW22" s="2381"/>
      <c r="DX22" s="2381"/>
      <c r="DY22" s="2381"/>
      <c r="DZ22" s="2381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1"/>
      <c r="EB22" s="2381"/>
      <c r="EC22" s="2381"/>
      <c r="ED22" s="2381"/>
      <c r="EE22" s="2381"/>
      <c r="EF22" s="2381"/>
      <c r="EG22" s="2381"/>
      <c r="EH22" s="2381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EI22" s="2381"/>
      <c r="EJ22" s="2381"/>
      <c r="EK22" s="2381"/>
      <c r="EL22" s="2381"/>
      <c r="EM22" s="2381"/>
      <c r="EN22" s="2381"/>
      <c r="EO22" s="2381"/>
      <c r="EP22" s="2381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EQ22" s="2381"/>
      <c r="ER22" s="2381"/>
      <c r="ES22" s="2381"/>
      <c r="ET22" s="2381"/>
      <c r="EU22" s="2381"/>
      <c r="EV22" s="2381"/>
      <c r="EW22" s="2381"/>
      <c r="EX22" s="2381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EY22" s="2381"/>
      <c r="EZ22" s="2381"/>
      <c r="FA22" s="2381"/>
      <c r="FB22" s="2381"/>
      <c r="FC22" s="2381"/>
      <c r="FD22" s="2381"/>
      <c r="FE22" s="2381"/>
      <c r="FF22" s="2381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FG22" s="2381"/>
      <c r="FH22" s="2381"/>
      <c r="FI22" s="2381"/>
      <c r="FJ22" s="2381"/>
      <c r="FK22" s="2381"/>
      <c r="FL22" s="2381"/>
      <c r="FM22" s="2381"/>
      <c r="FN22" s="2381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FO22" s="2381"/>
      <c r="FP22" s="2381"/>
      <c r="FQ22" s="2381"/>
      <c r="FR22" s="2381"/>
      <c r="FS22" s="2381"/>
      <c r="FT22" s="2381"/>
      <c r="FU22" s="2381"/>
      <c r="FV22" s="2381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FW22" s="2381"/>
      <c r="FX22" s="2381"/>
      <c r="FY22" s="2381"/>
      <c r="FZ22" s="2381"/>
      <c r="GA22" s="2381"/>
      <c r="GB22" s="2381"/>
      <c r="GC22" s="2381"/>
      <c r="GD22" s="2382"/>
      <c r="GE22" s="2382"/>
      <c r="GF22" s="2382"/>
      <c r="GG22" s="2382"/>
    </row>
    <row r="23" spans="1:235" ht="44.25" customHeight="1" x14ac:dyDescent="0.55000000000000004">
      <c r="A23" s="338">
        <v>9</v>
      </c>
      <c r="B23" s="2381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1"/>
      <c r="D23" s="2381"/>
      <c r="E23" s="2381"/>
      <c r="F23" s="2381"/>
      <c r="G23" s="2381"/>
      <c r="H23" s="2381"/>
      <c r="I23" s="2381"/>
      <c r="J23" s="2381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1"/>
      <c r="L23" s="2381"/>
      <c r="M23" s="2381"/>
      <c r="N23" s="2381"/>
      <c r="O23" s="2381"/>
      <c r="P23" s="2381"/>
      <c r="Q23" s="2381"/>
      <c r="R23" s="2381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1"/>
      <c r="T23" s="2381"/>
      <c r="U23" s="2381"/>
      <c r="V23" s="2381"/>
      <c r="W23" s="2381"/>
      <c r="X23" s="2381"/>
      <c r="Y23" s="2381"/>
      <c r="Z23" s="2381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1"/>
      <c r="AB23" s="2381"/>
      <c r="AC23" s="2381"/>
      <c r="AD23" s="2381"/>
      <c r="AE23" s="2381"/>
      <c r="AF23" s="2381"/>
      <c r="AG23" s="2381"/>
      <c r="AH23" s="2381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1"/>
      <c r="AJ23" s="2381"/>
      <c r="AK23" s="2381"/>
      <c r="AL23" s="2381"/>
      <c r="AM23" s="2381"/>
      <c r="AN23" s="2381"/>
      <c r="AO23" s="2381"/>
      <c r="AP23" s="2381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1"/>
      <c r="AR23" s="2381"/>
      <c r="AS23" s="2381"/>
      <c r="AT23" s="2381"/>
      <c r="AU23" s="2381"/>
      <c r="AV23" s="2381"/>
      <c r="AW23" s="2381"/>
      <c r="AX23" s="2381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1"/>
      <c r="AZ23" s="2381"/>
      <c r="BA23" s="2381"/>
      <c r="BB23" s="2381"/>
      <c r="BC23" s="2381"/>
      <c r="BD23" s="2381"/>
      <c r="BE23" s="2381"/>
      <c r="BF23" s="2381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1"/>
      <c r="BH23" s="2381"/>
      <c r="BI23" s="2381"/>
      <c r="BJ23" s="2381"/>
      <c r="BK23" s="2381"/>
      <c r="BL23" s="2381"/>
      <c r="BM23" s="2381"/>
      <c r="BN23" s="2381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1"/>
      <c r="BP23" s="2381"/>
      <c r="BQ23" s="2381"/>
      <c r="BR23" s="2381"/>
      <c r="BS23" s="2381"/>
      <c r="BT23" s="2381"/>
      <c r="BU23" s="2381"/>
      <c r="BV23" s="2381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1"/>
      <c r="BX23" s="2381"/>
      <c r="BY23" s="2381"/>
      <c r="BZ23" s="2381"/>
      <c r="CA23" s="2381"/>
      <c r="CB23" s="2381"/>
      <c r="CC23" s="2381"/>
      <c r="CD23" s="2381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1"/>
      <c r="CF23" s="2381"/>
      <c r="CG23" s="2381"/>
      <c r="CH23" s="2381"/>
      <c r="CI23" s="2381"/>
      <c r="CJ23" s="2381"/>
      <c r="CK23" s="2381"/>
      <c r="CL23" s="2381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1"/>
      <c r="CN23" s="2381"/>
      <c r="CO23" s="2381"/>
      <c r="CP23" s="2381"/>
      <c r="CQ23" s="2381"/>
      <c r="CR23" s="2381"/>
      <c r="CS23" s="2381"/>
      <c r="CT23" s="2381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1"/>
      <c r="CV23" s="2381"/>
      <c r="CW23" s="2381"/>
      <c r="CX23" s="2381"/>
      <c r="CY23" s="2381"/>
      <c r="CZ23" s="2381"/>
      <c r="DA23" s="2381"/>
      <c r="DB23" s="2381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1"/>
      <c r="DD23" s="2381"/>
      <c r="DE23" s="2381"/>
      <c r="DF23" s="2381"/>
      <c r="DG23" s="2381"/>
      <c r="DH23" s="2381"/>
      <c r="DI23" s="2381"/>
      <c r="DJ23" s="2381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1"/>
      <c r="DL23" s="2381"/>
      <c r="DM23" s="2381"/>
      <c r="DN23" s="2381"/>
      <c r="DO23" s="2381"/>
      <c r="DP23" s="2381"/>
      <c r="DQ23" s="2381"/>
      <c r="DR23" s="2381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1"/>
      <c r="DT23" s="2381"/>
      <c r="DU23" s="2381"/>
      <c r="DV23" s="2381"/>
      <c r="DW23" s="2381"/>
      <c r="DX23" s="2381"/>
      <c r="DY23" s="2381"/>
      <c r="DZ23" s="2381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1"/>
      <c r="EB23" s="2381"/>
      <c r="EC23" s="2381"/>
      <c r="ED23" s="2381"/>
      <c r="EE23" s="2381"/>
      <c r="EF23" s="2381"/>
      <c r="EG23" s="2381"/>
      <c r="EH23" s="2381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1"/>
      <c r="EJ23" s="2381"/>
      <c r="EK23" s="2381"/>
      <c r="EL23" s="2381"/>
      <c r="EM23" s="2381"/>
      <c r="EN23" s="2381"/>
      <c r="EO23" s="2381"/>
      <c r="EP23" s="2381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1"/>
      <c r="ER23" s="2381"/>
      <c r="ES23" s="2381"/>
      <c r="ET23" s="2381"/>
      <c r="EU23" s="2381"/>
      <c r="EV23" s="2381"/>
      <c r="EW23" s="2381"/>
      <c r="EX23" s="2381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1"/>
      <c r="EZ23" s="2381"/>
      <c r="FA23" s="2381"/>
      <c r="FB23" s="2381"/>
      <c r="FC23" s="2381"/>
      <c r="FD23" s="2381"/>
      <c r="FE23" s="2381"/>
      <c r="FF23" s="2381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1"/>
      <c r="FH23" s="2381"/>
      <c r="FI23" s="2381"/>
      <c r="FJ23" s="2381"/>
      <c r="FK23" s="2381"/>
      <c r="FL23" s="2381"/>
      <c r="FM23" s="2381"/>
      <c r="FN23" s="2381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1"/>
      <c r="FP23" s="2381"/>
      <c r="FQ23" s="2381"/>
      <c r="FR23" s="2381"/>
      <c r="FS23" s="2381"/>
      <c r="FT23" s="2381"/>
      <c r="FU23" s="2381"/>
      <c r="FV23" s="2381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1"/>
      <c r="FX23" s="2381"/>
      <c r="FY23" s="2381"/>
      <c r="FZ23" s="2381"/>
      <c r="GA23" s="2381"/>
      <c r="GB23" s="2381"/>
      <c r="GC23" s="2381"/>
      <c r="GD23" s="1248"/>
      <c r="GE23" s="1248"/>
      <c r="GF23" s="1248"/>
      <c r="GG23" s="1248"/>
    </row>
    <row r="24" spans="1:235" ht="63.75" customHeight="1" x14ac:dyDescent="0.35">
      <c r="A24" s="339"/>
      <c r="B24" s="2379" t="str">
        <f>IF(Data!$GI$2&lt;&gt;"","X1: "&amp; Data!$GI$2, " ")</f>
        <v>X1: 1613 CT182 0.018"</v>
      </c>
      <c r="C24" s="2379"/>
      <c r="D24" s="2379"/>
      <c r="E24" s="2379"/>
      <c r="F24" s="2379"/>
      <c r="G24" s="2379"/>
      <c r="H24" s="2379"/>
      <c r="I24" s="2379"/>
      <c r="J24" s="2379"/>
      <c r="K24" s="2379"/>
      <c r="L24" s="2379"/>
      <c r="M24" s="2379"/>
      <c r="N24" s="2379"/>
      <c r="O24" s="2379"/>
      <c r="P24" s="2379"/>
      <c r="Q24" s="2379"/>
      <c r="R24" s="2379"/>
      <c r="S24" s="2379"/>
      <c r="T24" s="2379"/>
      <c r="U24" s="2379" t="str">
        <f>IF(Data!$GI$3&lt;&gt;"","X2: "&amp; Data!$GI$3, " ")</f>
        <v>X2: 1608 CT200 0.018"</v>
      </c>
      <c r="V24" s="2379"/>
      <c r="W24" s="2379"/>
      <c r="X24" s="2379"/>
      <c r="Y24" s="2379"/>
      <c r="Z24" s="2379"/>
      <c r="AA24" s="2379"/>
      <c r="AB24" s="2379"/>
      <c r="AC24" s="2379"/>
      <c r="AD24" s="2379"/>
      <c r="AE24" s="2379"/>
      <c r="AF24" s="2379"/>
      <c r="AG24" s="2379"/>
      <c r="AH24" s="2379"/>
      <c r="AI24" s="2379"/>
      <c r="AJ24" s="2379"/>
      <c r="AK24" s="2379"/>
      <c r="AL24" s="2379"/>
      <c r="AM24" s="2379"/>
      <c r="AN24" s="2379" t="str">
        <f>IF(Data!$GI$4&lt;&gt;"","X3: "&amp; Data!$GI$4, " ")</f>
        <v xml:space="preserve">X3: 1308 CT31 Drop in </v>
      </c>
      <c r="AO24" s="2379"/>
      <c r="AP24" s="2379"/>
      <c r="AQ24" s="2379"/>
      <c r="AR24" s="2379"/>
      <c r="AS24" s="2379"/>
      <c r="AT24" s="2379"/>
      <c r="AU24" s="2379"/>
      <c r="AV24" s="2379"/>
      <c r="AW24" s="2379"/>
      <c r="AX24" s="2379"/>
      <c r="AY24" s="2379"/>
      <c r="AZ24" s="2379"/>
      <c r="BA24" s="2379"/>
      <c r="BB24" s="2379"/>
      <c r="BC24" s="2379"/>
      <c r="BD24" s="2379"/>
      <c r="BE24" s="2379"/>
      <c r="BF24" s="2379"/>
      <c r="BG24" s="2379" t="str">
        <f>IF(Data!$GI$5&lt;&gt;"","X4: "&amp; Data!$GI$5, " ")</f>
        <v xml:space="preserve"> </v>
      </c>
      <c r="BH24" s="2379"/>
      <c r="BI24" s="2379"/>
      <c r="BJ24" s="2379"/>
      <c r="BK24" s="2379"/>
      <c r="BL24" s="2379"/>
      <c r="BM24" s="2379"/>
      <c r="BN24" s="2379"/>
      <c r="BO24" s="2379"/>
      <c r="BP24" s="2379"/>
      <c r="BQ24" s="2379"/>
      <c r="BR24" s="2379"/>
      <c r="BS24" s="2379"/>
      <c r="BT24" s="2379"/>
      <c r="BU24" s="2379"/>
      <c r="BV24" s="2379"/>
      <c r="BW24" s="2379"/>
      <c r="BX24" s="2379"/>
      <c r="BY24" s="2379"/>
      <c r="BZ24" s="2379" t="str">
        <f>IF(Data!$GI$6&lt;&gt;"","X5: "&amp; Data!$GI$6, " ")</f>
        <v xml:space="preserve"> </v>
      </c>
      <c r="CA24" s="2379"/>
      <c r="CB24" s="2379"/>
      <c r="CC24" s="2379"/>
      <c r="CD24" s="2379"/>
      <c r="CE24" s="2379"/>
      <c r="CF24" s="2379"/>
      <c r="CG24" s="2379"/>
      <c r="CH24" s="2379"/>
      <c r="CI24" s="2379"/>
      <c r="CJ24" s="2379"/>
      <c r="CK24" s="2379"/>
      <c r="CL24" s="2379"/>
      <c r="CM24" s="2379"/>
      <c r="CN24" s="2379"/>
      <c r="CO24" s="2379"/>
      <c r="CP24" s="2379"/>
      <c r="CQ24" s="2379"/>
      <c r="CR24" s="2379"/>
      <c r="CS24" s="2379" t="str">
        <f>IF(Data!$GI$7&lt;&gt;"","X6: "&amp; Data!$GI$7, " ")</f>
        <v xml:space="preserve"> </v>
      </c>
      <c r="CT24" s="2379"/>
      <c r="CU24" s="2379"/>
      <c r="CV24" s="2379"/>
      <c r="CW24" s="2379"/>
      <c r="CX24" s="2379"/>
      <c r="CY24" s="2379"/>
      <c r="CZ24" s="2379"/>
      <c r="DA24" s="2379"/>
      <c r="DB24" s="2379"/>
      <c r="DC24" s="2379"/>
      <c r="DD24" s="2379"/>
      <c r="DE24" s="2379"/>
      <c r="DF24" s="2379"/>
      <c r="DG24" s="2379"/>
      <c r="DH24" s="2379"/>
      <c r="DI24" s="2379"/>
      <c r="DJ24" s="2379"/>
      <c r="DK24" s="2379"/>
      <c r="DL24" s="2379" t="str">
        <f>IF(Data!$GI$8&lt;&gt;"","X7: "&amp; Data!$GI$8, " ")</f>
        <v xml:space="preserve"> </v>
      </c>
      <c r="DM24" s="2379"/>
      <c r="DN24" s="2379"/>
      <c r="DO24" s="2379"/>
      <c r="DP24" s="2379"/>
      <c r="DQ24" s="2379"/>
      <c r="DR24" s="2379"/>
      <c r="DS24" s="2379"/>
      <c r="DT24" s="2379"/>
      <c r="DU24" s="2379"/>
      <c r="DV24" s="2379"/>
      <c r="DW24" s="2379"/>
      <c r="DX24" s="2379"/>
      <c r="DY24" s="2379"/>
      <c r="DZ24" s="2379"/>
      <c r="EA24" s="2379"/>
      <c r="EB24" s="2379"/>
      <c r="EC24" s="2379"/>
      <c r="ED24" s="2379"/>
      <c r="EE24" s="2379" t="str">
        <f>IF(Data!$GI$9&lt;&gt;"","X8: "&amp; Data!$GI$9, " ")</f>
        <v xml:space="preserve"> </v>
      </c>
      <c r="EF24" s="2379"/>
      <c r="EG24" s="2379"/>
      <c r="EH24" s="2379"/>
      <c r="EI24" s="2379"/>
      <c r="EJ24" s="2379"/>
      <c r="EK24" s="2379"/>
      <c r="EL24" s="2379"/>
      <c r="EM24" s="2379"/>
      <c r="EN24" s="2379"/>
      <c r="EO24" s="2379"/>
      <c r="EP24" s="2379"/>
      <c r="EQ24" s="2379"/>
      <c r="ER24" s="2379"/>
      <c r="ES24" s="2379"/>
      <c r="ET24" s="2379"/>
      <c r="EU24" s="2379"/>
      <c r="EV24" s="2379"/>
      <c r="EW24" s="2379"/>
      <c r="EX24" s="2379" t="str">
        <f>IF(Data!$GI$10&lt;&gt;"","X9: "&amp; Data!$GI$10, " ")</f>
        <v xml:space="preserve"> </v>
      </c>
      <c r="EY24" s="2379"/>
      <c r="EZ24" s="2379"/>
      <c r="FA24" s="2379"/>
      <c r="FB24" s="2379"/>
      <c r="FC24" s="2379"/>
      <c r="FD24" s="2379"/>
      <c r="FE24" s="2379"/>
      <c r="FF24" s="2379"/>
      <c r="FG24" s="2379"/>
      <c r="FH24" s="2379"/>
      <c r="FI24" s="2379"/>
      <c r="FJ24" s="2379"/>
      <c r="FK24" s="2379"/>
      <c r="FL24" s="2379"/>
      <c r="FM24" s="2379"/>
      <c r="FN24" s="2379"/>
      <c r="FO24" s="2379"/>
      <c r="FP24" s="2379"/>
      <c r="FQ24" s="2379" t="str">
        <f>IF(Data!$GI$11&lt;&gt;"","X10: "&amp; Data!$GI$11, " ")</f>
        <v xml:space="preserve"> </v>
      </c>
      <c r="FR24" s="2379"/>
      <c r="FS24" s="2379"/>
      <c r="FT24" s="2379"/>
      <c r="FU24" s="2379"/>
      <c r="FV24" s="2379"/>
      <c r="FW24" s="2379"/>
      <c r="FX24" s="2379"/>
      <c r="FY24" s="2379"/>
      <c r="FZ24" s="2379"/>
      <c r="GA24" s="2379"/>
      <c r="GB24" s="2379"/>
      <c r="GC24" s="2379"/>
      <c r="GD24" s="2379"/>
      <c r="GE24" s="2379"/>
      <c r="GF24" s="2379"/>
      <c r="GG24" s="2379"/>
    </row>
    <row r="25" spans="1:235" ht="27" customHeight="1" x14ac:dyDescent="0.35">
      <c r="B25" s="1248"/>
      <c r="C25" s="1248"/>
      <c r="D25" s="1248"/>
      <c r="E25" s="1248"/>
      <c r="F25" s="1248"/>
      <c r="G25" s="1248"/>
      <c r="H25" s="2385" t="str">
        <f>IF(Data!$B$1&lt;&gt;"", Data!$B$1, " ")</f>
        <v>2025-AR-109</v>
      </c>
      <c r="I25" s="2385"/>
      <c r="J25" s="2385"/>
      <c r="K25" s="2385"/>
      <c r="L25" s="2385"/>
      <c r="M25" s="2385"/>
      <c r="N25" s="2385"/>
      <c r="O25" s="2385"/>
      <c r="P25" s="2385"/>
      <c r="Q25" s="2385"/>
      <c r="R25" s="2385"/>
      <c r="S25" s="2385"/>
      <c r="T25" s="2385"/>
      <c r="U25" s="2385"/>
      <c r="V25" s="2385"/>
      <c r="W25" s="2385"/>
      <c r="X25" s="2385"/>
      <c r="Y25" s="2385"/>
      <c r="Z25" s="2385"/>
      <c r="AA25" s="2385"/>
      <c r="AB25" s="2385"/>
      <c r="AC25" s="2385"/>
      <c r="AD25" s="2385"/>
      <c r="AE25" s="2385"/>
      <c r="AF25" s="2385"/>
      <c r="AG25" s="2385"/>
      <c r="AH25" s="2385"/>
      <c r="AI25" s="2385"/>
      <c r="AJ25" s="2385"/>
      <c r="AK25" s="2385"/>
      <c r="AL25" s="2385"/>
      <c r="AM25" s="2385"/>
      <c r="AN25" s="2385"/>
      <c r="AO25" s="2385"/>
      <c r="AP25" s="2385"/>
      <c r="AQ25" s="2385"/>
      <c r="AR25" s="2385"/>
      <c r="AS25" s="2385"/>
      <c r="AT25" s="2385"/>
      <c r="AU25" s="2385"/>
      <c r="AV25" s="2385"/>
      <c r="AW25" s="2385"/>
      <c r="AX25" s="2385"/>
      <c r="AY25" s="2385">
        <f>IF(Data!$B$2&lt;&gt;"", Data!$B$2, " ")</f>
        <v>13845937</v>
      </c>
      <c r="AZ25" s="2385"/>
      <c r="BA25" s="2385"/>
      <c r="BB25" s="2385"/>
      <c r="BC25" s="2385"/>
      <c r="BD25" s="2385"/>
      <c r="BE25" s="2385"/>
      <c r="BF25" s="2385"/>
      <c r="BG25" s="2385"/>
      <c r="BH25" s="2385"/>
      <c r="BI25" s="2385"/>
      <c r="BJ25" s="2385"/>
      <c r="BK25" s="2385"/>
      <c r="BL25" s="2385"/>
      <c r="BM25" s="2385"/>
      <c r="BN25" s="2385"/>
      <c r="BO25" s="2385"/>
      <c r="BP25" s="2385"/>
      <c r="BQ25" s="2385"/>
      <c r="BR25" s="2385"/>
      <c r="BS25" s="2385"/>
      <c r="BT25" s="2385"/>
      <c r="BU25" s="2385"/>
      <c r="BV25" s="2385"/>
      <c r="BW25" s="2385"/>
      <c r="BX25" s="2385"/>
      <c r="BY25" s="2385"/>
      <c r="BZ25" s="2385"/>
      <c r="CA25" s="2385"/>
      <c r="CB25" s="2385"/>
      <c r="CC25" s="2385"/>
      <c r="CD25" s="2385"/>
      <c r="CE25" s="2385"/>
      <c r="CF25" s="2385"/>
      <c r="CG25" s="2385"/>
      <c r="CH25" s="2385"/>
      <c r="CI25" s="2385"/>
      <c r="CJ25" s="2385"/>
      <c r="CK25" s="2385"/>
      <c r="CL25" s="2385"/>
      <c r="CM25" s="2385"/>
      <c r="CN25" s="2385"/>
      <c r="CO25" s="2385"/>
      <c r="CP25" s="2385"/>
      <c r="CQ25" s="2385"/>
      <c r="CR25" s="2385"/>
      <c r="CS25" s="2385"/>
      <c r="CT25" s="2385"/>
      <c r="CU25" s="2385"/>
      <c r="CV25" s="2385"/>
      <c r="CW25" s="2385"/>
      <c r="CX25" s="2385"/>
      <c r="CY25" s="2385"/>
      <c r="CZ25" s="2385" t="str">
        <f>IF(Data!$B$4&lt;&gt;"",Data!$B$4," ")</f>
        <v>MM65DH-1</v>
      </c>
      <c r="DA25" s="2385"/>
      <c r="DB25" s="2385"/>
      <c r="DC25" s="2385"/>
      <c r="DD25" s="2385"/>
      <c r="DE25" s="2385"/>
      <c r="DF25" s="2385"/>
      <c r="DG25" s="2385"/>
      <c r="DH25" s="2385"/>
      <c r="DI25" s="2385"/>
      <c r="DJ25" s="2385"/>
      <c r="DK25" s="2385"/>
      <c r="DL25" s="2385"/>
      <c r="DM25" s="2385"/>
      <c r="DN25" s="2385"/>
      <c r="DO25" s="2385"/>
      <c r="DP25" s="2385"/>
      <c r="DQ25" s="2385"/>
      <c r="DR25" s="2385"/>
      <c r="DS25" s="2385"/>
      <c r="DT25" s="2385"/>
      <c r="DU25" s="2385"/>
      <c r="DV25" s="2385"/>
      <c r="DW25" s="2385"/>
      <c r="DX25" s="2385"/>
      <c r="DY25" s="2385"/>
      <c r="DZ25" s="2385"/>
      <c r="EA25" s="2385"/>
      <c r="EB25" s="2385"/>
      <c r="EC25" s="2385"/>
      <c r="ED25" s="2385"/>
      <c r="EE25" s="2385"/>
      <c r="EF25" s="2385" t="str">
        <f>IF(LEN(Data!B3)&gt;3,IF(AND(Data!B43&lt;&gt;"",Data!B43&lt;&gt;"0 0/1"""),Data!B43,""),IF(Data!B3&lt;&gt;"",Data!B3,""))</f>
        <v>8 3/8"</v>
      </c>
      <c r="EG25" s="2385"/>
      <c r="EH25" s="2385"/>
      <c r="EI25" s="2385"/>
      <c r="EJ25" s="2385"/>
      <c r="EK25" s="2385"/>
      <c r="EL25" s="2385"/>
      <c r="EM25" s="2385"/>
      <c r="EN25" s="2385"/>
      <c r="EO25" s="2385"/>
      <c r="EP25" s="2385"/>
      <c r="EQ25" s="2385"/>
      <c r="ER25" s="2385"/>
      <c r="ES25" s="2385"/>
      <c r="ET25" s="2385"/>
      <c r="EU25" s="2385"/>
      <c r="EV25" s="2385"/>
      <c r="EW25" s="2385"/>
      <c r="EX25" s="2385"/>
      <c r="EY25" s="2385"/>
      <c r="EZ25" s="2385"/>
      <c r="FA25" s="2385"/>
      <c r="FB25" s="2385"/>
      <c r="FC25" s="2385"/>
      <c r="FD25" s="2385"/>
      <c r="FE25" s="2385"/>
      <c r="FF25" s="2385"/>
      <c r="FG25" s="2385"/>
      <c r="FH25" s="2385"/>
      <c r="FI25" s="2385"/>
      <c r="FJ25" s="2385"/>
      <c r="FK25" s="2385"/>
      <c r="FL25" s="1248"/>
      <c r="FM25" s="1248"/>
      <c r="FN25" s="1248"/>
      <c r="FO25" s="1248"/>
      <c r="FP25" s="1248"/>
      <c r="FQ25" s="1248"/>
      <c r="FR25" s="1248"/>
      <c r="FS25" s="1248"/>
      <c r="FT25" s="1248"/>
      <c r="FU25" s="1248"/>
      <c r="FV25" s="1248"/>
      <c r="FW25" s="1248"/>
      <c r="FX25" s="1248"/>
      <c r="FY25" s="1248"/>
      <c r="FZ25" s="1248"/>
      <c r="GA25" s="1248"/>
      <c r="GB25" s="1248"/>
      <c r="GC25" s="1248"/>
      <c r="GD25" s="1248"/>
      <c r="GE25" s="1248"/>
      <c r="GF25" s="1248"/>
      <c r="GG25" s="1248"/>
    </row>
    <row r="26" spans="1:235" ht="21.75" customHeight="1" x14ac:dyDescent="0.35">
      <c r="B26" s="2384">
        <f>IF(Data!$BR$44&lt;&gt;"",Data!$BR$44, "")</f>
        <v>1</v>
      </c>
      <c r="C26" s="2384"/>
      <c r="D26" s="2384"/>
      <c r="E26" s="2384"/>
      <c r="F26" s="2384"/>
      <c r="G26" s="2384"/>
      <c r="H26" s="2384">
        <f>IF(Data!$BS$44&lt;&gt;"",Data!$BS$44, "")</f>
        <v>2</v>
      </c>
      <c r="I26" s="2384"/>
      <c r="J26" s="2384"/>
      <c r="K26" s="2384"/>
      <c r="L26" s="2384"/>
      <c r="M26" s="2384"/>
      <c r="N26" s="2384">
        <f>IF(Data!$BT$44&lt;&gt;"", Data!$BT$44, "")</f>
        <v>3</v>
      </c>
      <c r="O26" s="2384"/>
      <c r="P26" s="2384"/>
      <c r="Q26" s="2384"/>
      <c r="R26" s="2384"/>
      <c r="S26" s="2384"/>
      <c r="T26" s="2384">
        <f>IF(Data!$BU$44&lt;&gt;"", Data!$BU$44, "")</f>
        <v>4</v>
      </c>
      <c r="U26" s="2384"/>
      <c r="V26" s="2384"/>
      <c r="W26" s="2384"/>
      <c r="X26" s="2384"/>
      <c r="Y26" s="2384"/>
      <c r="Z26" s="2384">
        <f>IF(Data!$BV$44&lt;&gt;"",Data!$BV$44, "")</f>
        <v>5</v>
      </c>
      <c r="AA26" s="2384"/>
      <c r="AB26" s="2384"/>
      <c r="AC26" s="2384"/>
      <c r="AD26" s="2384"/>
      <c r="AE26" s="2384"/>
      <c r="AF26" s="2384">
        <f>IF(Data!$BW$44&lt;&gt;"",Data!$BW$44, "")</f>
        <v>6</v>
      </c>
      <c r="AG26" s="2384"/>
      <c r="AH26" s="2384"/>
      <c r="AI26" s="2384"/>
      <c r="AJ26" s="2384"/>
      <c r="AK26" s="2384"/>
      <c r="AL26" s="2384">
        <f>IF(Data!$BX$44&lt;&gt;"", Data!$BX$44, "")</f>
        <v>7</v>
      </c>
      <c r="AM26" s="2384"/>
      <c r="AN26" s="2384"/>
      <c r="AO26" s="2384"/>
      <c r="AP26" s="2384"/>
      <c r="AQ26" s="2384"/>
      <c r="AR26" s="2384">
        <f>IF(Data!$BY$44&lt;&gt;"", Data!$BY$44, "")</f>
        <v>8</v>
      </c>
      <c r="AS26" s="2384"/>
      <c r="AT26" s="2384"/>
      <c r="AU26" s="2384"/>
      <c r="AV26" s="2384"/>
      <c r="AW26" s="2384"/>
      <c r="AX26" s="2384">
        <f>IF(Data!$BZ$44&lt;&gt;"", Data!$BZ$44, "")</f>
        <v>0</v>
      </c>
      <c r="AY26" s="2384"/>
      <c r="AZ26" s="2384"/>
      <c r="BA26" s="2384"/>
      <c r="BB26" s="2384"/>
      <c r="BC26" s="2384"/>
      <c r="BD26" s="2384">
        <f>IF(Data!$CA$44&lt;&gt;"", Data!$CA$44, "")</f>
        <v>9</v>
      </c>
      <c r="BE26" s="2384"/>
      <c r="BF26" s="2384"/>
      <c r="BG26" s="2384"/>
      <c r="BH26" s="2384"/>
      <c r="BI26" s="2384"/>
      <c r="BJ26" s="2384">
        <f>IF(Data!$CB$44&lt;&gt;"", Data!$CB$44, "")</f>
        <v>10</v>
      </c>
      <c r="BK26" s="2384"/>
      <c r="BL26" s="2384"/>
      <c r="BM26" s="2384"/>
      <c r="BN26" s="2384"/>
      <c r="BO26" s="2384"/>
      <c r="BP26" s="2384">
        <f>IF(Data!$CC$44&lt;&gt;"", Data!$CC$44, "")</f>
        <v>11</v>
      </c>
      <c r="BQ26" s="2384"/>
      <c r="BR26" s="2384"/>
      <c r="BS26" s="2384"/>
      <c r="BT26" s="2384"/>
      <c r="BU26" s="2384"/>
      <c r="BV26" s="2384">
        <f>IF(Data!$CD$44&lt;&gt;"",Data!$CD$44, "")</f>
        <v>12</v>
      </c>
      <c r="BW26" s="2384"/>
      <c r="BX26" s="2384"/>
      <c r="BY26" s="2384"/>
      <c r="BZ26" s="2384"/>
      <c r="CA26" s="2384"/>
      <c r="CB26" s="2384">
        <f>IF(Data!$CE$44&lt;&gt;"",Data!$CE$44, "")</f>
        <v>0</v>
      </c>
      <c r="CC26" s="2384"/>
      <c r="CD26" s="2384"/>
      <c r="CE26" s="2384"/>
      <c r="CF26" s="2384"/>
      <c r="CG26" s="2384"/>
      <c r="CH26" s="2384">
        <f>IF(Data!$CF$44&lt;&gt;"",Data!$CF$44, "")</f>
        <v>0</v>
      </c>
      <c r="CI26" s="2384"/>
      <c r="CJ26" s="2384"/>
      <c r="CK26" s="2384"/>
      <c r="CL26" s="2384"/>
      <c r="CM26" s="2384"/>
      <c r="CN26" s="2384">
        <f>IF(Data!$CG$44&lt;&gt;"",Data!$CG$44, "")</f>
        <v>0</v>
      </c>
      <c r="CO26" s="2384"/>
      <c r="CP26" s="2384"/>
      <c r="CQ26" s="2384"/>
      <c r="CR26" s="2384"/>
      <c r="CS26" s="2384"/>
      <c r="CT26" s="2384">
        <f>IF(Data!$CH$44&lt;&gt;"",Data!$CH$44, "")</f>
        <v>0</v>
      </c>
      <c r="CU26" s="2384"/>
      <c r="CV26" s="2384"/>
      <c r="CW26" s="2384"/>
      <c r="CX26" s="2384"/>
      <c r="CY26" s="2384"/>
      <c r="CZ26" s="2384">
        <f>IF(Data!$CI$44&lt;&gt;"",Data!$CI$44, "")</f>
        <v>0</v>
      </c>
      <c r="DA26" s="2384"/>
      <c r="DB26" s="2384"/>
      <c r="DC26" s="2384"/>
      <c r="DD26" s="2384"/>
      <c r="DE26" s="2384"/>
      <c r="DF26" s="2384">
        <f>IF(Data!$CJ$44&lt;&gt;"",Data!$CJ$44, "")</f>
        <v>0</v>
      </c>
      <c r="DG26" s="2384"/>
      <c r="DH26" s="2384"/>
      <c r="DI26" s="2384"/>
      <c r="DJ26" s="2384"/>
      <c r="DK26" s="2384"/>
      <c r="DL26" s="2384">
        <f>IF(Data!$CK$44&lt;&gt;"",Data!$CK$44, "")</f>
        <v>0</v>
      </c>
      <c r="DM26" s="2384"/>
      <c r="DN26" s="2384"/>
      <c r="DO26" s="2384"/>
      <c r="DP26" s="2384"/>
      <c r="DQ26" s="2384"/>
      <c r="DR26" s="2384">
        <f>IF(Data!$CL$44&lt;&gt;"",Data!$CL$44, "")</f>
        <v>0</v>
      </c>
      <c r="DS26" s="2384"/>
      <c r="DT26" s="2384"/>
      <c r="DU26" s="2384"/>
      <c r="DV26" s="2384"/>
      <c r="DW26" s="2384"/>
      <c r="DX26" s="2384">
        <f>IF(Data!$CM$44&lt;&gt;"",Data!$CM$44, "")</f>
        <v>0</v>
      </c>
      <c r="DY26" s="2384"/>
      <c r="DZ26" s="2384"/>
      <c r="EA26" s="2384"/>
      <c r="EB26" s="2384"/>
      <c r="EC26" s="2384"/>
      <c r="ED26" s="2384">
        <f>IF(Data!$CN$44&lt;&gt;"",Data!$CN$44, "")</f>
        <v>0</v>
      </c>
      <c r="EE26" s="2384"/>
      <c r="EF26" s="2384"/>
      <c r="EG26" s="2384"/>
      <c r="EH26" s="2384"/>
      <c r="EI26" s="2384"/>
      <c r="EJ26" s="2384">
        <f>IF(Data!$CO$44&lt;&gt;"",Data!$CO$44, "")</f>
        <v>0</v>
      </c>
      <c r="EK26" s="2384"/>
      <c r="EL26" s="2384"/>
      <c r="EM26" s="2384"/>
      <c r="EN26" s="2384"/>
      <c r="EO26" s="2384"/>
      <c r="EP26" s="2384">
        <f>IF(Data!$CP$44&lt;&gt;"",Data!$CP$44, "")</f>
        <v>0</v>
      </c>
      <c r="EQ26" s="2384"/>
      <c r="ER26" s="2384"/>
      <c r="ES26" s="2384"/>
      <c r="ET26" s="2384"/>
      <c r="EU26" s="2384"/>
      <c r="EV26" s="2384">
        <f>IF(Data!$CQ$44&lt;&gt;"",Data!$CQ$44, "")</f>
        <v>0</v>
      </c>
      <c r="EW26" s="2384"/>
      <c r="EX26" s="2384"/>
      <c r="EY26" s="2384"/>
      <c r="EZ26" s="2384"/>
      <c r="FA26" s="2384"/>
      <c r="FB26" s="2384">
        <f>IF(Data!$CR$44&lt;&gt;"",Data!$CR$44, "")</f>
        <v>0</v>
      </c>
      <c r="FC26" s="2384"/>
      <c r="FD26" s="2384"/>
      <c r="FE26" s="2384"/>
      <c r="FF26" s="2384"/>
      <c r="FG26" s="2384"/>
      <c r="FH26" s="2384">
        <f>IF(Data!$CS$44&lt;&gt;"",Data!$CS$44, "")</f>
        <v>0</v>
      </c>
      <c r="FI26" s="2384"/>
      <c r="FJ26" s="2384"/>
      <c r="FK26" s="2384"/>
      <c r="FL26" s="2384"/>
      <c r="FM26" s="2384"/>
      <c r="FN26" s="2384">
        <f>IF(Data!$CT$44&lt;&gt;"",Data!$CT$44, "")</f>
        <v>0</v>
      </c>
      <c r="FO26" s="2384"/>
      <c r="FP26" s="2384"/>
      <c r="FQ26" s="2384"/>
      <c r="FR26" s="2384"/>
      <c r="FS26" s="2384"/>
      <c r="FT26" s="2384">
        <f>IF(Data!$CU$44&lt;&gt;"",Data!$CU$44, "")</f>
        <v>0</v>
      </c>
      <c r="FU26" s="2384"/>
      <c r="FV26" s="2384"/>
      <c r="FW26" s="2384"/>
      <c r="FX26" s="2384"/>
      <c r="FY26" s="2384"/>
      <c r="FZ26" s="2384">
        <f>IF(Data!$CV$44&lt;&gt;"",Data!$CV$44, "")</f>
        <v>0</v>
      </c>
      <c r="GA26" s="2384"/>
      <c r="GB26" s="2384"/>
      <c r="GC26" s="2384"/>
      <c r="GD26" s="2384"/>
      <c r="GE26" s="2384"/>
      <c r="GF26" s="1248"/>
      <c r="GG26" s="1248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45">
      <c r="A27" s="338">
        <v>1</v>
      </c>
      <c r="B27" s="2383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S</v>
      </c>
      <c r="C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83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S</v>
      </c>
      <c r="I27" s="2383"/>
      <c r="J27" s="2383"/>
      <c r="K27" s="2383"/>
      <c r="L27" s="2383"/>
      <c r="M27" s="2383"/>
      <c r="N27" s="2383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S</v>
      </c>
      <c r="O27" s="2383"/>
      <c r="P27" s="2383"/>
      <c r="Q27" s="2383"/>
      <c r="R27" s="2383"/>
      <c r="S27" s="2383"/>
      <c r="T27" s="2383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S</v>
      </c>
      <c r="U27" s="2383"/>
      <c r="V27" s="2383"/>
      <c r="W27" s="2383"/>
      <c r="X27" s="2383"/>
      <c r="Y27" s="2383"/>
      <c r="Z27" s="2383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S</v>
      </c>
      <c r="AA27" s="2383"/>
      <c r="AB27" s="2383"/>
      <c r="AC27" s="2383"/>
      <c r="AD27" s="2383"/>
      <c r="AE27" s="2383"/>
      <c r="AF27" s="2383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X1</v>
      </c>
      <c r="AG27" s="2383"/>
      <c r="AH27" s="2383"/>
      <c r="AI27" s="2383"/>
      <c r="AJ27" s="2383"/>
      <c r="AK27" s="2383"/>
      <c r="AL27" s="2383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M27" s="2383"/>
      <c r="AN27" s="2383"/>
      <c r="AO27" s="2383"/>
      <c r="AP27" s="2383"/>
      <c r="AQ27" s="2383"/>
      <c r="AR27" s="2383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AS27" s="2383"/>
      <c r="AT27" s="2383"/>
      <c r="AU27" s="2383"/>
      <c r="AV27" s="2383"/>
      <c r="AW27" s="2383"/>
      <c r="AX27" s="2383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AY27" s="2383"/>
      <c r="AZ27" s="2383"/>
      <c r="BA27" s="2383"/>
      <c r="BB27" s="2383"/>
      <c r="BC27" s="2383"/>
      <c r="BD27" s="2383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BE27" s="2383"/>
      <c r="BF27" s="2383"/>
      <c r="BG27" s="2383"/>
      <c r="BH27" s="2383"/>
      <c r="BI27" s="2383"/>
      <c r="BJ27" s="2383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S</v>
      </c>
      <c r="BK27" s="2383"/>
      <c r="BL27" s="2383"/>
      <c r="BM27" s="2383"/>
      <c r="BN27" s="2383"/>
      <c r="BO27" s="2383"/>
      <c r="BP27" s="2383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X2</v>
      </c>
      <c r="BQ27" s="2383"/>
      <c r="BR27" s="2383"/>
      <c r="BS27" s="2383"/>
      <c r="BT27" s="2383"/>
      <c r="BU27" s="2383"/>
      <c r="BV27" s="2383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X2</v>
      </c>
      <c r="BW27" s="2383"/>
      <c r="BX27" s="2383"/>
      <c r="BY27" s="2383"/>
      <c r="BZ27" s="2383"/>
      <c r="CA27" s="2383"/>
      <c r="CB27" s="2383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CC27" s="2383"/>
      <c r="CD27" s="2383"/>
      <c r="CE27" s="2383"/>
      <c r="CF27" s="2383"/>
      <c r="CG27" s="2383"/>
      <c r="CH27" s="2383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CI27" s="2383"/>
      <c r="CJ27" s="2383"/>
      <c r="CK27" s="2383"/>
      <c r="CL27" s="2383"/>
      <c r="CM27" s="2383"/>
      <c r="CN27" s="2383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CO27" s="2383"/>
      <c r="CP27" s="2383"/>
      <c r="CQ27" s="2383"/>
      <c r="CR27" s="2383"/>
      <c r="CS27" s="2383"/>
      <c r="CT27" s="2383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CU27" s="2383"/>
      <c r="CV27" s="2383"/>
      <c r="CW27" s="2383"/>
      <c r="CX27" s="2383"/>
      <c r="CY27" s="2383"/>
      <c r="CZ27" s="2383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DA27" s="2383"/>
      <c r="DB27" s="2383"/>
      <c r="DC27" s="2383"/>
      <c r="DD27" s="2383"/>
      <c r="DE27" s="2383"/>
      <c r="DF27" s="2383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DG27" s="2383"/>
      <c r="DH27" s="2383"/>
      <c r="DI27" s="2383"/>
      <c r="DJ27" s="2383"/>
      <c r="DK27" s="2383"/>
      <c r="DL27" s="2383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DM27" s="2383"/>
      <c r="DN27" s="2383"/>
      <c r="DO27" s="2383"/>
      <c r="DP27" s="2383"/>
      <c r="DQ27" s="2383"/>
      <c r="DR27" s="2383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DS27" s="2383"/>
      <c r="DT27" s="2383"/>
      <c r="DU27" s="2383"/>
      <c r="DV27" s="2383"/>
      <c r="DW27" s="2383"/>
      <c r="DX27" s="2383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DY27" s="2383"/>
      <c r="DZ27" s="2383"/>
      <c r="EA27" s="2383"/>
      <c r="EB27" s="2383"/>
      <c r="EC27" s="2383"/>
      <c r="ED27" s="2383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EE27" s="2383"/>
      <c r="EF27" s="2383"/>
      <c r="EG27" s="2383"/>
      <c r="EH27" s="2383"/>
      <c r="EI27" s="2383"/>
      <c r="EJ27" s="2383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/>
      </c>
      <c r="EK27" s="2383"/>
      <c r="EL27" s="2383"/>
      <c r="EM27" s="2383"/>
      <c r="EN27" s="2383"/>
      <c r="EO27" s="2383"/>
      <c r="EP27" s="2383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83"/>
      <c r="ER27" s="2383"/>
      <c r="ES27" s="2383"/>
      <c r="ET27" s="2383"/>
      <c r="EU27" s="2383"/>
      <c r="EV27" s="2383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83"/>
      <c r="EX27" s="2383"/>
      <c r="EY27" s="2383"/>
      <c r="EZ27" s="2383"/>
      <c r="FA27" s="2383"/>
      <c r="FB27" s="2383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83"/>
      <c r="FD27" s="2383"/>
      <c r="FE27" s="2383"/>
      <c r="FF27" s="2383"/>
      <c r="FG27" s="2383"/>
      <c r="FH27" s="2383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83"/>
      <c r="FJ27" s="2383"/>
      <c r="FK27" s="2383"/>
      <c r="FL27" s="2383"/>
      <c r="FM27" s="2383"/>
      <c r="FN27" s="2383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83"/>
      <c r="FP27" s="2383"/>
      <c r="FQ27" s="2383"/>
      <c r="FR27" s="2383"/>
      <c r="FS27" s="2383"/>
      <c r="FT27" s="2383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83"/>
      <c r="FV27" s="2383"/>
      <c r="FW27" s="2383"/>
      <c r="FX27" s="2383"/>
      <c r="FY27" s="2383"/>
      <c r="FZ27" s="2383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83"/>
      <c r="GB27" s="2383"/>
      <c r="GC27" s="2383"/>
      <c r="GD27" s="2383"/>
      <c r="GE27" s="2383"/>
      <c r="GF27" s="1248"/>
      <c r="GG27" s="1248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>S</v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45">
      <c r="A28" s="338">
        <v>2</v>
      </c>
      <c r="B28" s="2383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S</v>
      </c>
      <c r="C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83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S</v>
      </c>
      <c r="I28" s="2383"/>
      <c r="J28" s="2383"/>
      <c r="K28" s="2383"/>
      <c r="L28" s="2383"/>
      <c r="M28" s="2383"/>
      <c r="N28" s="2383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X1</v>
      </c>
      <c r="O28" s="2383"/>
      <c r="P28" s="2383"/>
      <c r="Q28" s="2383"/>
      <c r="R28" s="2383"/>
      <c r="S28" s="2383"/>
      <c r="T28" s="2383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U28" s="2383"/>
      <c r="V28" s="2383"/>
      <c r="W28" s="2383"/>
      <c r="X28" s="2383"/>
      <c r="Y28" s="2383"/>
      <c r="Z28" s="2383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A28" s="2383"/>
      <c r="AB28" s="2383"/>
      <c r="AC28" s="2383"/>
      <c r="AD28" s="2383"/>
      <c r="AE28" s="2383"/>
      <c r="AF28" s="2383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G28" s="2383"/>
      <c r="AH28" s="2383"/>
      <c r="AI28" s="2383"/>
      <c r="AJ28" s="2383"/>
      <c r="AK28" s="2383"/>
      <c r="AL28" s="2383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M28" s="2383"/>
      <c r="AN28" s="2383"/>
      <c r="AO28" s="2383"/>
      <c r="AP28" s="2383"/>
      <c r="AQ28" s="2383"/>
      <c r="AR28" s="2383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AS28" s="2383"/>
      <c r="AT28" s="2383"/>
      <c r="AU28" s="2383"/>
      <c r="AV28" s="2383"/>
      <c r="AW28" s="2383"/>
      <c r="AX28" s="2383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AY28" s="2383"/>
      <c r="AZ28" s="2383"/>
      <c r="BA28" s="2383"/>
      <c r="BB28" s="2383"/>
      <c r="BC28" s="2383"/>
      <c r="BD28" s="2383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S</v>
      </c>
      <c r="BE28" s="2383"/>
      <c r="BF28" s="2383"/>
      <c r="BG28" s="2383"/>
      <c r="BH28" s="2383"/>
      <c r="BI28" s="2383"/>
      <c r="BJ28" s="2383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S</v>
      </c>
      <c r="BK28" s="2383"/>
      <c r="BL28" s="2383"/>
      <c r="BM28" s="2383"/>
      <c r="BN28" s="2383"/>
      <c r="BO28" s="2383"/>
      <c r="BP28" s="2383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>S</v>
      </c>
      <c r="BQ28" s="2383"/>
      <c r="BR28" s="2383"/>
      <c r="BS28" s="2383"/>
      <c r="BT28" s="2383"/>
      <c r="BU28" s="2383"/>
      <c r="BV28" s="2383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>R</v>
      </c>
      <c r="BW28" s="2383"/>
      <c r="BX28" s="2383"/>
      <c r="BY28" s="2383"/>
      <c r="BZ28" s="2383"/>
      <c r="CA28" s="2383"/>
      <c r="CB28" s="2383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CC28" s="2383"/>
      <c r="CD28" s="2383"/>
      <c r="CE28" s="2383"/>
      <c r="CF28" s="2383"/>
      <c r="CG28" s="2383"/>
      <c r="CH28" s="2383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CI28" s="2383"/>
      <c r="CJ28" s="2383"/>
      <c r="CK28" s="2383"/>
      <c r="CL28" s="2383"/>
      <c r="CM28" s="2383"/>
      <c r="CN28" s="2383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CO28" s="2383"/>
      <c r="CP28" s="2383"/>
      <c r="CQ28" s="2383"/>
      <c r="CR28" s="2383"/>
      <c r="CS28" s="2383"/>
      <c r="CT28" s="2383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CU28" s="2383"/>
      <c r="CV28" s="2383"/>
      <c r="CW28" s="2383"/>
      <c r="CX28" s="2383"/>
      <c r="CY28" s="2383"/>
      <c r="CZ28" s="2383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DA28" s="2383"/>
      <c r="DB28" s="2383"/>
      <c r="DC28" s="2383"/>
      <c r="DD28" s="2383"/>
      <c r="DE28" s="2383"/>
      <c r="DF28" s="2383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DG28" s="2383"/>
      <c r="DH28" s="2383"/>
      <c r="DI28" s="2383"/>
      <c r="DJ28" s="2383"/>
      <c r="DK28" s="2383"/>
      <c r="DL28" s="2383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DM28" s="2383"/>
      <c r="DN28" s="2383"/>
      <c r="DO28" s="2383"/>
      <c r="DP28" s="2383"/>
      <c r="DQ28" s="2383"/>
      <c r="DR28" s="2383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DS28" s="2383"/>
      <c r="DT28" s="2383"/>
      <c r="DU28" s="2383"/>
      <c r="DV28" s="2383"/>
      <c r="DW28" s="2383"/>
      <c r="DX28" s="2383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DY28" s="2383"/>
      <c r="DZ28" s="2383"/>
      <c r="EA28" s="2383"/>
      <c r="EB28" s="2383"/>
      <c r="EC28" s="2383"/>
      <c r="ED28" s="2383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EE28" s="2383"/>
      <c r="EF28" s="2383"/>
      <c r="EG28" s="2383"/>
      <c r="EH28" s="2383"/>
      <c r="EI28" s="2383"/>
      <c r="EJ28" s="2383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/>
      </c>
      <c r="EK28" s="2383"/>
      <c r="EL28" s="2383"/>
      <c r="EM28" s="2383"/>
      <c r="EN28" s="2383"/>
      <c r="EO28" s="2383"/>
      <c r="EP28" s="2383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83"/>
      <c r="ER28" s="2383"/>
      <c r="ES28" s="2383"/>
      <c r="ET28" s="2383"/>
      <c r="EU28" s="2383"/>
      <c r="EV28" s="2383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83"/>
      <c r="EX28" s="2383"/>
      <c r="EY28" s="2383"/>
      <c r="EZ28" s="2383"/>
      <c r="FA28" s="2383"/>
      <c r="FB28" s="2383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83"/>
      <c r="FD28" s="2383"/>
      <c r="FE28" s="2383"/>
      <c r="FF28" s="2383"/>
      <c r="FG28" s="2383"/>
      <c r="FH28" s="2383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83"/>
      <c r="FJ28" s="2383"/>
      <c r="FK28" s="2383"/>
      <c r="FL28" s="2383"/>
      <c r="FM28" s="2383"/>
      <c r="FN28" s="2383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83"/>
      <c r="FP28" s="2383"/>
      <c r="FQ28" s="2383"/>
      <c r="FR28" s="2383"/>
      <c r="FS28" s="2383"/>
      <c r="FT28" s="2383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83"/>
      <c r="FV28" s="2383"/>
      <c r="FW28" s="2383"/>
      <c r="FX28" s="2383"/>
      <c r="FY28" s="2383"/>
      <c r="FZ28" s="2383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83"/>
      <c r="GB28" s="2383"/>
      <c r="GC28" s="2383"/>
      <c r="GD28" s="2383"/>
      <c r="GE28" s="2383"/>
      <c r="GF28" s="1248"/>
      <c r="GG28" s="1248"/>
    </row>
    <row r="29" spans="1:235" ht="44.25" customHeight="1" x14ac:dyDescent="0.45">
      <c r="A29" s="338">
        <v>3</v>
      </c>
      <c r="B29" s="2383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S</v>
      </c>
      <c r="C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83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S</v>
      </c>
      <c r="I29" s="2383"/>
      <c r="J29" s="2383"/>
      <c r="K29" s="2383"/>
      <c r="L29" s="2383"/>
      <c r="M29" s="2383"/>
      <c r="N29" s="2383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S</v>
      </c>
      <c r="O29" s="2383"/>
      <c r="P29" s="2383"/>
      <c r="Q29" s="2383"/>
      <c r="R29" s="2383"/>
      <c r="S29" s="2383"/>
      <c r="T29" s="2383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S</v>
      </c>
      <c r="U29" s="2383"/>
      <c r="V29" s="2383"/>
      <c r="W29" s="2383"/>
      <c r="X29" s="2383"/>
      <c r="Y29" s="2383"/>
      <c r="Z29" s="2383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X1</v>
      </c>
      <c r="AA29" s="2383"/>
      <c r="AB29" s="2383"/>
      <c r="AC29" s="2383"/>
      <c r="AD29" s="2383"/>
      <c r="AE29" s="2383"/>
      <c r="AF29" s="2383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AG29" s="2383"/>
      <c r="AH29" s="2383"/>
      <c r="AI29" s="2383"/>
      <c r="AJ29" s="2383"/>
      <c r="AK29" s="2383"/>
      <c r="AL29" s="2383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M29" s="2383"/>
      <c r="AN29" s="2383"/>
      <c r="AO29" s="2383"/>
      <c r="AP29" s="2383"/>
      <c r="AQ29" s="2383"/>
      <c r="AR29" s="2383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AS29" s="2383"/>
      <c r="AT29" s="2383"/>
      <c r="AU29" s="2383"/>
      <c r="AV29" s="2383"/>
      <c r="AW29" s="2383"/>
      <c r="AX29" s="2383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AY29" s="2383"/>
      <c r="AZ29" s="2383"/>
      <c r="BA29" s="2383"/>
      <c r="BB29" s="2383"/>
      <c r="BC29" s="2383"/>
      <c r="BD29" s="2383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S</v>
      </c>
      <c r="BE29" s="2383"/>
      <c r="BF29" s="2383"/>
      <c r="BG29" s="2383"/>
      <c r="BH29" s="2383"/>
      <c r="BI29" s="2383"/>
      <c r="BJ29" s="2383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S</v>
      </c>
      <c r="BK29" s="2383"/>
      <c r="BL29" s="2383"/>
      <c r="BM29" s="2383"/>
      <c r="BN29" s="2383"/>
      <c r="BO29" s="2383"/>
      <c r="BP29" s="2383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>R</v>
      </c>
      <c r="BQ29" s="2383"/>
      <c r="BR29" s="2383"/>
      <c r="BS29" s="2383"/>
      <c r="BT29" s="2383"/>
      <c r="BU29" s="2383"/>
      <c r="BV29" s="2383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83"/>
      <c r="BX29" s="2383"/>
      <c r="BY29" s="2383"/>
      <c r="BZ29" s="2383"/>
      <c r="CA29" s="2383"/>
      <c r="CB29" s="2383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CC29" s="2383"/>
      <c r="CD29" s="2383"/>
      <c r="CE29" s="2383"/>
      <c r="CF29" s="2383"/>
      <c r="CG29" s="2383"/>
      <c r="CH29" s="2383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CI29" s="2383"/>
      <c r="CJ29" s="2383"/>
      <c r="CK29" s="2383"/>
      <c r="CL29" s="2383"/>
      <c r="CM29" s="2383"/>
      <c r="CN29" s="2383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CO29" s="2383"/>
      <c r="CP29" s="2383"/>
      <c r="CQ29" s="2383"/>
      <c r="CR29" s="2383"/>
      <c r="CS29" s="2383"/>
      <c r="CT29" s="2383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CU29" s="2383"/>
      <c r="CV29" s="2383"/>
      <c r="CW29" s="2383"/>
      <c r="CX29" s="2383"/>
      <c r="CY29" s="2383"/>
      <c r="CZ29" s="2383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DA29" s="2383"/>
      <c r="DB29" s="2383"/>
      <c r="DC29" s="2383"/>
      <c r="DD29" s="2383"/>
      <c r="DE29" s="2383"/>
      <c r="DF29" s="2383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DG29" s="2383"/>
      <c r="DH29" s="2383"/>
      <c r="DI29" s="2383"/>
      <c r="DJ29" s="2383"/>
      <c r="DK29" s="2383"/>
      <c r="DL29" s="2383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DM29" s="2383"/>
      <c r="DN29" s="2383"/>
      <c r="DO29" s="2383"/>
      <c r="DP29" s="2383"/>
      <c r="DQ29" s="2383"/>
      <c r="DR29" s="2383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DS29" s="2383"/>
      <c r="DT29" s="2383"/>
      <c r="DU29" s="2383"/>
      <c r="DV29" s="2383"/>
      <c r="DW29" s="2383"/>
      <c r="DX29" s="2383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DY29" s="2383"/>
      <c r="DZ29" s="2383"/>
      <c r="EA29" s="2383"/>
      <c r="EB29" s="2383"/>
      <c r="EC29" s="2383"/>
      <c r="ED29" s="2383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EE29" s="2383"/>
      <c r="EF29" s="2383"/>
      <c r="EG29" s="2383"/>
      <c r="EH29" s="2383"/>
      <c r="EI29" s="2383"/>
      <c r="EJ29" s="2383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/>
      </c>
      <c r="EK29" s="2383"/>
      <c r="EL29" s="2383"/>
      <c r="EM29" s="2383"/>
      <c r="EN29" s="2383"/>
      <c r="EO29" s="2383"/>
      <c r="EP29" s="2383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83"/>
      <c r="ER29" s="2383"/>
      <c r="ES29" s="2383"/>
      <c r="ET29" s="2383"/>
      <c r="EU29" s="2383"/>
      <c r="EV29" s="2383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83"/>
      <c r="EX29" s="2383"/>
      <c r="EY29" s="2383"/>
      <c r="EZ29" s="2383"/>
      <c r="FA29" s="2383"/>
      <c r="FB29" s="2383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83"/>
      <c r="FD29" s="2383"/>
      <c r="FE29" s="2383"/>
      <c r="FF29" s="2383"/>
      <c r="FG29" s="2383"/>
      <c r="FH29" s="2383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83"/>
      <c r="FJ29" s="2383"/>
      <c r="FK29" s="2383"/>
      <c r="FL29" s="2383"/>
      <c r="FM29" s="2383"/>
      <c r="FN29" s="2383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83"/>
      <c r="FP29" s="2383"/>
      <c r="FQ29" s="2383"/>
      <c r="FR29" s="2383"/>
      <c r="FS29" s="2383"/>
      <c r="FT29" s="2383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83"/>
      <c r="FV29" s="2383"/>
      <c r="FW29" s="2383"/>
      <c r="FX29" s="2383"/>
      <c r="FY29" s="2383"/>
      <c r="FZ29" s="2383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83"/>
      <c r="GB29" s="2383"/>
      <c r="GC29" s="2383"/>
      <c r="GD29" s="2383"/>
      <c r="GE29" s="2383"/>
      <c r="GF29" s="1248"/>
      <c r="GG29" s="1248"/>
    </row>
    <row r="30" spans="1:235" ht="44.25" customHeight="1" x14ac:dyDescent="0.45">
      <c r="A30" s="338">
        <v>4</v>
      </c>
      <c r="B30" s="2383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S</v>
      </c>
      <c r="C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83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S</v>
      </c>
      <c r="I30" s="2383"/>
      <c r="J30" s="2383"/>
      <c r="K30" s="2383"/>
      <c r="L30" s="2383"/>
      <c r="M30" s="2383"/>
      <c r="N30" s="2383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X1</v>
      </c>
      <c r="O30" s="2383"/>
      <c r="P30" s="2383"/>
      <c r="Q30" s="2383"/>
      <c r="R30" s="2383"/>
      <c r="S30" s="2383"/>
      <c r="T30" s="2383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U30" s="2383"/>
      <c r="V30" s="2383"/>
      <c r="W30" s="2383"/>
      <c r="X30" s="2383"/>
      <c r="Y30" s="2383"/>
      <c r="Z30" s="2383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X1</v>
      </c>
      <c r="AA30" s="2383"/>
      <c r="AB30" s="2383"/>
      <c r="AC30" s="2383"/>
      <c r="AD30" s="2383"/>
      <c r="AE30" s="2383"/>
      <c r="AF30" s="2383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AG30" s="2383"/>
      <c r="AH30" s="2383"/>
      <c r="AI30" s="2383"/>
      <c r="AJ30" s="2383"/>
      <c r="AK30" s="2383"/>
      <c r="AL30" s="2383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M30" s="2383"/>
      <c r="AN30" s="2383"/>
      <c r="AO30" s="2383"/>
      <c r="AP30" s="2383"/>
      <c r="AQ30" s="2383"/>
      <c r="AR30" s="2383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AS30" s="2383"/>
      <c r="AT30" s="2383"/>
      <c r="AU30" s="2383"/>
      <c r="AV30" s="2383"/>
      <c r="AW30" s="2383"/>
      <c r="AX30" s="2383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AY30" s="2383"/>
      <c r="AZ30" s="2383"/>
      <c r="BA30" s="2383"/>
      <c r="BB30" s="2383"/>
      <c r="BC30" s="2383"/>
      <c r="BD30" s="2383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S</v>
      </c>
      <c r="BE30" s="2383"/>
      <c r="BF30" s="2383"/>
      <c r="BG30" s="2383"/>
      <c r="BH30" s="2383"/>
      <c r="BI30" s="2383"/>
      <c r="BJ30" s="2383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S</v>
      </c>
      <c r="BK30" s="2383"/>
      <c r="BL30" s="2383"/>
      <c r="BM30" s="2383"/>
      <c r="BN30" s="2383"/>
      <c r="BO30" s="2383"/>
      <c r="BP30" s="2383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S</v>
      </c>
      <c r="BQ30" s="2383"/>
      <c r="BR30" s="2383"/>
      <c r="BS30" s="2383"/>
      <c r="BT30" s="2383"/>
      <c r="BU30" s="2383"/>
      <c r="BV30" s="2383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R</v>
      </c>
      <c r="BW30" s="2383"/>
      <c r="BX30" s="2383"/>
      <c r="BY30" s="2383"/>
      <c r="BZ30" s="2383"/>
      <c r="CA30" s="2383"/>
      <c r="CB30" s="2383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CC30" s="2383"/>
      <c r="CD30" s="2383"/>
      <c r="CE30" s="2383"/>
      <c r="CF30" s="2383"/>
      <c r="CG30" s="2383"/>
      <c r="CH30" s="2383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CI30" s="2383"/>
      <c r="CJ30" s="2383"/>
      <c r="CK30" s="2383"/>
      <c r="CL30" s="2383"/>
      <c r="CM30" s="2383"/>
      <c r="CN30" s="2383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CO30" s="2383"/>
      <c r="CP30" s="2383"/>
      <c r="CQ30" s="2383"/>
      <c r="CR30" s="2383"/>
      <c r="CS30" s="2383"/>
      <c r="CT30" s="2383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CU30" s="2383"/>
      <c r="CV30" s="2383"/>
      <c r="CW30" s="2383"/>
      <c r="CX30" s="2383"/>
      <c r="CY30" s="2383"/>
      <c r="CZ30" s="2383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DA30" s="2383"/>
      <c r="DB30" s="2383"/>
      <c r="DC30" s="2383"/>
      <c r="DD30" s="2383"/>
      <c r="DE30" s="2383"/>
      <c r="DF30" s="2383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DG30" s="2383"/>
      <c r="DH30" s="2383"/>
      <c r="DI30" s="2383"/>
      <c r="DJ30" s="2383"/>
      <c r="DK30" s="2383"/>
      <c r="DL30" s="2383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DM30" s="2383"/>
      <c r="DN30" s="2383"/>
      <c r="DO30" s="2383"/>
      <c r="DP30" s="2383"/>
      <c r="DQ30" s="2383"/>
      <c r="DR30" s="2383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DS30" s="2383"/>
      <c r="DT30" s="2383"/>
      <c r="DU30" s="2383"/>
      <c r="DV30" s="2383"/>
      <c r="DW30" s="2383"/>
      <c r="DX30" s="2383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DY30" s="2383"/>
      <c r="DZ30" s="2383"/>
      <c r="EA30" s="2383"/>
      <c r="EB30" s="2383"/>
      <c r="EC30" s="2383"/>
      <c r="ED30" s="2383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EE30" s="2383"/>
      <c r="EF30" s="2383"/>
      <c r="EG30" s="2383"/>
      <c r="EH30" s="2383"/>
      <c r="EI30" s="2383"/>
      <c r="EJ30" s="2383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/>
      </c>
      <c r="EK30" s="2383"/>
      <c r="EL30" s="2383"/>
      <c r="EM30" s="2383"/>
      <c r="EN30" s="2383"/>
      <c r="EO30" s="2383"/>
      <c r="EP30" s="2383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83"/>
      <c r="ER30" s="2383"/>
      <c r="ES30" s="2383"/>
      <c r="ET30" s="2383"/>
      <c r="EU30" s="2383"/>
      <c r="EV30" s="2383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83"/>
      <c r="EX30" s="2383"/>
      <c r="EY30" s="2383"/>
      <c r="EZ30" s="2383"/>
      <c r="FA30" s="2383"/>
      <c r="FB30" s="2383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83"/>
      <c r="FD30" s="2383"/>
      <c r="FE30" s="2383"/>
      <c r="FF30" s="2383"/>
      <c r="FG30" s="2383"/>
      <c r="FH30" s="2383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83"/>
      <c r="FJ30" s="2383"/>
      <c r="FK30" s="2383"/>
      <c r="FL30" s="2383"/>
      <c r="FM30" s="2383"/>
      <c r="FN30" s="2383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83"/>
      <c r="FP30" s="2383"/>
      <c r="FQ30" s="2383"/>
      <c r="FR30" s="2383"/>
      <c r="FS30" s="2383"/>
      <c r="FT30" s="2383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83"/>
      <c r="FV30" s="2383"/>
      <c r="FW30" s="2383"/>
      <c r="FX30" s="2383"/>
      <c r="FY30" s="2383"/>
      <c r="FZ30" s="2383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83"/>
      <c r="GB30" s="2383"/>
      <c r="GC30" s="2383"/>
      <c r="GD30" s="2383"/>
      <c r="GE30" s="2383"/>
      <c r="GF30" s="1248"/>
      <c r="GG30" s="1248"/>
    </row>
    <row r="31" spans="1:235" ht="44.25" customHeight="1" x14ac:dyDescent="0.45">
      <c r="A31" s="338">
        <v>5</v>
      </c>
      <c r="B31" s="2383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S</v>
      </c>
      <c r="C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83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S</v>
      </c>
      <c r="I31" s="2383"/>
      <c r="J31" s="2383"/>
      <c r="K31" s="2383"/>
      <c r="L31" s="2383"/>
      <c r="M31" s="2383"/>
      <c r="N31" s="2383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S</v>
      </c>
      <c r="O31" s="2383"/>
      <c r="P31" s="2383"/>
      <c r="Q31" s="2383"/>
      <c r="R31" s="2383"/>
      <c r="S31" s="2383"/>
      <c r="T31" s="2383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S</v>
      </c>
      <c r="U31" s="2383"/>
      <c r="V31" s="2383"/>
      <c r="W31" s="2383"/>
      <c r="X31" s="2383"/>
      <c r="Y31" s="2383"/>
      <c r="Z31" s="2383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S</v>
      </c>
      <c r="AA31" s="2383"/>
      <c r="AB31" s="2383"/>
      <c r="AC31" s="2383"/>
      <c r="AD31" s="2383"/>
      <c r="AE31" s="2383"/>
      <c r="AF31" s="2383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X1</v>
      </c>
      <c r="AG31" s="2383"/>
      <c r="AH31" s="2383"/>
      <c r="AI31" s="2383"/>
      <c r="AJ31" s="2383"/>
      <c r="AK31" s="2383"/>
      <c r="AL31" s="2383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M31" s="2383"/>
      <c r="AN31" s="2383"/>
      <c r="AO31" s="2383"/>
      <c r="AP31" s="2383"/>
      <c r="AQ31" s="2383"/>
      <c r="AR31" s="2383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AS31" s="2383"/>
      <c r="AT31" s="2383"/>
      <c r="AU31" s="2383"/>
      <c r="AV31" s="2383"/>
      <c r="AW31" s="2383"/>
      <c r="AX31" s="2383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AY31" s="2383"/>
      <c r="AZ31" s="2383"/>
      <c r="BA31" s="2383"/>
      <c r="BB31" s="2383"/>
      <c r="BC31" s="2383"/>
      <c r="BD31" s="2383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S</v>
      </c>
      <c r="BE31" s="2383"/>
      <c r="BF31" s="2383"/>
      <c r="BG31" s="2383"/>
      <c r="BH31" s="2383"/>
      <c r="BI31" s="2383"/>
      <c r="BJ31" s="2383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S</v>
      </c>
      <c r="BK31" s="2383"/>
      <c r="BL31" s="2383"/>
      <c r="BM31" s="2383"/>
      <c r="BN31" s="2383"/>
      <c r="BO31" s="2383"/>
      <c r="BP31" s="2383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>X2</v>
      </c>
      <c r="BQ31" s="2383"/>
      <c r="BR31" s="2383"/>
      <c r="BS31" s="2383"/>
      <c r="BT31" s="2383"/>
      <c r="BU31" s="2383"/>
      <c r="BV31" s="2383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>R</v>
      </c>
      <c r="BW31" s="2383"/>
      <c r="BX31" s="2383"/>
      <c r="BY31" s="2383"/>
      <c r="BZ31" s="2383"/>
      <c r="CA31" s="2383"/>
      <c r="CB31" s="2383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CC31" s="2383"/>
      <c r="CD31" s="2383"/>
      <c r="CE31" s="2383"/>
      <c r="CF31" s="2383"/>
      <c r="CG31" s="2383"/>
      <c r="CH31" s="2383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CI31" s="2383"/>
      <c r="CJ31" s="2383"/>
      <c r="CK31" s="2383"/>
      <c r="CL31" s="2383"/>
      <c r="CM31" s="2383"/>
      <c r="CN31" s="2383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CO31" s="2383"/>
      <c r="CP31" s="2383"/>
      <c r="CQ31" s="2383"/>
      <c r="CR31" s="2383"/>
      <c r="CS31" s="2383"/>
      <c r="CT31" s="2383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CU31" s="2383"/>
      <c r="CV31" s="2383"/>
      <c r="CW31" s="2383"/>
      <c r="CX31" s="2383"/>
      <c r="CY31" s="2383"/>
      <c r="CZ31" s="2383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DA31" s="2383"/>
      <c r="DB31" s="2383"/>
      <c r="DC31" s="2383"/>
      <c r="DD31" s="2383"/>
      <c r="DE31" s="2383"/>
      <c r="DF31" s="2383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DG31" s="2383"/>
      <c r="DH31" s="2383"/>
      <c r="DI31" s="2383"/>
      <c r="DJ31" s="2383"/>
      <c r="DK31" s="2383"/>
      <c r="DL31" s="2383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DM31" s="2383"/>
      <c r="DN31" s="2383"/>
      <c r="DO31" s="2383"/>
      <c r="DP31" s="2383"/>
      <c r="DQ31" s="2383"/>
      <c r="DR31" s="2383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DS31" s="2383"/>
      <c r="DT31" s="2383"/>
      <c r="DU31" s="2383"/>
      <c r="DV31" s="2383"/>
      <c r="DW31" s="2383"/>
      <c r="DX31" s="2383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DY31" s="2383"/>
      <c r="DZ31" s="2383"/>
      <c r="EA31" s="2383"/>
      <c r="EB31" s="2383"/>
      <c r="EC31" s="2383"/>
      <c r="ED31" s="2383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EE31" s="2383"/>
      <c r="EF31" s="2383"/>
      <c r="EG31" s="2383"/>
      <c r="EH31" s="2383"/>
      <c r="EI31" s="2383"/>
      <c r="EJ31" s="2383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/>
      </c>
      <c r="EK31" s="2383"/>
      <c r="EL31" s="2383"/>
      <c r="EM31" s="2383"/>
      <c r="EN31" s="2383"/>
      <c r="EO31" s="2383"/>
      <c r="EP31" s="2383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83"/>
      <c r="ER31" s="2383"/>
      <c r="ES31" s="2383"/>
      <c r="ET31" s="2383"/>
      <c r="EU31" s="2383"/>
      <c r="EV31" s="2383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83"/>
      <c r="EX31" s="2383"/>
      <c r="EY31" s="2383"/>
      <c r="EZ31" s="2383"/>
      <c r="FA31" s="2383"/>
      <c r="FB31" s="2383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83"/>
      <c r="FD31" s="2383"/>
      <c r="FE31" s="2383"/>
      <c r="FF31" s="2383"/>
      <c r="FG31" s="2383"/>
      <c r="FH31" s="2383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83"/>
      <c r="FJ31" s="2383"/>
      <c r="FK31" s="2383"/>
      <c r="FL31" s="2383"/>
      <c r="FM31" s="2383"/>
      <c r="FN31" s="2383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83"/>
      <c r="FP31" s="2383"/>
      <c r="FQ31" s="2383"/>
      <c r="FR31" s="2383"/>
      <c r="FS31" s="2383"/>
      <c r="FT31" s="2383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83"/>
      <c r="FV31" s="2383"/>
      <c r="FW31" s="2383"/>
      <c r="FX31" s="2383"/>
      <c r="FY31" s="2383"/>
      <c r="FZ31" s="2383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83"/>
      <c r="GB31" s="2383"/>
      <c r="GC31" s="2383"/>
      <c r="GD31" s="2383"/>
      <c r="GE31" s="2383"/>
      <c r="GF31" s="1248"/>
      <c r="GG31" s="1248"/>
    </row>
    <row r="32" spans="1:235" ht="44.25" customHeight="1" x14ac:dyDescent="0.45">
      <c r="A32" s="338">
        <v>6</v>
      </c>
      <c r="B32" s="2383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S</v>
      </c>
      <c r="C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83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X1</v>
      </c>
      <c r="I32" s="2383"/>
      <c r="J32" s="2383"/>
      <c r="K32" s="2383"/>
      <c r="L32" s="2383"/>
      <c r="M32" s="2383"/>
      <c r="N32" s="2383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S</v>
      </c>
      <c r="O32" s="2383"/>
      <c r="P32" s="2383"/>
      <c r="Q32" s="2383"/>
      <c r="R32" s="2383"/>
      <c r="S32" s="2383"/>
      <c r="T32" s="2383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X1</v>
      </c>
      <c r="U32" s="2383"/>
      <c r="V32" s="2383"/>
      <c r="W32" s="2383"/>
      <c r="X32" s="2383"/>
      <c r="Y32" s="2383"/>
      <c r="Z32" s="2383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AA32" s="2383"/>
      <c r="AB32" s="2383"/>
      <c r="AC32" s="2383"/>
      <c r="AD32" s="2383"/>
      <c r="AE32" s="2383"/>
      <c r="AF32" s="2383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G32" s="2383"/>
      <c r="AH32" s="2383"/>
      <c r="AI32" s="2383"/>
      <c r="AJ32" s="2383"/>
      <c r="AK32" s="2383"/>
      <c r="AL32" s="2383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M32" s="2383"/>
      <c r="AN32" s="2383"/>
      <c r="AO32" s="2383"/>
      <c r="AP32" s="2383"/>
      <c r="AQ32" s="2383"/>
      <c r="AR32" s="2383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AS32" s="2383"/>
      <c r="AT32" s="2383"/>
      <c r="AU32" s="2383"/>
      <c r="AV32" s="2383"/>
      <c r="AW32" s="2383"/>
      <c r="AX32" s="2383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AY32" s="2383"/>
      <c r="AZ32" s="2383"/>
      <c r="BA32" s="2383"/>
      <c r="BB32" s="2383"/>
      <c r="BC32" s="2383"/>
      <c r="BD32" s="2383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BE32" s="2383"/>
      <c r="BF32" s="2383"/>
      <c r="BG32" s="2383"/>
      <c r="BH32" s="2383"/>
      <c r="BI32" s="2383"/>
      <c r="BJ32" s="2383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S</v>
      </c>
      <c r="BK32" s="2383"/>
      <c r="BL32" s="2383"/>
      <c r="BM32" s="2383"/>
      <c r="BN32" s="2383"/>
      <c r="BO32" s="2383"/>
      <c r="BP32" s="2383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S</v>
      </c>
      <c r="BQ32" s="2383"/>
      <c r="BR32" s="2383"/>
      <c r="BS32" s="2383"/>
      <c r="BT32" s="2383"/>
      <c r="BU32" s="2383"/>
      <c r="BV32" s="2383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R</v>
      </c>
      <c r="BW32" s="2383"/>
      <c r="BX32" s="2383"/>
      <c r="BY32" s="2383"/>
      <c r="BZ32" s="2383"/>
      <c r="CA32" s="2383"/>
      <c r="CB32" s="2383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CC32" s="2383"/>
      <c r="CD32" s="2383"/>
      <c r="CE32" s="2383"/>
      <c r="CF32" s="2383"/>
      <c r="CG32" s="2383"/>
      <c r="CH32" s="2383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CI32" s="2383"/>
      <c r="CJ32" s="2383"/>
      <c r="CK32" s="2383"/>
      <c r="CL32" s="2383"/>
      <c r="CM32" s="2383"/>
      <c r="CN32" s="2383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CO32" s="2383"/>
      <c r="CP32" s="2383"/>
      <c r="CQ32" s="2383"/>
      <c r="CR32" s="2383"/>
      <c r="CS32" s="2383"/>
      <c r="CT32" s="2383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CU32" s="2383"/>
      <c r="CV32" s="2383"/>
      <c r="CW32" s="2383"/>
      <c r="CX32" s="2383"/>
      <c r="CY32" s="2383"/>
      <c r="CZ32" s="2383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DA32" s="2383"/>
      <c r="DB32" s="2383"/>
      <c r="DC32" s="2383"/>
      <c r="DD32" s="2383"/>
      <c r="DE32" s="2383"/>
      <c r="DF32" s="2383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DG32" s="2383"/>
      <c r="DH32" s="2383"/>
      <c r="DI32" s="2383"/>
      <c r="DJ32" s="2383"/>
      <c r="DK32" s="2383"/>
      <c r="DL32" s="2383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DM32" s="2383"/>
      <c r="DN32" s="2383"/>
      <c r="DO32" s="2383"/>
      <c r="DP32" s="2383"/>
      <c r="DQ32" s="2383"/>
      <c r="DR32" s="2383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DS32" s="2383"/>
      <c r="DT32" s="2383"/>
      <c r="DU32" s="2383"/>
      <c r="DV32" s="2383"/>
      <c r="DW32" s="2383"/>
      <c r="DX32" s="2383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DY32" s="2383"/>
      <c r="DZ32" s="2383"/>
      <c r="EA32" s="2383"/>
      <c r="EB32" s="2383"/>
      <c r="EC32" s="2383"/>
      <c r="ED32" s="2383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EE32" s="2383"/>
      <c r="EF32" s="2383"/>
      <c r="EG32" s="2383"/>
      <c r="EH32" s="2383"/>
      <c r="EI32" s="2383"/>
      <c r="EJ32" s="2383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/>
      </c>
      <c r="EK32" s="2383"/>
      <c r="EL32" s="2383"/>
      <c r="EM32" s="2383"/>
      <c r="EN32" s="2383"/>
      <c r="EO32" s="2383"/>
      <c r="EP32" s="2383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83"/>
      <c r="ER32" s="2383"/>
      <c r="ES32" s="2383"/>
      <c r="ET32" s="2383"/>
      <c r="EU32" s="2383"/>
      <c r="EV32" s="2383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83"/>
      <c r="EX32" s="2383"/>
      <c r="EY32" s="2383"/>
      <c r="EZ32" s="2383"/>
      <c r="FA32" s="2383"/>
      <c r="FB32" s="2383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83"/>
      <c r="FD32" s="2383"/>
      <c r="FE32" s="2383"/>
      <c r="FF32" s="2383"/>
      <c r="FG32" s="2383"/>
      <c r="FH32" s="2383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83"/>
      <c r="FJ32" s="2383"/>
      <c r="FK32" s="2383"/>
      <c r="FL32" s="2383"/>
      <c r="FM32" s="2383"/>
      <c r="FN32" s="2383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83"/>
      <c r="FP32" s="2383"/>
      <c r="FQ32" s="2383"/>
      <c r="FR32" s="2383"/>
      <c r="FS32" s="2383"/>
      <c r="FT32" s="2383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83"/>
      <c r="FV32" s="2383"/>
      <c r="FW32" s="2383"/>
      <c r="FX32" s="2383"/>
      <c r="FY32" s="2383"/>
      <c r="FZ32" s="2383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83"/>
      <c r="GB32" s="2383"/>
      <c r="GC32" s="2383"/>
      <c r="GD32" s="2383"/>
      <c r="GE32" s="2383"/>
      <c r="GF32" s="1248"/>
      <c r="GG32" s="1248"/>
    </row>
    <row r="33" spans="1:190" ht="44.25" customHeight="1" x14ac:dyDescent="0.45">
      <c r="A33" s="338">
        <v>7</v>
      </c>
      <c r="B33" s="2383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83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I33" s="2383"/>
      <c r="J33" s="2383"/>
      <c r="K33" s="2383"/>
      <c r="L33" s="2383"/>
      <c r="M33" s="2383"/>
      <c r="N33" s="2383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O33" s="2383"/>
      <c r="P33" s="2383"/>
      <c r="Q33" s="2383"/>
      <c r="R33" s="2383"/>
      <c r="S33" s="2383"/>
      <c r="T33" s="2383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U33" s="2383"/>
      <c r="V33" s="2383"/>
      <c r="W33" s="2383"/>
      <c r="X33" s="2383"/>
      <c r="Y33" s="2383"/>
      <c r="Z33" s="2383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A33" s="2383"/>
      <c r="AB33" s="2383"/>
      <c r="AC33" s="2383"/>
      <c r="AD33" s="2383"/>
      <c r="AE33" s="2383"/>
      <c r="AF33" s="2383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G33" s="2383"/>
      <c r="AH33" s="2383"/>
      <c r="AI33" s="2383"/>
      <c r="AJ33" s="2383"/>
      <c r="AK33" s="2383"/>
      <c r="AL33" s="2383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M33" s="2383"/>
      <c r="AN33" s="2383"/>
      <c r="AO33" s="2383"/>
      <c r="AP33" s="2383"/>
      <c r="AQ33" s="2383"/>
      <c r="AR33" s="2383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AS33" s="2383"/>
      <c r="AT33" s="2383"/>
      <c r="AU33" s="2383"/>
      <c r="AV33" s="2383"/>
      <c r="AW33" s="2383"/>
      <c r="AX33" s="2383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AY33" s="2383"/>
      <c r="AZ33" s="2383"/>
      <c r="BA33" s="2383"/>
      <c r="BB33" s="2383"/>
      <c r="BC33" s="2383"/>
      <c r="BD33" s="2383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E33" s="2383"/>
      <c r="BF33" s="2383"/>
      <c r="BG33" s="2383"/>
      <c r="BH33" s="2383"/>
      <c r="BI33" s="2383"/>
      <c r="BJ33" s="2383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BK33" s="2383"/>
      <c r="BL33" s="2383"/>
      <c r="BM33" s="2383"/>
      <c r="BN33" s="2383"/>
      <c r="BO33" s="2383"/>
      <c r="BP33" s="2383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83"/>
      <c r="BR33" s="2383"/>
      <c r="BS33" s="2383"/>
      <c r="BT33" s="2383"/>
      <c r="BU33" s="2383"/>
      <c r="BV33" s="2383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83"/>
      <c r="BX33" s="2383"/>
      <c r="BY33" s="2383"/>
      <c r="BZ33" s="2383"/>
      <c r="CA33" s="2383"/>
      <c r="CB33" s="2383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83"/>
      <c r="CD33" s="2383"/>
      <c r="CE33" s="2383"/>
      <c r="CF33" s="2383"/>
      <c r="CG33" s="2383"/>
      <c r="CH33" s="2383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83"/>
      <c r="CJ33" s="2383"/>
      <c r="CK33" s="2383"/>
      <c r="CL33" s="2383"/>
      <c r="CM33" s="2383"/>
      <c r="CN33" s="2383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83"/>
      <c r="CP33" s="2383"/>
      <c r="CQ33" s="2383"/>
      <c r="CR33" s="2383"/>
      <c r="CS33" s="2383"/>
      <c r="CT33" s="2383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83"/>
      <c r="CV33" s="2383"/>
      <c r="CW33" s="2383"/>
      <c r="CX33" s="2383"/>
      <c r="CY33" s="2383"/>
      <c r="CZ33" s="2383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DA33" s="2383"/>
      <c r="DB33" s="2383"/>
      <c r="DC33" s="2383"/>
      <c r="DD33" s="2383"/>
      <c r="DE33" s="2383"/>
      <c r="DF33" s="2383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DG33" s="2383"/>
      <c r="DH33" s="2383"/>
      <c r="DI33" s="2383"/>
      <c r="DJ33" s="2383"/>
      <c r="DK33" s="2383"/>
      <c r="DL33" s="2383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DM33" s="2383"/>
      <c r="DN33" s="2383"/>
      <c r="DO33" s="2383"/>
      <c r="DP33" s="2383"/>
      <c r="DQ33" s="2383"/>
      <c r="DR33" s="2383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DS33" s="2383"/>
      <c r="DT33" s="2383"/>
      <c r="DU33" s="2383"/>
      <c r="DV33" s="2383"/>
      <c r="DW33" s="2383"/>
      <c r="DX33" s="2383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DY33" s="2383"/>
      <c r="DZ33" s="2383"/>
      <c r="EA33" s="2383"/>
      <c r="EB33" s="2383"/>
      <c r="EC33" s="2383"/>
      <c r="ED33" s="2383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EE33" s="2383"/>
      <c r="EF33" s="2383"/>
      <c r="EG33" s="2383"/>
      <c r="EH33" s="2383"/>
      <c r="EI33" s="2383"/>
      <c r="EJ33" s="2383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83"/>
      <c r="EL33" s="2383"/>
      <c r="EM33" s="2383"/>
      <c r="EN33" s="2383"/>
      <c r="EO33" s="2383"/>
      <c r="EP33" s="2383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83"/>
      <c r="ER33" s="2383"/>
      <c r="ES33" s="2383"/>
      <c r="ET33" s="2383"/>
      <c r="EU33" s="2383"/>
      <c r="EV33" s="2383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83"/>
      <c r="EX33" s="2383"/>
      <c r="EY33" s="2383"/>
      <c r="EZ33" s="2383"/>
      <c r="FA33" s="2383"/>
      <c r="FB33" s="2383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83"/>
      <c r="FD33" s="2383"/>
      <c r="FE33" s="2383"/>
      <c r="FF33" s="2383"/>
      <c r="FG33" s="2383"/>
      <c r="FH33" s="2383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83"/>
      <c r="FJ33" s="2383"/>
      <c r="FK33" s="2383"/>
      <c r="FL33" s="2383"/>
      <c r="FM33" s="2383"/>
      <c r="FN33" s="2383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83"/>
      <c r="FP33" s="2383"/>
      <c r="FQ33" s="2383"/>
      <c r="FR33" s="2383"/>
      <c r="FS33" s="2383"/>
      <c r="FT33" s="2383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83"/>
      <c r="FV33" s="2383"/>
      <c r="FW33" s="2383"/>
      <c r="FX33" s="2383"/>
      <c r="FY33" s="2383"/>
      <c r="FZ33" s="2383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83"/>
      <c r="GB33" s="2383"/>
      <c r="GC33" s="2383"/>
      <c r="GD33" s="2383"/>
      <c r="GE33" s="2383"/>
      <c r="GF33" s="1248"/>
      <c r="GG33" s="1248"/>
    </row>
    <row r="34" spans="1:190" ht="44.25" customHeight="1" x14ac:dyDescent="0.45">
      <c r="A34" s="338">
        <v>8</v>
      </c>
      <c r="B34" s="2383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83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I34" s="2383"/>
      <c r="J34" s="2383"/>
      <c r="K34" s="2383"/>
      <c r="L34" s="2383"/>
      <c r="M34" s="2383"/>
      <c r="N34" s="2383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O34" s="2383"/>
      <c r="P34" s="2383"/>
      <c r="Q34" s="2383"/>
      <c r="R34" s="2383"/>
      <c r="S34" s="2383"/>
      <c r="T34" s="2383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U34" s="2383"/>
      <c r="V34" s="2383"/>
      <c r="W34" s="2383"/>
      <c r="X34" s="2383"/>
      <c r="Y34" s="2383"/>
      <c r="Z34" s="2383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A34" s="2383"/>
      <c r="AB34" s="2383"/>
      <c r="AC34" s="2383"/>
      <c r="AD34" s="2383"/>
      <c r="AE34" s="2383"/>
      <c r="AF34" s="2383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G34" s="2383"/>
      <c r="AH34" s="2383"/>
      <c r="AI34" s="2383"/>
      <c r="AJ34" s="2383"/>
      <c r="AK34" s="2383"/>
      <c r="AL34" s="2383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M34" s="2383"/>
      <c r="AN34" s="2383"/>
      <c r="AO34" s="2383"/>
      <c r="AP34" s="2383"/>
      <c r="AQ34" s="2383"/>
      <c r="AR34" s="2383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AS34" s="2383"/>
      <c r="AT34" s="2383"/>
      <c r="AU34" s="2383"/>
      <c r="AV34" s="2383"/>
      <c r="AW34" s="2383"/>
      <c r="AX34" s="2383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AY34" s="2383"/>
      <c r="AZ34" s="2383"/>
      <c r="BA34" s="2383"/>
      <c r="BB34" s="2383"/>
      <c r="BC34" s="2383"/>
      <c r="BD34" s="2383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E34" s="2383"/>
      <c r="BF34" s="2383"/>
      <c r="BG34" s="2383"/>
      <c r="BH34" s="2383"/>
      <c r="BI34" s="2383"/>
      <c r="BJ34" s="2383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83"/>
      <c r="BL34" s="2383"/>
      <c r="BM34" s="2383"/>
      <c r="BN34" s="2383"/>
      <c r="BO34" s="2383"/>
      <c r="BP34" s="2383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83"/>
      <c r="BR34" s="2383"/>
      <c r="BS34" s="2383"/>
      <c r="BT34" s="2383"/>
      <c r="BU34" s="2383"/>
      <c r="BV34" s="2383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83"/>
      <c r="BX34" s="2383"/>
      <c r="BY34" s="2383"/>
      <c r="BZ34" s="2383"/>
      <c r="CA34" s="2383"/>
      <c r="CB34" s="2383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83"/>
      <c r="CD34" s="2383"/>
      <c r="CE34" s="2383"/>
      <c r="CF34" s="2383"/>
      <c r="CG34" s="2383"/>
      <c r="CH34" s="2383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83"/>
      <c r="CJ34" s="2383"/>
      <c r="CK34" s="2383"/>
      <c r="CL34" s="2383"/>
      <c r="CM34" s="2383"/>
      <c r="CN34" s="2383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83"/>
      <c r="CP34" s="2383"/>
      <c r="CQ34" s="2383"/>
      <c r="CR34" s="2383"/>
      <c r="CS34" s="2383"/>
      <c r="CT34" s="2383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83"/>
      <c r="CV34" s="2383"/>
      <c r="CW34" s="2383"/>
      <c r="CX34" s="2383"/>
      <c r="CY34" s="2383"/>
      <c r="CZ34" s="2383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DA34" s="2383"/>
      <c r="DB34" s="2383"/>
      <c r="DC34" s="2383"/>
      <c r="DD34" s="2383"/>
      <c r="DE34" s="2383"/>
      <c r="DF34" s="2383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DG34" s="2383"/>
      <c r="DH34" s="2383"/>
      <c r="DI34" s="2383"/>
      <c r="DJ34" s="2383"/>
      <c r="DK34" s="2383"/>
      <c r="DL34" s="2383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DM34" s="2383"/>
      <c r="DN34" s="2383"/>
      <c r="DO34" s="2383"/>
      <c r="DP34" s="2383"/>
      <c r="DQ34" s="2383"/>
      <c r="DR34" s="2383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DS34" s="2383"/>
      <c r="DT34" s="2383"/>
      <c r="DU34" s="2383"/>
      <c r="DV34" s="2383"/>
      <c r="DW34" s="2383"/>
      <c r="DX34" s="2383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DY34" s="2383"/>
      <c r="DZ34" s="2383"/>
      <c r="EA34" s="2383"/>
      <c r="EB34" s="2383"/>
      <c r="EC34" s="2383"/>
      <c r="ED34" s="2383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EE34" s="2383"/>
      <c r="EF34" s="2383"/>
      <c r="EG34" s="2383"/>
      <c r="EH34" s="2383"/>
      <c r="EI34" s="2383"/>
      <c r="EJ34" s="2383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/>
      </c>
      <c r="EK34" s="2383"/>
      <c r="EL34" s="2383"/>
      <c r="EM34" s="2383"/>
      <c r="EN34" s="2383"/>
      <c r="EO34" s="2383"/>
      <c r="EP34" s="2383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83"/>
      <c r="ER34" s="2383"/>
      <c r="ES34" s="2383"/>
      <c r="ET34" s="2383"/>
      <c r="EU34" s="2383"/>
      <c r="EV34" s="2383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83"/>
      <c r="EX34" s="2383"/>
      <c r="EY34" s="2383"/>
      <c r="EZ34" s="2383"/>
      <c r="FA34" s="2383"/>
      <c r="FB34" s="2383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83"/>
      <c r="FD34" s="2383"/>
      <c r="FE34" s="2383"/>
      <c r="FF34" s="2383"/>
      <c r="FG34" s="2383"/>
      <c r="FH34" s="2383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83"/>
      <c r="FJ34" s="2383"/>
      <c r="FK34" s="2383"/>
      <c r="FL34" s="2383"/>
      <c r="FM34" s="2383"/>
      <c r="FN34" s="2383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83"/>
      <c r="FP34" s="2383"/>
      <c r="FQ34" s="2383"/>
      <c r="FR34" s="2383"/>
      <c r="FS34" s="2383"/>
      <c r="FT34" s="2383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83"/>
      <c r="FV34" s="2383"/>
      <c r="FW34" s="2383"/>
      <c r="FX34" s="2383"/>
      <c r="FY34" s="2383"/>
      <c r="FZ34" s="2383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83"/>
      <c r="GB34" s="2383"/>
      <c r="GC34" s="2383"/>
      <c r="GD34" s="2383"/>
      <c r="GE34" s="2383"/>
      <c r="GF34" s="1248"/>
      <c r="GG34" s="1248"/>
    </row>
    <row r="35" spans="1:190" ht="44.25" customHeight="1" x14ac:dyDescent="0.45">
      <c r="A35" s="338">
        <v>9</v>
      </c>
      <c r="B35" s="2383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83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83"/>
      <c r="J35" s="2383"/>
      <c r="K35" s="2383"/>
      <c r="L35" s="2383"/>
      <c r="M35" s="2383"/>
      <c r="N35" s="2383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83"/>
      <c r="P35" s="2383"/>
      <c r="Q35" s="2383"/>
      <c r="R35" s="2383"/>
      <c r="S35" s="2383"/>
      <c r="T35" s="2383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83"/>
      <c r="V35" s="2383"/>
      <c r="W35" s="2383"/>
      <c r="X35" s="2383"/>
      <c r="Y35" s="2383"/>
      <c r="Z35" s="2383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83"/>
      <c r="AB35" s="2383"/>
      <c r="AC35" s="2383"/>
      <c r="AD35" s="2383"/>
      <c r="AE35" s="2383"/>
      <c r="AF35" s="2383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83"/>
      <c r="AH35" s="2383"/>
      <c r="AI35" s="2383"/>
      <c r="AJ35" s="2383"/>
      <c r="AK35" s="2383"/>
      <c r="AL35" s="2383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83"/>
      <c r="AN35" s="2383"/>
      <c r="AO35" s="2383"/>
      <c r="AP35" s="2383"/>
      <c r="AQ35" s="2383"/>
      <c r="AR35" s="2383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83"/>
      <c r="AT35" s="2383"/>
      <c r="AU35" s="2383"/>
      <c r="AV35" s="2383"/>
      <c r="AW35" s="2383"/>
      <c r="AX35" s="2383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83"/>
      <c r="AZ35" s="2383"/>
      <c r="BA35" s="2383"/>
      <c r="BB35" s="2383"/>
      <c r="BC35" s="2383"/>
      <c r="BD35" s="2383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83"/>
      <c r="BF35" s="2383"/>
      <c r="BG35" s="2383"/>
      <c r="BH35" s="2383"/>
      <c r="BI35" s="2383"/>
      <c r="BJ35" s="2383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83"/>
      <c r="BL35" s="2383"/>
      <c r="BM35" s="2383"/>
      <c r="BN35" s="2383"/>
      <c r="BO35" s="2383"/>
      <c r="BP35" s="2383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83"/>
      <c r="BR35" s="2383"/>
      <c r="BS35" s="2383"/>
      <c r="BT35" s="2383"/>
      <c r="BU35" s="2383"/>
      <c r="BV35" s="2383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83"/>
      <c r="BX35" s="2383"/>
      <c r="BY35" s="2383"/>
      <c r="BZ35" s="2383"/>
      <c r="CA35" s="2383"/>
      <c r="CB35" s="2383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83"/>
      <c r="CD35" s="2383"/>
      <c r="CE35" s="2383"/>
      <c r="CF35" s="2383"/>
      <c r="CG35" s="2383"/>
      <c r="CH35" s="2383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83"/>
      <c r="CJ35" s="2383"/>
      <c r="CK35" s="2383"/>
      <c r="CL35" s="2383"/>
      <c r="CM35" s="2383"/>
      <c r="CN35" s="2383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83"/>
      <c r="CP35" s="2383"/>
      <c r="CQ35" s="2383"/>
      <c r="CR35" s="2383"/>
      <c r="CS35" s="2383"/>
      <c r="CT35" s="2383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83"/>
      <c r="CV35" s="2383"/>
      <c r="CW35" s="2383"/>
      <c r="CX35" s="2383"/>
      <c r="CY35" s="2383"/>
      <c r="CZ35" s="2383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83"/>
      <c r="DB35" s="2383"/>
      <c r="DC35" s="2383"/>
      <c r="DD35" s="2383"/>
      <c r="DE35" s="2383"/>
      <c r="DF35" s="2383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83"/>
      <c r="DH35" s="2383"/>
      <c r="DI35" s="2383"/>
      <c r="DJ35" s="2383"/>
      <c r="DK35" s="2383"/>
      <c r="DL35" s="2383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83"/>
      <c r="DN35" s="2383"/>
      <c r="DO35" s="2383"/>
      <c r="DP35" s="2383"/>
      <c r="DQ35" s="2383"/>
      <c r="DR35" s="2383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83"/>
      <c r="DT35" s="2383"/>
      <c r="DU35" s="2383"/>
      <c r="DV35" s="2383"/>
      <c r="DW35" s="2383"/>
      <c r="DX35" s="2383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83"/>
      <c r="DZ35" s="2383"/>
      <c r="EA35" s="2383"/>
      <c r="EB35" s="2383"/>
      <c r="EC35" s="2383"/>
      <c r="ED35" s="2383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83"/>
      <c r="EF35" s="2383"/>
      <c r="EG35" s="2383"/>
      <c r="EH35" s="2383"/>
      <c r="EI35" s="2383"/>
      <c r="EJ35" s="2383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83"/>
      <c r="EL35" s="2383"/>
      <c r="EM35" s="2383"/>
      <c r="EN35" s="2383"/>
      <c r="EO35" s="2383"/>
      <c r="EP35" s="2383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83"/>
      <c r="ER35" s="2383"/>
      <c r="ES35" s="2383"/>
      <c r="ET35" s="2383"/>
      <c r="EU35" s="2383"/>
      <c r="EV35" s="2383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83"/>
      <c r="EX35" s="2383"/>
      <c r="EY35" s="2383"/>
      <c r="EZ35" s="2383"/>
      <c r="FA35" s="2383"/>
      <c r="FB35" s="2383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83"/>
      <c r="FD35" s="2383"/>
      <c r="FE35" s="2383"/>
      <c r="FF35" s="2383"/>
      <c r="FG35" s="2383"/>
      <c r="FH35" s="2383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83"/>
      <c r="FJ35" s="2383"/>
      <c r="FK35" s="2383"/>
      <c r="FL35" s="2383"/>
      <c r="FM35" s="2383"/>
      <c r="FN35" s="2383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83"/>
      <c r="FP35" s="2383"/>
      <c r="FQ35" s="2383"/>
      <c r="FR35" s="2383"/>
      <c r="FS35" s="2383"/>
      <c r="FT35" s="2383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83"/>
      <c r="FV35" s="2383"/>
      <c r="FW35" s="2383"/>
      <c r="FX35" s="2383"/>
      <c r="FY35" s="2383"/>
      <c r="FZ35" s="2383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83"/>
      <c r="GB35" s="2383"/>
      <c r="GC35" s="2383"/>
      <c r="GD35" s="2383"/>
      <c r="GE35" s="2383"/>
      <c r="GF35" s="1248"/>
      <c r="GG35" s="1248"/>
    </row>
    <row r="36" spans="1:190" ht="72.75" customHeight="1" x14ac:dyDescent="0.35">
      <c r="A36" s="339"/>
      <c r="B36" s="2379" t="str">
        <f>IF(Data!$GI$2&lt;&gt;"","X1: "&amp; Data!$GI$2, " ")</f>
        <v>X1: 1613 CT182 0.018"</v>
      </c>
      <c r="C36" s="2379"/>
      <c r="D36" s="2379"/>
      <c r="E36" s="2379"/>
      <c r="F36" s="2379"/>
      <c r="G36" s="2379"/>
      <c r="H36" s="2379"/>
      <c r="I36" s="2379"/>
      <c r="J36" s="2379"/>
      <c r="K36" s="2379"/>
      <c r="L36" s="2379"/>
      <c r="M36" s="2379"/>
      <c r="N36" s="2379"/>
      <c r="O36" s="2379"/>
      <c r="P36" s="2379"/>
      <c r="Q36" s="2379"/>
      <c r="R36" s="2379"/>
      <c r="S36" s="2379"/>
      <c r="T36" s="2379"/>
      <c r="U36" s="2379"/>
      <c r="V36" s="2379"/>
      <c r="W36" s="2379"/>
      <c r="X36" s="2379"/>
      <c r="Y36" s="2379"/>
      <c r="Z36" s="2379"/>
      <c r="AA36" s="2379"/>
      <c r="AB36" s="2379"/>
      <c r="AC36" s="2379" t="str">
        <f>IF(Data!$GI$3&lt;&gt;"","X2: "&amp; Data!$GI$3, " ")</f>
        <v>X2: 1608 CT200 0.018"</v>
      </c>
      <c r="AD36" s="2379"/>
      <c r="AE36" s="2379"/>
      <c r="AF36" s="2379"/>
      <c r="AG36" s="2379"/>
      <c r="AH36" s="2379"/>
      <c r="AI36" s="2379"/>
      <c r="AJ36" s="2379"/>
      <c r="AK36" s="2379"/>
      <c r="AL36" s="2379"/>
      <c r="AM36" s="2379"/>
      <c r="AN36" s="2379"/>
      <c r="AO36" s="2379"/>
      <c r="AP36" s="2379"/>
      <c r="AQ36" s="2379"/>
      <c r="AR36" s="2379"/>
      <c r="AS36" s="2379"/>
      <c r="AT36" s="2379"/>
      <c r="AU36" s="2379"/>
      <c r="AV36" s="2379"/>
      <c r="AW36" s="2379"/>
      <c r="AX36" s="2379"/>
      <c r="AY36" s="2379"/>
      <c r="AZ36" s="2379"/>
      <c r="BA36" s="2379"/>
      <c r="BB36" s="2379"/>
      <c r="BC36" s="2379"/>
      <c r="BD36" s="2379" t="str">
        <f>IF(Data!$GI$4&lt;&gt;"","X3: "&amp; Data!$GI$4, " ")</f>
        <v xml:space="preserve">X3: 1308 CT31 Drop in </v>
      </c>
      <c r="BE36" s="2379"/>
      <c r="BF36" s="2379"/>
      <c r="BG36" s="2379"/>
      <c r="BH36" s="2379"/>
      <c r="BI36" s="2379"/>
      <c r="BJ36" s="2379"/>
      <c r="BK36" s="2379"/>
      <c r="BL36" s="2379"/>
      <c r="BM36" s="2379"/>
      <c r="BN36" s="2379"/>
      <c r="BO36" s="2379"/>
      <c r="BP36" s="2379"/>
      <c r="BQ36" s="2379"/>
      <c r="BR36" s="2379"/>
      <c r="BS36" s="2379"/>
      <c r="BT36" s="2379"/>
      <c r="BU36" s="2379"/>
      <c r="BV36" s="2379"/>
      <c r="BW36" s="2379"/>
      <c r="BX36" s="2379"/>
      <c r="BY36" s="2379"/>
      <c r="BZ36" s="2379"/>
      <c r="CA36" s="2379"/>
      <c r="CB36" s="2379"/>
      <c r="CC36" s="2379"/>
      <c r="CD36" s="2379"/>
      <c r="CE36" s="2379" t="str">
        <f>IF(Data!$GI$5&lt;&gt;"","X4: "&amp; Data!$GI$5, " ")</f>
        <v xml:space="preserve"> </v>
      </c>
      <c r="CF36" s="2379"/>
      <c r="CG36" s="2379"/>
      <c r="CH36" s="2379"/>
      <c r="CI36" s="2379"/>
      <c r="CJ36" s="2379"/>
      <c r="CK36" s="2379"/>
      <c r="CL36" s="2379"/>
      <c r="CM36" s="2379"/>
      <c r="CN36" s="2379"/>
      <c r="CO36" s="2379"/>
      <c r="CP36" s="2379"/>
      <c r="CQ36" s="2379"/>
      <c r="CR36" s="2379"/>
      <c r="CS36" s="2379"/>
      <c r="CT36" s="2379"/>
      <c r="CU36" s="2379"/>
      <c r="CV36" s="2379"/>
      <c r="CW36" s="2379"/>
      <c r="CX36" s="2379"/>
      <c r="CY36" s="2379"/>
      <c r="CZ36" s="2379"/>
      <c r="DA36" s="2379"/>
      <c r="DB36" s="2379"/>
      <c r="DC36" s="2379"/>
      <c r="DD36" s="2379"/>
      <c r="DE36" s="2379"/>
      <c r="DF36" s="2379" t="str">
        <f>IF(Data!$GI$6&lt;&gt;"","X5: "&amp; Data!$GI$6, " ")</f>
        <v xml:space="preserve"> </v>
      </c>
      <c r="DG36" s="2379"/>
      <c r="DH36" s="2379"/>
      <c r="DI36" s="2379"/>
      <c r="DJ36" s="2379"/>
      <c r="DK36" s="2379"/>
      <c r="DL36" s="2379"/>
      <c r="DM36" s="2379"/>
      <c r="DN36" s="2379"/>
      <c r="DO36" s="2379"/>
      <c r="DP36" s="2379"/>
      <c r="DQ36" s="2379"/>
      <c r="DR36" s="2379"/>
      <c r="DS36" s="2379"/>
      <c r="DT36" s="2379"/>
      <c r="DU36" s="2379"/>
      <c r="DV36" s="2379"/>
      <c r="DW36" s="2379"/>
      <c r="DX36" s="2379"/>
      <c r="DY36" s="2379"/>
      <c r="DZ36" s="2379"/>
      <c r="EA36" s="2379"/>
      <c r="EB36" s="2379"/>
      <c r="EC36" s="2379"/>
      <c r="ED36" s="2379"/>
      <c r="EE36" s="2379"/>
      <c r="EF36" s="2379"/>
      <c r="EG36" s="2379" t="str">
        <f>IF(Data!$GI$7&lt;&gt;"","X6: "&amp; Data!$GI$7, " ")</f>
        <v xml:space="preserve"> </v>
      </c>
      <c r="EH36" s="2379"/>
      <c r="EI36" s="2379"/>
      <c r="EJ36" s="2379"/>
      <c r="EK36" s="2379"/>
      <c r="EL36" s="2379"/>
      <c r="EM36" s="2379"/>
      <c r="EN36" s="2379"/>
      <c r="EO36" s="2379"/>
      <c r="EP36" s="2379"/>
      <c r="EQ36" s="2379"/>
      <c r="ER36" s="2379"/>
      <c r="ES36" s="2379"/>
      <c r="ET36" s="2379"/>
      <c r="EU36" s="2379"/>
      <c r="EV36" s="2379"/>
      <c r="EW36" s="2379"/>
      <c r="EX36" s="2379"/>
      <c r="EY36" s="2379"/>
      <c r="EZ36" s="2379"/>
      <c r="FA36" s="2379"/>
      <c r="FB36" s="2379"/>
      <c r="FC36" s="2379"/>
      <c r="FD36" s="2379"/>
      <c r="FE36" s="2379"/>
      <c r="FF36" s="2379"/>
      <c r="FG36" s="2379"/>
      <c r="FH36" s="2379" t="str">
        <f>IF(Data!$GI$8&lt;&gt;"","X7: "&amp; Data!$GI$8, " ")</f>
        <v xml:space="preserve"> </v>
      </c>
      <c r="FI36" s="2379"/>
      <c r="FJ36" s="2379"/>
      <c r="FK36" s="2379"/>
      <c r="FL36" s="2379"/>
      <c r="FM36" s="2379"/>
      <c r="FN36" s="2379"/>
      <c r="FO36" s="2379"/>
      <c r="FP36" s="2379"/>
      <c r="FQ36" s="2379"/>
      <c r="FR36" s="2379"/>
      <c r="FS36" s="2379"/>
      <c r="FT36" s="2379"/>
      <c r="FU36" s="2379"/>
      <c r="FV36" s="2379"/>
      <c r="FW36" s="2379"/>
      <c r="FX36" s="2379"/>
      <c r="FY36" s="2379"/>
      <c r="FZ36" s="2379"/>
      <c r="GA36" s="2379"/>
      <c r="GB36" s="2379"/>
      <c r="GC36" s="2379"/>
      <c r="GD36" s="2379"/>
      <c r="GE36" s="2379"/>
      <c r="GF36" s="2379"/>
      <c r="GG36" s="2379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80" operator="equal">
      <formula>0</formula>
    </cfRule>
    <cfRule type="cellIs" dxfId="59" priority="379" operator="notEqual">
      <formula>0</formula>
    </cfRule>
  </conditionalFormatting>
  <conditionalFormatting sqref="B15:GC23">
    <cfRule type="expression" dxfId="58" priority="272">
      <formula>OR(COUNTIF(B15,"*X*"),COUNTIF(B15,"*L*"))</formula>
    </cfRule>
    <cfRule type="expression" dxfId="57" priority="271">
      <formula>COUNTIF(B15,"*R*")</formula>
    </cfRule>
    <cfRule type="expression" dxfId="56" priority="269">
      <formula>COUNTIF(B15,"*O*")</formula>
    </cfRule>
    <cfRule type="notContainsBlanks" dxfId="55" priority="268">
      <formula>LEN(TRIM(B15))&gt;0</formula>
    </cfRule>
    <cfRule type="expression" dxfId="54" priority="270">
      <formula>COUNTIF(B15,"*S*")</formula>
    </cfRule>
  </conditionalFormatting>
  <conditionalFormatting sqref="B26:GE26">
    <cfRule type="cellIs" dxfId="53" priority="182" operator="equal">
      <formula>0</formula>
    </cfRule>
    <cfRule type="cellIs" dxfId="52" priority="181" operator="notEqual">
      <formula>0</formula>
    </cfRule>
  </conditionalFormatting>
  <conditionalFormatting sqref="B27:GE35">
    <cfRule type="expression" dxfId="51" priority="47">
      <formula>COUNTIF(B27,"*S*")</formula>
    </cfRule>
    <cfRule type="expression" dxfId="50" priority="49">
      <formula>OR(COUNTIF(B27,"*X*"),COUNTIF(B27,"*L*"))</formula>
    </cfRule>
    <cfRule type="expression" dxfId="49" priority="48">
      <formula>COUNTIF(B27,"*R*")</formula>
    </cfRule>
    <cfRule type="expression" dxfId="48" priority="46">
      <formula>COUNTIF(B27,"*O*")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OR('\2019\Templetes 09-16-2019\New folder\[Template 09-16-2019.xlsx]Data'!#REF!&gt;30,'\2019\Templetes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6" id="{CBBCF349-ABF5-4F95-B265-A41A941C638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5" id="{D28BADC5-697C-4D7A-9A0B-02CF7DFB7129}">
            <xm:f>'\2019\Templetes 09-16-2019\New folder\[Template 09-16-2019.xlsx]Data'!#REF!=0</xm:f>
            <x14:dxf>
              <font>
                <color theme="0"/>
              </font>
            </x14:dxf>
          </x14:cfRule>
          <xm:sqref>U12</xm:sqref>
        </x14:conditionalFormatting>
        <x14:conditionalFormatting xmlns:xm="http://schemas.microsoft.com/office/excel/2006/main">
          <x14:cfRule type="expression" priority="36" id="{49E2294F-82F9-4C05-8608-F175CD4F337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5" id="{755C7BEE-2CF5-4A40-A5F1-5A49DB64D4CE}">
            <xm:f>'\2019\Templetes 09-16-2019\New folder\[Template 09-16-2019.xlsx]Data'!#REF!=0</xm:f>
            <x14:dxf>
              <font>
                <color theme="0"/>
              </font>
            </x14:dxf>
          </x14:cfRule>
          <xm:sqref>U24</xm:sqref>
        </x14:conditionalFormatting>
        <x14:conditionalFormatting xmlns:xm="http://schemas.microsoft.com/office/excel/2006/main">
          <x14:cfRule type="expression" priority="14" id="{C8255B61-A013-488D-A586-8A7140418FC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A5F6E137-CFB3-455D-B68E-AE21E927E8FF}">
            <xm:f>'\2019\Templetes 09-16-2019\New folder\[Template 09-16-2019.xlsx]Data'!#REF!=0</xm:f>
            <x14:dxf>
              <font>
                <color theme="0"/>
              </font>
            </x14:dxf>
          </x14:cfRule>
          <xm:sqref>AN12</xm:sqref>
        </x14:conditionalFormatting>
        <x14:conditionalFormatting xmlns:xm="http://schemas.microsoft.com/office/excel/2006/main">
          <x14:cfRule type="expression" priority="34" id="{2753C37E-B52B-469F-9CA5-B21C61FC4FE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3" id="{C78BD14A-210C-4B4E-A7BA-5C5804164BAB}">
            <xm:f>'\2019\Templetes 09-16-2019\New folder\[Template 09-16-2019.xlsx]Data'!#REF!=0</xm:f>
            <x14:dxf>
              <font>
                <color theme="0"/>
              </font>
            </x14:dxf>
          </x14:cfRule>
          <xm:sqref>AN24</xm:sqref>
        </x14:conditionalFormatting>
        <x14:conditionalFormatting xmlns:xm="http://schemas.microsoft.com/office/excel/2006/main">
          <x14:cfRule type="expression" priority="12" id="{DCEA0D46-A534-42E9-BDB4-F75BA694CC6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1" id="{8C8B193E-2090-4EAD-B6DB-0108DCF4D4B4}">
            <xm:f>'\2019\Templetes 09-16-2019\New folder\[Template 09-16-2019.xlsx]Data'!#REF!=0</xm:f>
            <x14:dxf>
              <font>
                <color theme="0"/>
              </font>
            </x14:dxf>
          </x14:cfRule>
          <xm:sqref>BG12</xm:sqref>
        </x14:conditionalFormatting>
        <x14:conditionalFormatting xmlns:xm="http://schemas.microsoft.com/office/excel/2006/main">
          <x14:cfRule type="expression" priority="32" id="{DC295D61-8CB9-4018-AFEC-E9E187C7100B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37F0C8F4-54EC-467B-8B6E-712E29FEAB67}">
            <xm:f>'\2019\Templetes 09-16-2019\New folder\[Template 09-16-2019.xlsx]Data'!#REF!=0</xm:f>
            <x14:dxf>
              <font>
                <color theme="0"/>
              </font>
            </x14:dxf>
          </x14:cfRule>
          <xm:sqref>BG24</xm:sqref>
        </x14:conditionalFormatting>
        <x14:conditionalFormatting xmlns:xm="http://schemas.microsoft.com/office/excel/2006/main">
          <x14:cfRule type="expression" priority="10" id="{7313CA59-E123-465D-86A4-A382889E12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9" id="{1D5A30FE-9FFB-4ACE-B7BD-0FD082E88AB8}">
            <xm:f>'\2019\Templetes 09-16-2019\New folder\[Template 09-16-2019.xlsx]Data'!#REF!=0</xm:f>
            <x14:dxf>
              <font>
                <color theme="0"/>
              </font>
            </x14:dxf>
          </x14:cfRule>
          <xm:sqref>BZ12</xm:sqref>
        </x14:conditionalFormatting>
        <x14:conditionalFormatting xmlns:xm="http://schemas.microsoft.com/office/excel/2006/main">
          <x14:cfRule type="expression" priority="30" id="{36459FF8-3B30-4B5F-93B3-A69F70321D62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9" id="{DE00B6DF-06C1-4C0C-B615-671AA35F54C3}">
            <xm:f>'\2019\Templetes 09-16-2019\New folder\[Template 09-16-2019.xlsx]Data'!#REF!=0</xm:f>
            <x14:dxf>
              <font>
                <color theme="0"/>
              </font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8" id="{54258156-666B-441A-94E3-36ADC54E79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7" id="{6E9DA781-9FB0-4F10-97E6-198BAB615B29}">
            <xm:f>'\2019\Templetes 09-16-2019\New folder\[Template 09-16-2019.xlsx]Data'!#REF!=0</xm:f>
            <x14:dxf>
              <font>
                <color theme="0"/>
              </font>
            </x14:dxf>
          </x14:cfRule>
          <xm:sqref>CS24</xm:sqref>
        </x14:conditionalFormatting>
        <x14:conditionalFormatting xmlns:xm="http://schemas.microsoft.com/office/excel/2006/main">
          <x14:cfRule type="expression" priority="6" id="{FCF2CB46-009A-4F4E-A69C-354C26766D9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5" id="{F8CA4771-A819-4E35-8DED-E54CC6B072C2}">
            <xm:f>'\2019\Templetes 09-16-2019\New folder\[Template 09-16-2019.xlsx]Data'!#REF!=0</xm:f>
            <x14:dxf>
              <font>
                <color theme="0"/>
              </font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4" id="{89B66968-DF00-4263-9F3E-8AD6B50C1AD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" id="{BA55496B-2472-45BA-8BD7-3983515E94E7}">
            <xm:f>'\2019\Templetes 09-16-2019\New folder\[Template 09-16-2019.xlsx]Data'!#REF!=0</xm:f>
            <x14:dxf>
              <font>
                <color theme="0"/>
              </font>
            </x14:dxf>
          </x14:cfRule>
          <xm:sqref>EE12</xm:sqref>
        </x14:conditionalFormatting>
        <x14:conditionalFormatting xmlns:xm="http://schemas.microsoft.com/office/excel/2006/main">
          <x14:cfRule type="expression" priority="22" id="{B75F8681-6936-44F2-8898-CBA38ADC8DF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1" id="{47B4FEAD-5A16-4AD7-B5AF-2FFC3FBA04CB}">
            <xm:f>'\2019\Templetes 09-16-2019\New folder\[Template 09-16-2019.xlsx]Data'!#REF!=0</xm:f>
            <x14:dxf>
              <font>
                <color theme="0"/>
              </font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20" id="{223B6E41-6C8D-4D5B-B75B-C5A486CBCC1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9" id="{65A54276-D0DF-46C1-9D4B-E90315822A36}">
            <xm:f>'\2019\Templetes 09-16-2019\New folder\[Template 09-16-2019.xlsx]Data'!#REF!=0</xm:f>
            <x14:dxf>
              <font>
                <color theme="0"/>
              </font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23" ht="47.25" customHeight="1" x14ac:dyDescent="0.35">
      <c r="B1" s="1248"/>
      <c r="C1" s="1248"/>
      <c r="D1" s="1248"/>
      <c r="E1" s="1248"/>
      <c r="F1" s="1248"/>
      <c r="G1" s="1248"/>
      <c r="H1" s="1248"/>
      <c r="I1" s="1248"/>
      <c r="J1" s="1248"/>
      <c r="K1" s="1248"/>
      <c r="L1" s="1248"/>
      <c r="M1" s="1248"/>
      <c r="N1" s="1248"/>
      <c r="O1" s="1248"/>
      <c r="P1" s="1248"/>
      <c r="Q1" s="1248"/>
      <c r="R1" s="2385" t="str">
        <f>IF(Data!$B$1&lt;&gt;"", Data!$B$1, " ")</f>
        <v>2025-AR-109</v>
      </c>
      <c r="S1" s="2385"/>
      <c r="T1" s="2385"/>
      <c r="U1" s="2385"/>
      <c r="V1" s="2385"/>
      <c r="W1" s="2385"/>
      <c r="X1" s="2385"/>
      <c r="Y1" s="2385"/>
      <c r="Z1" s="2385"/>
      <c r="AA1" s="2385"/>
      <c r="AB1" s="2385"/>
      <c r="AC1" s="2385"/>
      <c r="AD1" s="2385"/>
      <c r="AE1" s="2385"/>
      <c r="AF1" s="2385"/>
      <c r="AG1" s="2385"/>
      <c r="AH1" s="2385"/>
      <c r="AI1" s="2385"/>
      <c r="AJ1" s="2385"/>
      <c r="AK1" s="2385"/>
      <c r="AL1" s="2385"/>
      <c r="AM1" s="2385"/>
      <c r="AN1" s="2385"/>
      <c r="AO1" s="2385"/>
      <c r="AP1" s="2385"/>
      <c r="AQ1" s="2385"/>
      <c r="AR1" s="2385"/>
      <c r="AS1" s="2385"/>
      <c r="AT1" s="2385"/>
      <c r="AU1" s="2385"/>
      <c r="AV1" s="2385"/>
      <c r="AW1" s="2385"/>
      <c r="AX1" s="2385"/>
      <c r="AY1" s="2385"/>
      <c r="AZ1" s="2385"/>
      <c r="BA1" s="2385"/>
      <c r="BB1" s="2385"/>
      <c r="BC1" s="2385"/>
      <c r="BD1" s="2385"/>
      <c r="BE1" s="2385"/>
      <c r="BF1" s="2385"/>
      <c r="BG1" s="2385"/>
      <c r="BH1" s="2385"/>
      <c r="BI1" s="2385">
        <f>IF(Data!$B$2&lt;&gt;"", Data!$B$2, " ")</f>
        <v>13845937</v>
      </c>
      <c r="BJ1" s="2385"/>
      <c r="BK1" s="2385"/>
      <c r="BL1" s="2385"/>
      <c r="BM1" s="2385"/>
      <c r="BN1" s="2385"/>
      <c r="BO1" s="2385"/>
      <c r="BP1" s="2385"/>
      <c r="BQ1" s="2385"/>
      <c r="BR1" s="2385"/>
      <c r="BS1" s="2385"/>
      <c r="BT1" s="2385"/>
      <c r="BU1" s="2385"/>
      <c r="BV1" s="2385"/>
      <c r="BW1" s="2385"/>
      <c r="BX1" s="2385"/>
      <c r="BY1" s="2385"/>
      <c r="BZ1" s="2385"/>
      <c r="CA1" s="2385"/>
      <c r="CB1" s="2385"/>
      <c r="CC1" s="2385"/>
      <c r="CD1" s="2385"/>
      <c r="CE1" s="2385"/>
      <c r="CF1" s="2385"/>
      <c r="CG1" s="2385"/>
      <c r="CH1" s="2385"/>
      <c r="CI1" s="2385"/>
      <c r="CJ1" s="2385"/>
      <c r="CK1" s="2385"/>
      <c r="CL1" s="2385"/>
      <c r="CM1" s="2385"/>
      <c r="CN1" s="2385"/>
      <c r="CO1" s="2385"/>
      <c r="CP1" s="2385"/>
      <c r="CQ1" s="2385"/>
      <c r="CR1" s="2385"/>
      <c r="CS1" s="2385"/>
      <c r="CT1" s="2385"/>
      <c r="CU1" s="2385"/>
      <c r="CV1" s="2385"/>
      <c r="CW1" s="2385"/>
      <c r="CX1" s="2385"/>
      <c r="CY1" s="2385"/>
      <c r="CZ1" s="2385"/>
      <c r="DA1" s="2385"/>
      <c r="DB1" s="2385"/>
      <c r="DC1" s="2385"/>
      <c r="DD1" s="2385"/>
      <c r="DE1" s="2385"/>
      <c r="DF1" s="2385"/>
      <c r="DG1" s="2385"/>
      <c r="DH1" s="2385"/>
      <c r="DI1" s="2385"/>
      <c r="DJ1" s="2385" t="str">
        <f>IF(Data!$B$4&lt;&gt;"",Data!$B$4," ")</f>
        <v>MM65DH-1</v>
      </c>
      <c r="DK1" s="2385"/>
      <c r="DL1" s="2385"/>
      <c r="DM1" s="2385"/>
      <c r="DN1" s="2385"/>
      <c r="DO1" s="2385"/>
      <c r="DP1" s="2385"/>
      <c r="DQ1" s="2385"/>
      <c r="DR1" s="2385"/>
      <c r="DS1" s="2385"/>
      <c r="DT1" s="2385"/>
      <c r="DU1" s="2385"/>
      <c r="DV1" s="2385"/>
      <c r="DW1" s="2385"/>
      <c r="DX1" s="2385"/>
      <c r="DY1" s="2385"/>
      <c r="DZ1" s="2385"/>
      <c r="EA1" s="2385"/>
      <c r="EB1" s="2385"/>
      <c r="EC1" s="2385"/>
      <c r="ED1" s="2385"/>
      <c r="EE1" s="2385"/>
      <c r="EF1" s="2385"/>
      <c r="EG1" s="2385"/>
      <c r="EH1" s="2385"/>
      <c r="EI1" s="2385"/>
      <c r="EJ1" s="2385"/>
      <c r="EK1" s="2385"/>
      <c r="EL1" s="2385"/>
      <c r="EM1" s="2385"/>
      <c r="EN1" s="2385"/>
      <c r="EO1" s="2385"/>
      <c r="EP1" s="2385" t="str">
        <f>IF(LEN(Data!B3)&gt;3,IF(AND(Data!B43&lt;&gt;"",Data!B43&lt;&gt;"0 0/1"""),Data!B43,""),IF(Data!B3&lt;&gt;"",Data!B3&amp;"""",""))</f>
        <v>8 3/8"</v>
      </c>
      <c r="EQ1" s="2385"/>
      <c r="ER1" s="2385"/>
      <c r="ES1" s="2385"/>
      <c r="ET1" s="2385"/>
      <c r="EU1" s="2385"/>
      <c r="EV1" s="2385"/>
      <c r="EW1" s="2385"/>
      <c r="EX1" s="2385"/>
      <c r="EY1" s="2385"/>
      <c r="EZ1" s="2385"/>
      <c r="FA1" s="2385"/>
      <c r="FB1" s="2385"/>
      <c r="FC1" s="2385"/>
      <c r="FD1" s="2385"/>
      <c r="FE1" s="2385"/>
      <c r="FF1" s="2385"/>
      <c r="FG1" s="2385"/>
      <c r="FH1" s="2385"/>
      <c r="FI1" s="2385"/>
      <c r="FJ1" s="2385"/>
      <c r="FK1" s="2385"/>
      <c r="FL1" s="2385"/>
      <c r="FM1" s="2385"/>
      <c r="FN1" s="2385"/>
      <c r="FO1" s="2385"/>
      <c r="FP1" s="2385"/>
      <c r="FQ1" s="2385"/>
      <c r="FR1" s="2385"/>
      <c r="FS1" s="2385"/>
      <c r="FT1" s="2385"/>
      <c r="FU1" s="2385"/>
      <c r="FV1" s="1248"/>
      <c r="FW1" s="1248"/>
      <c r="FX1" s="1248"/>
      <c r="FY1" s="1248"/>
      <c r="FZ1" s="1248"/>
      <c r="GA1" s="1248"/>
      <c r="GB1" s="1248"/>
      <c r="GC1" s="1248"/>
      <c r="GD1" s="1248"/>
      <c r="GE1" s="1248"/>
      <c r="GF1" s="1248"/>
      <c r="GG1" s="1248"/>
    </row>
    <row r="2" spans="1:223" ht="46.5" customHeight="1" x14ac:dyDescent="0.35">
      <c r="B2" s="2388">
        <f>IF(Data!$BR$44&lt;&gt;"",Data!$BR$44, "")</f>
        <v>1</v>
      </c>
      <c r="C2" s="2388"/>
      <c r="D2" s="2388"/>
      <c r="E2" s="2388"/>
      <c r="F2" s="2388"/>
      <c r="G2" s="2388"/>
      <c r="H2" s="2388"/>
      <c r="I2" s="2388"/>
      <c r="J2" s="2388"/>
      <c r="K2" s="2388"/>
      <c r="L2" s="2388"/>
      <c r="M2" s="2388"/>
      <c r="N2" s="2388"/>
      <c r="O2" s="2388"/>
      <c r="P2" s="2388"/>
      <c r="Q2" s="2388"/>
      <c r="R2" s="2388">
        <f>IF(Data!$BS$44&lt;&gt;"",Data!$BS$44, "")</f>
        <v>2</v>
      </c>
      <c r="S2" s="2388"/>
      <c r="T2" s="2388"/>
      <c r="U2" s="2388"/>
      <c r="V2" s="2388"/>
      <c r="W2" s="2388"/>
      <c r="X2" s="2388"/>
      <c r="Y2" s="2388"/>
      <c r="Z2" s="2388"/>
      <c r="AA2" s="2388"/>
      <c r="AB2" s="2388"/>
      <c r="AC2" s="2388"/>
      <c r="AD2" s="2388"/>
      <c r="AE2" s="2388"/>
      <c r="AF2" s="2388"/>
      <c r="AG2" s="2388"/>
      <c r="AH2" s="2388">
        <f>IF(Data!$BT$44&lt;&gt;"", Data!$BT$44, "")</f>
        <v>3</v>
      </c>
      <c r="AI2" s="2388"/>
      <c r="AJ2" s="2388"/>
      <c r="AK2" s="2388"/>
      <c r="AL2" s="2388"/>
      <c r="AM2" s="2388"/>
      <c r="AN2" s="2388"/>
      <c r="AO2" s="2388"/>
      <c r="AP2" s="2388"/>
      <c r="AQ2" s="2388"/>
      <c r="AR2" s="2388"/>
      <c r="AS2" s="2388"/>
      <c r="AT2" s="2388"/>
      <c r="AU2" s="2388"/>
      <c r="AV2" s="2388"/>
      <c r="AW2" s="2388"/>
      <c r="AX2" s="2388">
        <f>IF(Data!$BU$44&lt;&gt;"", Data!$BU$44, "")</f>
        <v>4</v>
      </c>
      <c r="AY2" s="2388"/>
      <c r="AZ2" s="2388"/>
      <c r="BA2" s="2388"/>
      <c r="BB2" s="2388"/>
      <c r="BC2" s="2388"/>
      <c r="BD2" s="2388"/>
      <c r="BE2" s="2388"/>
      <c r="BF2" s="2388"/>
      <c r="BG2" s="2388"/>
      <c r="BH2" s="2388"/>
      <c r="BI2" s="2388"/>
      <c r="BJ2" s="2388"/>
      <c r="BK2" s="2388"/>
      <c r="BL2" s="2388"/>
      <c r="BM2" s="2388"/>
      <c r="BN2" s="2388">
        <f>IF(Data!$BV$44&lt;&gt;"",Data!$BV$44, "")</f>
        <v>5</v>
      </c>
      <c r="BO2" s="2388"/>
      <c r="BP2" s="2388"/>
      <c r="BQ2" s="2388"/>
      <c r="BR2" s="2388"/>
      <c r="BS2" s="2388"/>
      <c r="BT2" s="2388"/>
      <c r="BU2" s="2388"/>
      <c r="BV2" s="2388"/>
      <c r="BW2" s="2388"/>
      <c r="BX2" s="2388"/>
      <c r="BY2" s="2388"/>
      <c r="BZ2" s="2388"/>
      <c r="CA2" s="2388"/>
      <c r="CB2" s="2388"/>
      <c r="CC2" s="2388"/>
      <c r="CD2" s="2388">
        <f>IF(Data!$BW$44&lt;&gt;"",Data!$BW$44, "")</f>
        <v>6</v>
      </c>
      <c r="CE2" s="2388"/>
      <c r="CF2" s="2388"/>
      <c r="CG2" s="2388"/>
      <c r="CH2" s="2388"/>
      <c r="CI2" s="2388"/>
      <c r="CJ2" s="2388"/>
      <c r="CK2" s="2388"/>
      <c r="CL2" s="2388"/>
      <c r="CM2" s="2388"/>
      <c r="CN2" s="2388"/>
      <c r="CO2" s="2388"/>
      <c r="CP2" s="2388"/>
      <c r="CQ2" s="2388"/>
      <c r="CR2" s="2388"/>
      <c r="CS2" s="2388"/>
      <c r="CT2" s="2388">
        <f>IF(Data!$BX$44&lt;&gt;"", Data!$BX$44, "")</f>
        <v>7</v>
      </c>
      <c r="CU2" s="2388"/>
      <c r="CV2" s="2388"/>
      <c r="CW2" s="2388"/>
      <c r="CX2" s="2388"/>
      <c r="CY2" s="2388"/>
      <c r="CZ2" s="2388"/>
      <c r="DA2" s="2388"/>
      <c r="DB2" s="2388"/>
      <c r="DC2" s="2388"/>
      <c r="DD2" s="2388"/>
      <c r="DE2" s="2388"/>
      <c r="DF2" s="2388"/>
      <c r="DG2" s="2388"/>
      <c r="DH2" s="2388"/>
      <c r="DI2" s="2388"/>
      <c r="DJ2" s="2388">
        <f>IF(Data!$BY$44&lt;&gt;"", Data!$BY$44, "")</f>
        <v>8</v>
      </c>
      <c r="DK2" s="2388"/>
      <c r="DL2" s="2388"/>
      <c r="DM2" s="2388"/>
      <c r="DN2" s="2388"/>
      <c r="DO2" s="2388"/>
      <c r="DP2" s="2388"/>
      <c r="DQ2" s="2388"/>
      <c r="DR2" s="2388"/>
      <c r="DS2" s="2388"/>
      <c r="DT2" s="2388"/>
      <c r="DU2" s="2388"/>
      <c r="DV2" s="2388"/>
      <c r="DW2" s="2388"/>
      <c r="DX2" s="2388"/>
      <c r="DY2" s="2388"/>
      <c r="DZ2" s="2388">
        <f>IF(Data!$BZ$44&lt;&gt;"", Data!$BZ$44, "")</f>
        <v>0</v>
      </c>
      <c r="EA2" s="2388"/>
      <c r="EB2" s="2388"/>
      <c r="EC2" s="2388"/>
      <c r="ED2" s="2388"/>
      <c r="EE2" s="2388"/>
      <c r="EF2" s="2388"/>
      <c r="EG2" s="2388"/>
      <c r="EH2" s="2388"/>
      <c r="EI2" s="2388"/>
      <c r="EJ2" s="2388"/>
      <c r="EK2" s="2388"/>
      <c r="EL2" s="2388"/>
      <c r="EM2" s="2388"/>
      <c r="EN2" s="2388"/>
      <c r="EO2" s="2388"/>
      <c r="EP2" s="2388">
        <f>IF(Data!$CA$44&lt;&gt;"", Data!$CA$44, "")</f>
        <v>9</v>
      </c>
      <c r="EQ2" s="2388"/>
      <c r="ER2" s="2388"/>
      <c r="ES2" s="2388"/>
      <c r="ET2" s="2388"/>
      <c r="EU2" s="2388"/>
      <c r="EV2" s="2388"/>
      <c r="EW2" s="2388"/>
      <c r="EX2" s="2388"/>
      <c r="EY2" s="2388"/>
      <c r="EZ2" s="2388"/>
      <c r="FA2" s="2388"/>
      <c r="FB2" s="2388"/>
      <c r="FC2" s="2388"/>
      <c r="FD2" s="2388"/>
      <c r="FE2" s="2388"/>
      <c r="FF2" s="2388">
        <f>IF(Data!$CB$44&lt;&gt;"", Data!$CB$44, "")</f>
        <v>10</v>
      </c>
      <c r="FG2" s="2388"/>
      <c r="FH2" s="2388"/>
      <c r="FI2" s="2388"/>
      <c r="FJ2" s="2388"/>
      <c r="FK2" s="2388"/>
      <c r="FL2" s="2388"/>
      <c r="FM2" s="2388"/>
      <c r="FN2" s="2388"/>
      <c r="FO2" s="2388"/>
      <c r="FP2" s="2388"/>
      <c r="FQ2" s="2388"/>
      <c r="FR2" s="2388"/>
      <c r="FS2" s="2388"/>
      <c r="FT2" s="2388"/>
      <c r="FU2" s="2388"/>
      <c r="FV2" s="1248"/>
      <c r="FW2" s="1248"/>
      <c r="FX2" s="1248"/>
      <c r="FY2" s="1248"/>
      <c r="FZ2" s="1248"/>
      <c r="GA2" s="1248"/>
      <c r="GB2" s="1248"/>
      <c r="GC2" s="1248"/>
      <c r="GD2" s="1248"/>
      <c r="GE2" s="1248"/>
      <c r="GF2" s="1248"/>
      <c r="GG2" s="1248"/>
      <c r="HO2" s="10"/>
    </row>
    <row r="3" spans="1:223" ht="44.25" customHeight="1" x14ac:dyDescent="0.35">
      <c r="A3" s="338">
        <v>1</v>
      </c>
      <c r="B3" s="2386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S</v>
      </c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S</v>
      </c>
      <c r="S3" s="2386"/>
      <c r="T3" s="2386"/>
      <c r="U3" s="2386"/>
      <c r="V3" s="2386"/>
      <c r="W3" s="2386"/>
      <c r="X3" s="2386"/>
      <c r="Y3" s="2386"/>
      <c r="Z3" s="2386"/>
      <c r="AA3" s="2386"/>
      <c r="AB3" s="2386"/>
      <c r="AC3" s="2386"/>
      <c r="AD3" s="2386"/>
      <c r="AE3" s="2386"/>
      <c r="AF3" s="2386"/>
      <c r="AG3" s="2386"/>
      <c r="AH3" s="2386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S</v>
      </c>
      <c r="AI3" s="2386"/>
      <c r="AJ3" s="2386"/>
      <c r="AK3" s="2386"/>
      <c r="AL3" s="2386"/>
      <c r="AM3" s="2386"/>
      <c r="AN3" s="2386"/>
      <c r="AO3" s="2386"/>
      <c r="AP3" s="2386"/>
      <c r="AQ3" s="2386"/>
      <c r="AR3" s="2386"/>
      <c r="AS3" s="2386"/>
      <c r="AT3" s="2386"/>
      <c r="AU3" s="2386"/>
      <c r="AV3" s="2386"/>
      <c r="AW3" s="2386"/>
      <c r="AX3" s="2386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S</v>
      </c>
      <c r="AY3" s="2386"/>
      <c r="AZ3" s="2386"/>
      <c r="BA3" s="2386"/>
      <c r="BB3" s="2386"/>
      <c r="BC3" s="2386"/>
      <c r="BD3" s="2386"/>
      <c r="BE3" s="2386"/>
      <c r="BF3" s="2386"/>
      <c r="BG3" s="2386"/>
      <c r="BH3" s="2386"/>
      <c r="BI3" s="2386"/>
      <c r="BJ3" s="2386"/>
      <c r="BK3" s="2386"/>
      <c r="BL3" s="2386"/>
      <c r="BM3" s="2386"/>
      <c r="BN3" s="2386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S</v>
      </c>
      <c r="BO3" s="2386"/>
      <c r="BP3" s="2386"/>
      <c r="BQ3" s="2386"/>
      <c r="BR3" s="2386"/>
      <c r="BS3" s="2386"/>
      <c r="BT3" s="2386"/>
      <c r="BU3" s="2386"/>
      <c r="BV3" s="2386"/>
      <c r="BW3" s="2386"/>
      <c r="BX3" s="2386"/>
      <c r="BY3" s="2386"/>
      <c r="BZ3" s="2386"/>
      <c r="CA3" s="2386"/>
      <c r="CB3" s="2386"/>
      <c r="CC3" s="2386"/>
      <c r="CD3" s="2386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XP</v>
      </c>
      <c r="CE3" s="2386"/>
      <c r="CF3" s="2386"/>
      <c r="CG3" s="2386"/>
      <c r="CH3" s="2386"/>
      <c r="CI3" s="2386"/>
      <c r="CJ3" s="2386"/>
      <c r="CK3" s="2386"/>
      <c r="CL3" s="2386"/>
      <c r="CM3" s="2386"/>
      <c r="CN3" s="2386"/>
      <c r="CO3" s="2386"/>
      <c r="CP3" s="2386"/>
      <c r="CQ3" s="2386"/>
      <c r="CR3" s="2386"/>
      <c r="CS3" s="2386"/>
      <c r="CT3" s="2386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CU3" s="2386"/>
      <c r="CV3" s="2386"/>
      <c r="CW3" s="2386"/>
      <c r="CX3" s="2386"/>
      <c r="CY3" s="2386"/>
      <c r="CZ3" s="2386"/>
      <c r="DA3" s="2386"/>
      <c r="DB3" s="2386"/>
      <c r="DC3" s="2386"/>
      <c r="DD3" s="2386"/>
      <c r="DE3" s="2386"/>
      <c r="DF3" s="2386"/>
      <c r="DG3" s="2386"/>
      <c r="DH3" s="2386"/>
      <c r="DI3" s="2386"/>
      <c r="DJ3" s="2386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DK3" s="2386"/>
      <c r="DL3" s="2386"/>
      <c r="DM3" s="2386"/>
      <c r="DN3" s="2386"/>
      <c r="DO3" s="2386"/>
      <c r="DP3" s="2386"/>
      <c r="DQ3" s="2386"/>
      <c r="DR3" s="2386"/>
      <c r="DS3" s="2386"/>
      <c r="DT3" s="2386"/>
      <c r="DU3" s="2386"/>
      <c r="DV3" s="2386"/>
      <c r="DW3" s="2386"/>
      <c r="DX3" s="2386"/>
      <c r="DY3" s="2386"/>
      <c r="DZ3" s="2386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EA3" s="2386"/>
      <c r="EB3" s="2386"/>
      <c r="EC3" s="2386"/>
      <c r="ED3" s="2386"/>
      <c r="EE3" s="2386"/>
      <c r="EF3" s="2386"/>
      <c r="EG3" s="2386"/>
      <c r="EH3" s="2386"/>
      <c r="EI3" s="2386"/>
      <c r="EJ3" s="2386"/>
      <c r="EK3" s="2386"/>
      <c r="EL3" s="2386"/>
      <c r="EM3" s="2386"/>
      <c r="EN3" s="2386"/>
      <c r="EO3" s="2386"/>
      <c r="EP3" s="2386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EQ3" s="2386"/>
      <c r="ER3" s="2386"/>
      <c r="ES3" s="2386"/>
      <c r="ET3" s="2386"/>
      <c r="EU3" s="2386"/>
      <c r="EV3" s="2386"/>
      <c r="EW3" s="2386"/>
      <c r="EX3" s="2386"/>
      <c r="EY3" s="2386"/>
      <c r="EZ3" s="2386"/>
      <c r="FA3" s="2386"/>
      <c r="FB3" s="2386"/>
      <c r="FC3" s="2386"/>
      <c r="FD3" s="2386"/>
      <c r="FE3" s="2386"/>
      <c r="FF3" s="2386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S</v>
      </c>
      <c r="FG3" s="2386"/>
      <c r="FH3" s="2386"/>
      <c r="FI3" s="2386"/>
      <c r="FJ3" s="2386"/>
      <c r="FK3" s="2386"/>
      <c r="FL3" s="2386"/>
      <c r="FM3" s="2386"/>
      <c r="FN3" s="2386"/>
      <c r="FO3" s="2386"/>
      <c r="FP3" s="2386"/>
      <c r="FQ3" s="2386"/>
      <c r="FR3" s="2386"/>
      <c r="FS3" s="2386"/>
      <c r="FT3" s="2386"/>
      <c r="FU3" s="2386"/>
      <c r="FV3" s="1248"/>
      <c r="FW3" s="1248"/>
      <c r="FX3" s="1248"/>
      <c r="FY3" s="1248"/>
      <c r="FZ3" s="1248"/>
      <c r="GA3" s="1248"/>
      <c r="GB3" s="1248"/>
      <c r="GC3" s="1248"/>
      <c r="GD3" s="1248"/>
      <c r="GE3" s="1248"/>
      <c r="GF3" s="1248"/>
      <c r="GG3" s="1248"/>
      <c r="HO3" s="10"/>
    </row>
    <row r="4" spans="1:223" ht="44.25" customHeight="1" x14ac:dyDescent="0.35">
      <c r="A4" s="338">
        <v>2</v>
      </c>
      <c r="B4" s="2386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S</v>
      </c>
      <c r="C4" s="2386"/>
      <c r="D4" s="2386"/>
      <c r="E4" s="2386"/>
      <c r="F4" s="2386"/>
      <c r="G4" s="2386"/>
      <c r="H4" s="2386"/>
      <c r="I4" s="2386"/>
      <c r="J4" s="2386"/>
      <c r="K4" s="2386"/>
      <c r="L4" s="2386"/>
      <c r="M4" s="2386"/>
      <c r="N4" s="2386"/>
      <c r="O4" s="2386"/>
      <c r="P4" s="2386"/>
      <c r="Q4" s="2386"/>
      <c r="R4" s="2386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S</v>
      </c>
      <c r="S4" s="2386"/>
      <c r="T4" s="2386"/>
      <c r="U4" s="2386"/>
      <c r="V4" s="2386"/>
      <c r="W4" s="2386"/>
      <c r="X4" s="2386"/>
      <c r="Y4" s="2386"/>
      <c r="Z4" s="2386"/>
      <c r="AA4" s="2386"/>
      <c r="AB4" s="2386"/>
      <c r="AC4" s="2386"/>
      <c r="AD4" s="2386"/>
      <c r="AE4" s="2386"/>
      <c r="AF4" s="2386"/>
      <c r="AG4" s="2386"/>
      <c r="AH4" s="2386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AI4" s="2386"/>
      <c r="AJ4" s="2386"/>
      <c r="AK4" s="2386"/>
      <c r="AL4" s="2386"/>
      <c r="AM4" s="2386"/>
      <c r="AN4" s="2386"/>
      <c r="AO4" s="2386"/>
      <c r="AP4" s="2386"/>
      <c r="AQ4" s="2386"/>
      <c r="AR4" s="2386"/>
      <c r="AS4" s="2386"/>
      <c r="AT4" s="2386"/>
      <c r="AU4" s="2386"/>
      <c r="AV4" s="2386"/>
      <c r="AW4" s="2386"/>
      <c r="AX4" s="2386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Y4" s="2386"/>
      <c r="AZ4" s="2386"/>
      <c r="BA4" s="2386"/>
      <c r="BB4" s="2386"/>
      <c r="BC4" s="2386"/>
      <c r="BD4" s="2386"/>
      <c r="BE4" s="2386"/>
      <c r="BF4" s="2386"/>
      <c r="BG4" s="2386"/>
      <c r="BH4" s="2386"/>
      <c r="BI4" s="2386"/>
      <c r="BJ4" s="2386"/>
      <c r="BK4" s="2386"/>
      <c r="BL4" s="2386"/>
      <c r="BM4" s="2386"/>
      <c r="BN4" s="2386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BO4" s="2386"/>
      <c r="BP4" s="2386"/>
      <c r="BQ4" s="2386"/>
      <c r="BR4" s="2386"/>
      <c r="BS4" s="2386"/>
      <c r="BT4" s="2386"/>
      <c r="BU4" s="2386"/>
      <c r="BV4" s="2386"/>
      <c r="BW4" s="2386"/>
      <c r="BX4" s="2386"/>
      <c r="BY4" s="2386"/>
      <c r="BZ4" s="2386"/>
      <c r="CA4" s="2386"/>
      <c r="CB4" s="2386"/>
      <c r="CC4" s="2386"/>
      <c r="CD4" s="2386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CE4" s="2386"/>
      <c r="CF4" s="2386"/>
      <c r="CG4" s="2386"/>
      <c r="CH4" s="2386"/>
      <c r="CI4" s="2386"/>
      <c r="CJ4" s="2386"/>
      <c r="CK4" s="2386"/>
      <c r="CL4" s="2386"/>
      <c r="CM4" s="2386"/>
      <c r="CN4" s="2386"/>
      <c r="CO4" s="2386"/>
      <c r="CP4" s="2386"/>
      <c r="CQ4" s="2386"/>
      <c r="CR4" s="2386"/>
      <c r="CS4" s="2386"/>
      <c r="CT4" s="2386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CU4" s="2386"/>
      <c r="CV4" s="2386"/>
      <c r="CW4" s="2386"/>
      <c r="CX4" s="2386"/>
      <c r="CY4" s="2386"/>
      <c r="CZ4" s="2386"/>
      <c r="DA4" s="2386"/>
      <c r="DB4" s="2386"/>
      <c r="DC4" s="2386"/>
      <c r="DD4" s="2386"/>
      <c r="DE4" s="2386"/>
      <c r="DF4" s="2386"/>
      <c r="DG4" s="2386"/>
      <c r="DH4" s="2386"/>
      <c r="DI4" s="2386"/>
      <c r="DJ4" s="2386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DK4" s="2386"/>
      <c r="DL4" s="2386"/>
      <c r="DM4" s="2386"/>
      <c r="DN4" s="2386"/>
      <c r="DO4" s="2386"/>
      <c r="DP4" s="2386"/>
      <c r="DQ4" s="2386"/>
      <c r="DR4" s="2386"/>
      <c r="DS4" s="2386"/>
      <c r="DT4" s="2386"/>
      <c r="DU4" s="2386"/>
      <c r="DV4" s="2386"/>
      <c r="DW4" s="2386"/>
      <c r="DX4" s="2386"/>
      <c r="DY4" s="2386"/>
      <c r="DZ4" s="2386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EA4" s="2386"/>
      <c r="EB4" s="2386"/>
      <c r="EC4" s="2386"/>
      <c r="ED4" s="2386"/>
      <c r="EE4" s="2386"/>
      <c r="EF4" s="2386"/>
      <c r="EG4" s="2386"/>
      <c r="EH4" s="2386"/>
      <c r="EI4" s="2386"/>
      <c r="EJ4" s="2386"/>
      <c r="EK4" s="2386"/>
      <c r="EL4" s="2386"/>
      <c r="EM4" s="2386"/>
      <c r="EN4" s="2386"/>
      <c r="EO4" s="2386"/>
      <c r="EP4" s="2386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S</v>
      </c>
      <c r="EQ4" s="2386"/>
      <c r="ER4" s="2386"/>
      <c r="ES4" s="2386"/>
      <c r="ET4" s="2386"/>
      <c r="EU4" s="2386"/>
      <c r="EV4" s="2386"/>
      <c r="EW4" s="2386"/>
      <c r="EX4" s="2386"/>
      <c r="EY4" s="2386"/>
      <c r="EZ4" s="2386"/>
      <c r="FA4" s="2386"/>
      <c r="FB4" s="2386"/>
      <c r="FC4" s="2386"/>
      <c r="FD4" s="2386"/>
      <c r="FE4" s="2386"/>
      <c r="FF4" s="2386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S</v>
      </c>
      <c r="FG4" s="2386"/>
      <c r="FH4" s="2386"/>
      <c r="FI4" s="2386"/>
      <c r="FJ4" s="2386"/>
      <c r="FK4" s="2386"/>
      <c r="FL4" s="2386"/>
      <c r="FM4" s="2386"/>
      <c r="FN4" s="2386"/>
      <c r="FO4" s="2386"/>
      <c r="FP4" s="2386"/>
      <c r="FQ4" s="2386"/>
      <c r="FR4" s="2386"/>
      <c r="FS4" s="2386"/>
      <c r="FT4" s="2386"/>
      <c r="FU4" s="2386"/>
      <c r="FV4" s="1248"/>
      <c r="FW4" s="1248"/>
      <c r="FX4" s="1248"/>
      <c r="FY4" s="1248"/>
      <c r="FZ4" s="1248"/>
      <c r="GA4" s="1248"/>
      <c r="GB4" s="1248"/>
      <c r="GC4" s="1248"/>
      <c r="GD4" s="1248"/>
      <c r="GE4" s="1248"/>
      <c r="GF4" s="1248"/>
      <c r="GG4" s="1248"/>
    </row>
    <row r="5" spans="1:223" ht="44.25" customHeight="1" x14ac:dyDescent="0.35">
      <c r="A5" s="338">
        <v>3</v>
      </c>
      <c r="B5" s="2386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S</v>
      </c>
      <c r="C5" s="2386"/>
      <c r="D5" s="2386"/>
      <c r="E5" s="2386"/>
      <c r="F5" s="2386"/>
      <c r="G5" s="2386"/>
      <c r="H5" s="2386"/>
      <c r="I5" s="2386"/>
      <c r="J5" s="2386"/>
      <c r="K5" s="2386"/>
      <c r="L5" s="2386"/>
      <c r="M5" s="2386"/>
      <c r="N5" s="2386"/>
      <c r="O5" s="2386"/>
      <c r="P5" s="2386"/>
      <c r="Q5" s="2386"/>
      <c r="R5" s="2386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S</v>
      </c>
      <c r="S5" s="2386"/>
      <c r="T5" s="2386"/>
      <c r="U5" s="2386"/>
      <c r="V5" s="2386"/>
      <c r="W5" s="2386"/>
      <c r="X5" s="2386"/>
      <c r="Y5" s="2386"/>
      <c r="Z5" s="2386"/>
      <c r="AA5" s="2386"/>
      <c r="AB5" s="2386"/>
      <c r="AC5" s="2386"/>
      <c r="AD5" s="2386"/>
      <c r="AE5" s="2386"/>
      <c r="AF5" s="2386"/>
      <c r="AG5" s="2386"/>
      <c r="AH5" s="2386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S</v>
      </c>
      <c r="AI5" s="2386"/>
      <c r="AJ5" s="2386"/>
      <c r="AK5" s="2386"/>
      <c r="AL5" s="2386"/>
      <c r="AM5" s="2386"/>
      <c r="AN5" s="2386"/>
      <c r="AO5" s="2386"/>
      <c r="AP5" s="2386"/>
      <c r="AQ5" s="2386"/>
      <c r="AR5" s="2386"/>
      <c r="AS5" s="2386"/>
      <c r="AT5" s="2386"/>
      <c r="AU5" s="2386"/>
      <c r="AV5" s="2386"/>
      <c r="AW5" s="2386"/>
      <c r="AX5" s="2386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S</v>
      </c>
      <c r="AY5" s="2386"/>
      <c r="AZ5" s="2386"/>
      <c r="BA5" s="2386"/>
      <c r="BB5" s="2386"/>
      <c r="BC5" s="2386"/>
      <c r="BD5" s="2386"/>
      <c r="BE5" s="2386"/>
      <c r="BF5" s="2386"/>
      <c r="BG5" s="2386"/>
      <c r="BH5" s="2386"/>
      <c r="BI5" s="2386"/>
      <c r="BJ5" s="2386"/>
      <c r="BK5" s="2386"/>
      <c r="BL5" s="2386"/>
      <c r="BM5" s="2386"/>
      <c r="BN5" s="2386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BO5" s="2386"/>
      <c r="BP5" s="2386"/>
      <c r="BQ5" s="2386"/>
      <c r="BR5" s="2386"/>
      <c r="BS5" s="2386"/>
      <c r="BT5" s="2386"/>
      <c r="BU5" s="2386"/>
      <c r="BV5" s="2386"/>
      <c r="BW5" s="2386"/>
      <c r="BX5" s="2386"/>
      <c r="BY5" s="2386"/>
      <c r="BZ5" s="2386"/>
      <c r="CA5" s="2386"/>
      <c r="CB5" s="2386"/>
      <c r="CC5" s="2386"/>
      <c r="CD5" s="2386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CE5" s="2386"/>
      <c r="CF5" s="2386"/>
      <c r="CG5" s="2386"/>
      <c r="CH5" s="2386"/>
      <c r="CI5" s="2386"/>
      <c r="CJ5" s="2386"/>
      <c r="CK5" s="2386"/>
      <c r="CL5" s="2386"/>
      <c r="CM5" s="2386"/>
      <c r="CN5" s="2386"/>
      <c r="CO5" s="2386"/>
      <c r="CP5" s="2386"/>
      <c r="CQ5" s="2386"/>
      <c r="CR5" s="2386"/>
      <c r="CS5" s="2386"/>
      <c r="CT5" s="2386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XP</v>
      </c>
      <c r="CU5" s="2386"/>
      <c r="CV5" s="2386"/>
      <c r="CW5" s="2386"/>
      <c r="CX5" s="2386"/>
      <c r="CY5" s="2386"/>
      <c r="CZ5" s="2386"/>
      <c r="DA5" s="2386"/>
      <c r="DB5" s="2386"/>
      <c r="DC5" s="2386"/>
      <c r="DD5" s="2386"/>
      <c r="DE5" s="2386"/>
      <c r="DF5" s="2386"/>
      <c r="DG5" s="2386"/>
      <c r="DH5" s="2386"/>
      <c r="DI5" s="2386"/>
      <c r="DJ5" s="2386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DK5" s="2386"/>
      <c r="DL5" s="2386"/>
      <c r="DM5" s="2386"/>
      <c r="DN5" s="2386"/>
      <c r="DO5" s="2386"/>
      <c r="DP5" s="2386"/>
      <c r="DQ5" s="2386"/>
      <c r="DR5" s="2386"/>
      <c r="DS5" s="2386"/>
      <c r="DT5" s="2386"/>
      <c r="DU5" s="2386"/>
      <c r="DV5" s="2386"/>
      <c r="DW5" s="2386"/>
      <c r="DX5" s="2386"/>
      <c r="DY5" s="2386"/>
      <c r="DZ5" s="2386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EA5" s="2386"/>
      <c r="EB5" s="2386"/>
      <c r="EC5" s="2386"/>
      <c r="ED5" s="2386"/>
      <c r="EE5" s="2386"/>
      <c r="EF5" s="2386"/>
      <c r="EG5" s="2386"/>
      <c r="EH5" s="2386"/>
      <c r="EI5" s="2386"/>
      <c r="EJ5" s="2386"/>
      <c r="EK5" s="2386"/>
      <c r="EL5" s="2386"/>
      <c r="EM5" s="2386"/>
      <c r="EN5" s="2386"/>
      <c r="EO5" s="2386"/>
      <c r="EP5" s="2386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S</v>
      </c>
      <c r="EQ5" s="2386"/>
      <c r="ER5" s="2386"/>
      <c r="ES5" s="2386"/>
      <c r="ET5" s="2386"/>
      <c r="EU5" s="2386"/>
      <c r="EV5" s="2386"/>
      <c r="EW5" s="2386"/>
      <c r="EX5" s="2386"/>
      <c r="EY5" s="2386"/>
      <c r="EZ5" s="2386"/>
      <c r="FA5" s="2386"/>
      <c r="FB5" s="2386"/>
      <c r="FC5" s="2386"/>
      <c r="FD5" s="2386"/>
      <c r="FE5" s="2386"/>
      <c r="FF5" s="2386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S</v>
      </c>
      <c r="FG5" s="2386"/>
      <c r="FH5" s="2386"/>
      <c r="FI5" s="2386"/>
      <c r="FJ5" s="2386"/>
      <c r="FK5" s="2386"/>
      <c r="FL5" s="2386"/>
      <c r="FM5" s="2386"/>
      <c r="FN5" s="2386"/>
      <c r="FO5" s="2386"/>
      <c r="FP5" s="2386"/>
      <c r="FQ5" s="2386"/>
      <c r="FR5" s="2386"/>
      <c r="FS5" s="2386"/>
      <c r="FT5" s="2386"/>
      <c r="FU5" s="2386"/>
      <c r="FV5" s="1248"/>
      <c r="FW5" s="1248"/>
      <c r="FX5" s="1248"/>
      <c r="FY5" s="1248"/>
      <c r="FZ5" s="1248"/>
      <c r="GA5" s="1248"/>
      <c r="GB5" s="1248"/>
      <c r="GC5" s="1248"/>
      <c r="GD5" s="1248"/>
      <c r="GE5" s="1248"/>
      <c r="GF5" s="1248"/>
      <c r="GG5" s="1248"/>
    </row>
    <row r="6" spans="1:223" ht="44.25" customHeight="1" x14ac:dyDescent="0.35">
      <c r="A6" s="338">
        <v>4</v>
      </c>
      <c r="B6" s="2386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S</v>
      </c>
      <c r="C6" s="2386"/>
      <c r="D6" s="2386"/>
      <c r="E6" s="2386"/>
      <c r="F6" s="2386"/>
      <c r="G6" s="2386"/>
      <c r="H6" s="2386"/>
      <c r="I6" s="2386"/>
      <c r="J6" s="2386"/>
      <c r="K6" s="2386"/>
      <c r="L6" s="2386"/>
      <c r="M6" s="2386"/>
      <c r="N6" s="2386"/>
      <c r="O6" s="2386"/>
      <c r="P6" s="2386"/>
      <c r="Q6" s="2386"/>
      <c r="R6" s="2386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S</v>
      </c>
      <c r="S6" s="2386"/>
      <c r="T6" s="2386"/>
      <c r="U6" s="2386"/>
      <c r="V6" s="2386"/>
      <c r="W6" s="2386"/>
      <c r="X6" s="2386"/>
      <c r="Y6" s="2386"/>
      <c r="Z6" s="2386"/>
      <c r="AA6" s="2386"/>
      <c r="AB6" s="2386"/>
      <c r="AC6" s="2386"/>
      <c r="AD6" s="2386"/>
      <c r="AE6" s="2386"/>
      <c r="AF6" s="2386"/>
      <c r="AG6" s="2386"/>
      <c r="AH6" s="2386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AI6" s="2386"/>
      <c r="AJ6" s="2386"/>
      <c r="AK6" s="2386"/>
      <c r="AL6" s="2386"/>
      <c r="AM6" s="2386"/>
      <c r="AN6" s="2386"/>
      <c r="AO6" s="2386"/>
      <c r="AP6" s="2386"/>
      <c r="AQ6" s="2386"/>
      <c r="AR6" s="2386"/>
      <c r="AS6" s="2386"/>
      <c r="AT6" s="2386"/>
      <c r="AU6" s="2386"/>
      <c r="AV6" s="2386"/>
      <c r="AW6" s="2386"/>
      <c r="AX6" s="2386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AY6" s="2386"/>
      <c r="AZ6" s="2386"/>
      <c r="BA6" s="2386"/>
      <c r="BB6" s="2386"/>
      <c r="BC6" s="2386"/>
      <c r="BD6" s="2386"/>
      <c r="BE6" s="2386"/>
      <c r="BF6" s="2386"/>
      <c r="BG6" s="2386"/>
      <c r="BH6" s="2386"/>
      <c r="BI6" s="2386"/>
      <c r="BJ6" s="2386"/>
      <c r="BK6" s="2386"/>
      <c r="BL6" s="2386"/>
      <c r="BM6" s="2386"/>
      <c r="BN6" s="2386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X</v>
      </c>
      <c r="BO6" s="2386"/>
      <c r="BP6" s="2386"/>
      <c r="BQ6" s="2386"/>
      <c r="BR6" s="2386"/>
      <c r="BS6" s="2386"/>
      <c r="BT6" s="2386"/>
      <c r="BU6" s="2386"/>
      <c r="BV6" s="2386"/>
      <c r="BW6" s="2386"/>
      <c r="BX6" s="2386"/>
      <c r="BY6" s="2386"/>
      <c r="BZ6" s="2386"/>
      <c r="CA6" s="2386"/>
      <c r="CB6" s="2386"/>
      <c r="CC6" s="2386"/>
      <c r="CD6" s="2386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XP</v>
      </c>
      <c r="CE6" s="2386"/>
      <c r="CF6" s="2386"/>
      <c r="CG6" s="2386"/>
      <c r="CH6" s="2386"/>
      <c r="CI6" s="2386"/>
      <c r="CJ6" s="2386"/>
      <c r="CK6" s="2386"/>
      <c r="CL6" s="2386"/>
      <c r="CM6" s="2386"/>
      <c r="CN6" s="2386"/>
      <c r="CO6" s="2386"/>
      <c r="CP6" s="2386"/>
      <c r="CQ6" s="2386"/>
      <c r="CR6" s="2386"/>
      <c r="CS6" s="2386"/>
      <c r="CT6" s="2386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CU6" s="2386"/>
      <c r="CV6" s="2386"/>
      <c r="CW6" s="2386"/>
      <c r="CX6" s="2386"/>
      <c r="CY6" s="2386"/>
      <c r="CZ6" s="2386"/>
      <c r="DA6" s="2386"/>
      <c r="DB6" s="2386"/>
      <c r="DC6" s="2386"/>
      <c r="DD6" s="2386"/>
      <c r="DE6" s="2386"/>
      <c r="DF6" s="2386"/>
      <c r="DG6" s="2386"/>
      <c r="DH6" s="2386"/>
      <c r="DI6" s="2386"/>
      <c r="DJ6" s="2386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DK6" s="2386"/>
      <c r="DL6" s="2386"/>
      <c r="DM6" s="2386"/>
      <c r="DN6" s="2386"/>
      <c r="DO6" s="2386"/>
      <c r="DP6" s="2386"/>
      <c r="DQ6" s="2386"/>
      <c r="DR6" s="2386"/>
      <c r="DS6" s="2386"/>
      <c r="DT6" s="2386"/>
      <c r="DU6" s="2386"/>
      <c r="DV6" s="2386"/>
      <c r="DW6" s="2386"/>
      <c r="DX6" s="2386"/>
      <c r="DY6" s="2386"/>
      <c r="DZ6" s="2386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EA6" s="2386"/>
      <c r="EB6" s="2386"/>
      <c r="EC6" s="2386"/>
      <c r="ED6" s="2386"/>
      <c r="EE6" s="2386"/>
      <c r="EF6" s="2386"/>
      <c r="EG6" s="2386"/>
      <c r="EH6" s="2386"/>
      <c r="EI6" s="2386"/>
      <c r="EJ6" s="2386"/>
      <c r="EK6" s="2386"/>
      <c r="EL6" s="2386"/>
      <c r="EM6" s="2386"/>
      <c r="EN6" s="2386"/>
      <c r="EO6" s="2386"/>
      <c r="EP6" s="2386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S</v>
      </c>
      <c r="EQ6" s="2386"/>
      <c r="ER6" s="2386"/>
      <c r="ES6" s="2386"/>
      <c r="ET6" s="2386"/>
      <c r="EU6" s="2386"/>
      <c r="EV6" s="2386"/>
      <c r="EW6" s="2386"/>
      <c r="EX6" s="2386"/>
      <c r="EY6" s="2386"/>
      <c r="EZ6" s="2386"/>
      <c r="FA6" s="2386"/>
      <c r="FB6" s="2386"/>
      <c r="FC6" s="2386"/>
      <c r="FD6" s="2386"/>
      <c r="FE6" s="2386"/>
      <c r="FF6" s="2386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S</v>
      </c>
      <c r="FG6" s="2386"/>
      <c r="FH6" s="2386"/>
      <c r="FI6" s="2386"/>
      <c r="FJ6" s="2386"/>
      <c r="FK6" s="2386"/>
      <c r="FL6" s="2386"/>
      <c r="FM6" s="2386"/>
      <c r="FN6" s="2386"/>
      <c r="FO6" s="2386"/>
      <c r="FP6" s="2386"/>
      <c r="FQ6" s="2386"/>
      <c r="FR6" s="2386"/>
      <c r="FS6" s="2386"/>
      <c r="FT6" s="2386"/>
      <c r="FU6" s="2386"/>
      <c r="FV6" s="1248"/>
      <c r="FW6" s="1248"/>
      <c r="FX6" s="1248"/>
      <c r="FY6" s="1248"/>
      <c r="FZ6" s="1248"/>
      <c r="GA6" s="1248"/>
      <c r="GB6" s="1248"/>
      <c r="GC6" s="1248"/>
      <c r="GD6" s="1248"/>
      <c r="GE6" s="1248"/>
      <c r="GF6" s="1248"/>
      <c r="GG6" s="1248"/>
    </row>
    <row r="7" spans="1:223" ht="44.25" customHeight="1" x14ac:dyDescent="0.35">
      <c r="A7" s="338">
        <v>5</v>
      </c>
      <c r="B7" s="2386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S</v>
      </c>
      <c r="C7" s="2386"/>
      <c r="D7" s="2386"/>
      <c r="E7" s="2386"/>
      <c r="F7" s="2386"/>
      <c r="G7" s="2386"/>
      <c r="H7" s="2386"/>
      <c r="I7" s="2386"/>
      <c r="J7" s="2386"/>
      <c r="K7" s="2386"/>
      <c r="L7" s="2386"/>
      <c r="M7" s="2386"/>
      <c r="N7" s="2386"/>
      <c r="O7" s="2386"/>
      <c r="P7" s="2386"/>
      <c r="Q7" s="2386"/>
      <c r="R7" s="2386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S</v>
      </c>
      <c r="S7" s="2386"/>
      <c r="T7" s="2386"/>
      <c r="U7" s="2386"/>
      <c r="V7" s="2386"/>
      <c r="W7" s="2386"/>
      <c r="X7" s="2386"/>
      <c r="Y7" s="2386"/>
      <c r="Z7" s="2386"/>
      <c r="AA7" s="2386"/>
      <c r="AB7" s="2386"/>
      <c r="AC7" s="2386"/>
      <c r="AD7" s="2386"/>
      <c r="AE7" s="2386"/>
      <c r="AF7" s="2386"/>
      <c r="AG7" s="2386"/>
      <c r="AH7" s="2386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S</v>
      </c>
      <c r="AI7" s="2386"/>
      <c r="AJ7" s="2386"/>
      <c r="AK7" s="2386"/>
      <c r="AL7" s="2386"/>
      <c r="AM7" s="2386"/>
      <c r="AN7" s="2386"/>
      <c r="AO7" s="2386"/>
      <c r="AP7" s="2386"/>
      <c r="AQ7" s="2386"/>
      <c r="AR7" s="2386"/>
      <c r="AS7" s="2386"/>
      <c r="AT7" s="2386"/>
      <c r="AU7" s="2386"/>
      <c r="AV7" s="2386"/>
      <c r="AW7" s="2386"/>
      <c r="AX7" s="2386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S</v>
      </c>
      <c r="AY7" s="2386"/>
      <c r="AZ7" s="2386"/>
      <c r="BA7" s="2386"/>
      <c r="BB7" s="2386"/>
      <c r="BC7" s="2386"/>
      <c r="BD7" s="2386"/>
      <c r="BE7" s="2386"/>
      <c r="BF7" s="2386"/>
      <c r="BG7" s="2386"/>
      <c r="BH7" s="2386"/>
      <c r="BI7" s="2386"/>
      <c r="BJ7" s="2386"/>
      <c r="BK7" s="2386"/>
      <c r="BL7" s="2386"/>
      <c r="BM7" s="2386"/>
      <c r="BN7" s="2386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S</v>
      </c>
      <c r="BO7" s="2386"/>
      <c r="BP7" s="2386"/>
      <c r="BQ7" s="2386"/>
      <c r="BR7" s="2386"/>
      <c r="BS7" s="2386"/>
      <c r="BT7" s="2386"/>
      <c r="BU7" s="2386"/>
      <c r="BV7" s="2386"/>
      <c r="BW7" s="2386"/>
      <c r="BX7" s="2386"/>
      <c r="BY7" s="2386"/>
      <c r="BZ7" s="2386"/>
      <c r="CA7" s="2386"/>
      <c r="CB7" s="2386"/>
      <c r="CC7" s="2386"/>
      <c r="CD7" s="2386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CE7" s="2386"/>
      <c r="CF7" s="2386"/>
      <c r="CG7" s="2386"/>
      <c r="CH7" s="2386"/>
      <c r="CI7" s="2386"/>
      <c r="CJ7" s="2386"/>
      <c r="CK7" s="2386"/>
      <c r="CL7" s="2386"/>
      <c r="CM7" s="2386"/>
      <c r="CN7" s="2386"/>
      <c r="CO7" s="2386"/>
      <c r="CP7" s="2386"/>
      <c r="CQ7" s="2386"/>
      <c r="CR7" s="2386"/>
      <c r="CS7" s="2386"/>
      <c r="CT7" s="2386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CU7" s="2386"/>
      <c r="CV7" s="2386"/>
      <c r="CW7" s="2386"/>
      <c r="CX7" s="2386"/>
      <c r="CY7" s="2386"/>
      <c r="CZ7" s="2386"/>
      <c r="DA7" s="2386"/>
      <c r="DB7" s="2386"/>
      <c r="DC7" s="2386"/>
      <c r="DD7" s="2386"/>
      <c r="DE7" s="2386"/>
      <c r="DF7" s="2386"/>
      <c r="DG7" s="2386"/>
      <c r="DH7" s="2386"/>
      <c r="DI7" s="2386"/>
      <c r="DJ7" s="2386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DK7" s="2386"/>
      <c r="DL7" s="2386"/>
      <c r="DM7" s="2386"/>
      <c r="DN7" s="2386"/>
      <c r="DO7" s="2386"/>
      <c r="DP7" s="2386"/>
      <c r="DQ7" s="2386"/>
      <c r="DR7" s="2386"/>
      <c r="DS7" s="2386"/>
      <c r="DT7" s="2386"/>
      <c r="DU7" s="2386"/>
      <c r="DV7" s="2386"/>
      <c r="DW7" s="2386"/>
      <c r="DX7" s="2386"/>
      <c r="DY7" s="2386"/>
      <c r="DZ7" s="2386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EA7" s="2386"/>
      <c r="EB7" s="2386"/>
      <c r="EC7" s="2386"/>
      <c r="ED7" s="2386"/>
      <c r="EE7" s="2386"/>
      <c r="EF7" s="2386"/>
      <c r="EG7" s="2386"/>
      <c r="EH7" s="2386"/>
      <c r="EI7" s="2386"/>
      <c r="EJ7" s="2386"/>
      <c r="EK7" s="2386"/>
      <c r="EL7" s="2386"/>
      <c r="EM7" s="2386"/>
      <c r="EN7" s="2386"/>
      <c r="EO7" s="2386"/>
      <c r="EP7" s="2386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S</v>
      </c>
      <c r="EQ7" s="2386"/>
      <c r="ER7" s="2386"/>
      <c r="ES7" s="2386"/>
      <c r="ET7" s="2386"/>
      <c r="EU7" s="2386"/>
      <c r="EV7" s="2386"/>
      <c r="EW7" s="2386"/>
      <c r="EX7" s="2386"/>
      <c r="EY7" s="2386"/>
      <c r="EZ7" s="2386"/>
      <c r="FA7" s="2386"/>
      <c r="FB7" s="2386"/>
      <c r="FC7" s="2386"/>
      <c r="FD7" s="2386"/>
      <c r="FE7" s="2386"/>
      <c r="FF7" s="2386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S</v>
      </c>
      <c r="FG7" s="2386"/>
      <c r="FH7" s="2386"/>
      <c r="FI7" s="2386"/>
      <c r="FJ7" s="2386"/>
      <c r="FK7" s="2386"/>
      <c r="FL7" s="2386"/>
      <c r="FM7" s="2386"/>
      <c r="FN7" s="2386"/>
      <c r="FO7" s="2386"/>
      <c r="FP7" s="2386"/>
      <c r="FQ7" s="2386"/>
      <c r="FR7" s="2386"/>
      <c r="FS7" s="2386"/>
      <c r="FT7" s="2386"/>
      <c r="FU7" s="2386"/>
      <c r="FV7" s="1248"/>
      <c r="FW7" s="1248"/>
      <c r="FX7" s="1248"/>
      <c r="FY7" s="1248"/>
      <c r="FZ7" s="1248"/>
      <c r="GA7" s="1248"/>
      <c r="GB7" s="1248"/>
      <c r="GC7" s="1248"/>
      <c r="GD7" s="1248"/>
      <c r="GE7" s="1248"/>
      <c r="GF7" s="1248"/>
      <c r="GG7" s="1248"/>
    </row>
    <row r="8" spans="1:223" ht="44.25" customHeight="1" x14ac:dyDescent="0.35">
      <c r="A8" s="338">
        <v>6</v>
      </c>
      <c r="B8" s="2386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S</v>
      </c>
      <c r="C8" s="2386"/>
      <c r="D8" s="2386"/>
      <c r="E8" s="2386"/>
      <c r="F8" s="2386"/>
      <c r="G8" s="2386"/>
      <c r="H8" s="2386"/>
      <c r="I8" s="2386"/>
      <c r="J8" s="2386"/>
      <c r="K8" s="2386"/>
      <c r="L8" s="2386"/>
      <c r="M8" s="2386"/>
      <c r="N8" s="2386"/>
      <c r="O8" s="2386"/>
      <c r="P8" s="2386"/>
      <c r="Q8" s="2386"/>
      <c r="R8" s="2386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S8" s="2386"/>
      <c r="T8" s="2386"/>
      <c r="U8" s="2386"/>
      <c r="V8" s="2386"/>
      <c r="W8" s="2386"/>
      <c r="X8" s="2386"/>
      <c r="Y8" s="2386"/>
      <c r="Z8" s="2386"/>
      <c r="AA8" s="2386"/>
      <c r="AB8" s="2386"/>
      <c r="AC8" s="2386"/>
      <c r="AD8" s="2386"/>
      <c r="AE8" s="2386"/>
      <c r="AF8" s="2386"/>
      <c r="AG8" s="2386"/>
      <c r="AH8" s="2386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S</v>
      </c>
      <c r="AI8" s="2386"/>
      <c r="AJ8" s="2386"/>
      <c r="AK8" s="2386"/>
      <c r="AL8" s="2386"/>
      <c r="AM8" s="2386"/>
      <c r="AN8" s="2386"/>
      <c r="AO8" s="2386"/>
      <c r="AP8" s="2386"/>
      <c r="AQ8" s="2386"/>
      <c r="AR8" s="2386"/>
      <c r="AS8" s="2386"/>
      <c r="AT8" s="2386"/>
      <c r="AU8" s="2386"/>
      <c r="AV8" s="2386"/>
      <c r="AW8" s="2386"/>
      <c r="AX8" s="2386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X</v>
      </c>
      <c r="AY8" s="2386"/>
      <c r="AZ8" s="2386"/>
      <c r="BA8" s="2386"/>
      <c r="BB8" s="2386"/>
      <c r="BC8" s="2386"/>
      <c r="BD8" s="2386"/>
      <c r="BE8" s="2386"/>
      <c r="BF8" s="2386"/>
      <c r="BG8" s="2386"/>
      <c r="BH8" s="2386"/>
      <c r="BI8" s="2386"/>
      <c r="BJ8" s="2386"/>
      <c r="BK8" s="2386"/>
      <c r="BL8" s="2386"/>
      <c r="BM8" s="2386"/>
      <c r="BN8" s="2386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BO8" s="2386"/>
      <c r="BP8" s="2386"/>
      <c r="BQ8" s="2386"/>
      <c r="BR8" s="2386"/>
      <c r="BS8" s="2386"/>
      <c r="BT8" s="2386"/>
      <c r="BU8" s="2386"/>
      <c r="BV8" s="2386"/>
      <c r="BW8" s="2386"/>
      <c r="BX8" s="2386"/>
      <c r="BY8" s="2386"/>
      <c r="BZ8" s="2386"/>
      <c r="CA8" s="2386"/>
      <c r="CB8" s="2386"/>
      <c r="CC8" s="2386"/>
      <c r="CD8" s="2386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CE8" s="2386"/>
      <c r="CF8" s="2386"/>
      <c r="CG8" s="2386"/>
      <c r="CH8" s="2386"/>
      <c r="CI8" s="2386"/>
      <c r="CJ8" s="2386"/>
      <c r="CK8" s="2386"/>
      <c r="CL8" s="2386"/>
      <c r="CM8" s="2386"/>
      <c r="CN8" s="2386"/>
      <c r="CO8" s="2386"/>
      <c r="CP8" s="2386"/>
      <c r="CQ8" s="2386"/>
      <c r="CR8" s="2386"/>
      <c r="CS8" s="2386"/>
      <c r="CT8" s="2386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CU8" s="2386"/>
      <c r="CV8" s="2386"/>
      <c r="CW8" s="2386"/>
      <c r="CX8" s="2386"/>
      <c r="CY8" s="2386"/>
      <c r="CZ8" s="2386"/>
      <c r="DA8" s="2386"/>
      <c r="DB8" s="2386"/>
      <c r="DC8" s="2386"/>
      <c r="DD8" s="2386"/>
      <c r="DE8" s="2386"/>
      <c r="DF8" s="2386"/>
      <c r="DG8" s="2386"/>
      <c r="DH8" s="2386"/>
      <c r="DI8" s="2386"/>
      <c r="DJ8" s="2386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DK8" s="2386"/>
      <c r="DL8" s="2386"/>
      <c r="DM8" s="2386"/>
      <c r="DN8" s="2386"/>
      <c r="DO8" s="2386"/>
      <c r="DP8" s="2386"/>
      <c r="DQ8" s="2386"/>
      <c r="DR8" s="2386"/>
      <c r="DS8" s="2386"/>
      <c r="DT8" s="2386"/>
      <c r="DU8" s="2386"/>
      <c r="DV8" s="2386"/>
      <c r="DW8" s="2386"/>
      <c r="DX8" s="2386"/>
      <c r="DY8" s="2386"/>
      <c r="DZ8" s="2386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EA8" s="2386"/>
      <c r="EB8" s="2386"/>
      <c r="EC8" s="2386"/>
      <c r="ED8" s="2386"/>
      <c r="EE8" s="2386"/>
      <c r="EF8" s="2386"/>
      <c r="EG8" s="2386"/>
      <c r="EH8" s="2386"/>
      <c r="EI8" s="2386"/>
      <c r="EJ8" s="2386"/>
      <c r="EK8" s="2386"/>
      <c r="EL8" s="2386"/>
      <c r="EM8" s="2386"/>
      <c r="EN8" s="2386"/>
      <c r="EO8" s="2386"/>
      <c r="EP8" s="2386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EQ8" s="2386"/>
      <c r="ER8" s="2386"/>
      <c r="ES8" s="2386"/>
      <c r="ET8" s="2386"/>
      <c r="EU8" s="2386"/>
      <c r="EV8" s="2386"/>
      <c r="EW8" s="2386"/>
      <c r="EX8" s="2386"/>
      <c r="EY8" s="2386"/>
      <c r="EZ8" s="2386"/>
      <c r="FA8" s="2386"/>
      <c r="FB8" s="2386"/>
      <c r="FC8" s="2386"/>
      <c r="FD8" s="2386"/>
      <c r="FE8" s="2386"/>
      <c r="FF8" s="2386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S</v>
      </c>
      <c r="FG8" s="2386"/>
      <c r="FH8" s="2386"/>
      <c r="FI8" s="2386"/>
      <c r="FJ8" s="2386"/>
      <c r="FK8" s="2386"/>
      <c r="FL8" s="2386"/>
      <c r="FM8" s="2386"/>
      <c r="FN8" s="2386"/>
      <c r="FO8" s="2386"/>
      <c r="FP8" s="2386"/>
      <c r="FQ8" s="2386"/>
      <c r="FR8" s="2386"/>
      <c r="FS8" s="2386"/>
      <c r="FT8" s="2386"/>
      <c r="FU8" s="2386"/>
      <c r="FV8" s="1248"/>
      <c r="FW8" s="1248"/>
      <c r="FX8" s="1248"/>
      <c r="FY8" s="1248"/>
      <c r="FZ8" s="1248"/>
      <c r="GA8" s="1248"/>
      <c r="GB8" s="1248"/>
      <c r="GC8" s="1248"/>
      <c r="GD8" s="1248"/>
      <c r="GE8" s="1248"/>
      <c r="GF8" s="1248"/>
      <c r="GG8" s="1248"/>
    </row>
    <row r="9" spans="1:223" ht="44.25" customHeight="1" x14ac:dyDescent="0.35">
      <c r="A9" s="338">
        <v>7</v>
      </c>
      <c r="B9" s="2386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9" s="2386"/>
      <c r="D9" s="2386"/>
      <c r="E9" s="2386"/>
      <c r="F9" s="2386"/>
      <c r="G9" s="2386"/>
      <c r="H9" s="2386"/>
      <c r="I9" s="2386"/>
      <c r="J9" s="2386"/>
      <c r="K9" s="2386"/>
      <c r="L9" s="2386"/>
      <c r="M9" s="2386"/>
      <c r="N9" s="2386"/>
      <c r="O9" s="2386"/>
      <c r="P9" s="2386"/>
      <c r="Q9" s="2386"/>
      <c r="R9" s="2386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S9" s="2386"/>
      <c r="T9" s="2386"/>
      <c r="U9" s="2386"/>
      <c r="V9" s="2386"/>
      <c r="W9" s="2386"/>
      <c r="X9" s="2386"/>
      <c r="Y9" s="2386"/>
      <c r="Z9" s="2386"/>
      <c r="AA9" s="2386"/>
      <c r="AB9" s="2386"/>
      <c r="AC9" s="2386"/>
      <c r="AD9" s="2386"/>
      <c r="AE9" s="2386"/>
      <c r="AF9" s="2386"/>
      <c r="AG9" s="2386"/>
      <c r="AH9" s="2386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AI9" s="2386"/>
      <c r="AJ9" s="2386"/>
      <c r="AK9" s="2386"/>
      <c r="AL9" s="2386"/>
      <c r="AM9" s="2386"/>
      <c r="AN9" s="2386"/>
      <c r="AO9" s="2386"/>
      <c r="AP9" s="2386"/>
      <c r="AQ9" s="2386"/>
      <c r="AR9" s="2386"/>
      <c r="AS9" s="2386"/>
      <c r="AT9" s="2386"/>
      <c r="AU9" s="2386"/>
      <c r="AV9" s="2386"/>
      <c r="AW9" s="2386"/>
      <c r="AX9" s="2386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Y9" s="2386"/>
      <c r="AZ9" s="2386"/>
      <c r="BA9" s="2386"/>
      <c r="BB9" s="2386"/>
      <c r="BC9" s="2386"/>
      <c r="BD9" s="2386"/>
      <c r="BE9" s="2386"/>
      <c r="BF9" s="2386"/>
      <c r="BG9" s="2386"/>
      <c r="BH9" s="2386"/>
      <c r="BI9" s="2386"/>
      <c r="BJ9" s="2386"/>
      <c r="BK9" s="2386"/>
      <c r="BL9" s="2386"/>
      <c r="BM9" s="2386"/>
      <c r="BN9" s="2386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BO9" s="2386"/>
      <c r="BP9" s="2386"/>
      <c r="BQ9" s="2386"/>
      <c r="BR9" s="2386"/>
      <c r="BS9" s="2386"/>
      <c r="BT9" s="2386"/>
      <c r="BU9" s="2386"/>
      <c r="BV9" s="2386"/>
      <c r="BW9" s="2386"/>
      <c r="BX9" s="2386"/>
      <c r="BY9" s="2386"/>
      <c r="BZ9" s="2386"/>
      <c r="CA9" s="2386"/>
      <c r="CB9" s="2386"/>
      <c r="CC9" s="2386"/>
      <c r="CD9" s="2386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CE9" s="2386"/>
      <c r="CF9" s="2386"/>
      <c r="CG9" s="2386"/>
      <c r="CH9" s="2386"/>
      <c r="CI9" s="2386"/>
      <c r="CJ9" s="2386"/>
      <c r="CK9" s="2386"/>
      <c r="CL9" s="2386"/>
      <c r="CM9" s="2386"/>
      <c r="CN9" s="2386"/>
      <c r="CO9" s="2386"/>
      <c r="CP9" s="2386"/>
      <c r="CQ9" s="2386"/>
      <c r="CR9" s="2386"/>
      <c r="CS9" s="2386"/>
      <c r="CT9" s="2386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CU9" s="2386"/>
      <c r="CV9" s="2386"/>
      <c r="CW9" s="2386"/>
      <c r="CX9" s="2386"/>
      <c r="CY9" s="2386"/>
      <c r="CZ9" s="2386"/>
      <c r="DA9" s="2386"/>
      <c r="DB9" s="2386"/>
      <c r="DC9" s="2386"/>
      <c r="DD9" s="2386"/>
      <c r="DE9" s="2386"/>
      <c r="DF9" s="2386"/>
      <c r="DG9" s="2386"/>
      <c r="DH9" s="2386"/>
      <c r="DI9" s="2386"/>
      <c r="DJ9" s="2386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DK9" s="2386"/>
      <c r="DL9" s="2386"/>
      <c r="DM9" s="2386"/>
      <c r="DN9" s="2386"/>
      <c r="DO9" s="2386"/>
      <c r="DP9" s="2386"/>
      <c r="DQ9" s="2386"/>
      <c r="DR9" s="2386"/>
      <c r="DS9" s="2386"/>
      <c r="DT9" s="2386"/>
      <c r="DU9" s="2386"/>
      <c r="DV9" s="2386"/>
      <c r="DW9" s="2386"/>
      <c r="DX9" s="2386"/>
      <c r="DY9" s="2386"/>
      <c r="DZ9" s="2386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EA9" s="2386"/>
      <c r="EB9" s="2386"/>
      <c r="EC9" s="2386"/>
      <c r="ED9" s="2386"/>
      <c r="EE9" s="2386"/>
      <c r="EF9" s="2386"/>
      <c r="EG9" s="2386"/>
      <c r="EH9" s="2386"/>
      <c r="EI9" s="2386"/>
      <c r="EJ9" s="2386"/>
      <c r="EK9" s="2386"/>
      <c r="EL9" s="2386"/>
      <c r="EM9" s="2386"/>
      <c r="EN9" s="2386"/>
      <c r="EO9" s="2386"/>
      <c r="EP9" s="2386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EQ9" s="2386"/>
      <c r="ER9" s="2386"/>
      <c r="ES9" s="2386"/>
      <c r="ET9" s="2386"/>
      <c r="EU9" s="2386"/>
      <c r="EV9" s="2386"/>
      <c r="EW9" s="2386"/>
      <c r="EX9" s="2386"/>
      <c r="EY9" s="2386"/>
      <c r="EZ9" s="2386"/>
      <c r="FA9" s="2386"/>
      <c r="FB9" s="2386"/>
      <c r="FC9" s="2386"/>
      <c r="FD9" s="2386"/>
      <c r="FE9" s="2386"/>
      <c r="FF9" s="2386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FG9" s="2386"/>
      <c r="FH9" s="2386"/>
      <c r="FI9" s="2386"/>
      <c r="FJ9" s="2386"/>
      <c r="FK9" s="2386"/>
      <c r="FL9" s="2386"/>
      <c r="FM9" s="2386"/>
      <c r="FN9" s="2386"/>
      <c r="FO9" s="2386"/>
      <c r="FP9" s="2386"/>
      <c r="FQ9" s="2386"/>
      <c r="FR9" s="2386"/>
      <c r="FS9" s="2386"/>
      <c r="FT9" s="2386"/>
      <c r="FU9" s="2386"/>
      <c r="FV9" s="1248"/>
      <c r="FW9" s="1248"/>
      <c r="FX9" s="1248"/>
      <c r="FY9" s="1248"/>
      <c r="FZ9" s="1248"/>
      <c r="GA9" s="1248"/>
      <c r="GB9" s="1248"/>
      <c r="GC9" s="1248"/>
      <c r="GD9" s="1248"/>
      <c r="GE9" s="1248"/>
      <c r="GF9" s="1248"/>
      <c r="GG9" s="1248"/>
    </row>
    <row r="10" spans="1:223" ht="44.25" customHeight="1" x14ac:dyDescent="0.35">
      <c r="A10" s="338">
        <v>8</v>
      </c>
      <c r="B10" s="2386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10" s="2386"/>
      <c r="D10" s="2386"/>
      <c r="E10" s="2386"/>
      <c r="F10" s="2386"/>
      <c r="G10" s="2386"/>
      <c r="H10" s="2386"/>
      <c r="I10" s="2386"/>
      <c r="J10" s="2386"/>
      <c r="K10" s="2386"/>
      <c r="L10" s="2386"/>
      <c r="M10" s="2386"/>
      <c r="N10" s="2386"/>
      <c r="O10" s="2386"/>
      <c r="P10" s="2386"/>
      <c r="Q10" s="2386"/>
      <c r="R10" s="2386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S10" s="2386"/>
      <c r="T10" s="2386"/>
      <c r="U10" s="2386"/>
      <c r="V10" s="2386"/>
      <c r="W10" s="2386"/>
      <c r="X10" s="2386"/>
      <c r="Y10" s="2386"/>
      <c r="Z10" s="2386"/>
      <c r="AA10" s="2386"/>
      <c r="AB10" s="2386"/>
      <c r="AC10" s="2386"/>
      <c r="AD10" s="2386"/>
      <c r="AE10" s="2386"/>
      <c r="AF10" s="2386"/>
      <c r="AG10" s="2386"/>
      <c r="AH10" s="2386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AI10" s="2386"/>
      <c r="AJ10" s="2386"/>
      <c r="AK10" s="2386"/>
      <c r="AL10" s="2386"/>
      <c r="AM10" s="2386"/>
      <c r="AN10" s="2386"/>
      <c r="AO10" s="2386"/>
      <c r="AP10" s="2386"/>
      <c r="AQ10" s="2386"/>
      <c r="AR10" s="2386"/>
      <c r="AS10" s="2386"/>
      <c r="AT10" s="2386"/>
      <c r="AU10" s="2386"/>
      <c r="AV10" s="2386"/>
      <c r="AW10" s="2386"/>
      <c r="AX10" s="2386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Y10" s="2386"/>
      <c r="AZ10" s="2386"/>
      <c r="BA10" s="2386"/>
      <c r="BB10" s="2386"/>
      <c r="BC10" s="2386"/>
      <c r="BD10" s="2386"/>
      <c r="BE10" s="2386"/>
      <c r="BF10" s="2386"/>
      <c r="BG10" s="2386"/>
      <c r="BH10" s="2386"/>
      <c r="BI10" s="2386"/>
      <c r="BJ10" s="2386"/>
      <c r="BK10" s="2386"/>
      <c r="BL10" s="2386"/>
      <c r="BM10" s="2386"/>
      <c r="BN10" s="2386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BO10" s="2386"/>
      <c r="BP10" s="2386"/>
      <c r="BQ10" s="2386"/>
      <c r="BR10" s="2386"/>
      <c r="BS10" s="2386"/>
      <c r="BT10" s="2386"/>
      <c r="BU10" s="2386"/>
      <c r="BV10" s="2386"/>
      <c r="BW10" s="2386"/>
      <c r="BX10" s="2386"/>
      <c r="BY10" s="2386"/>
      <c r="BZ10" s="2386"/>
      <c r="CA10" s="2386"/>
      <c r="CB10" s="2386"/>
      <c r="CC10" s="2386"/>
      <c r="CD10" s="2386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CE10" s="2386"/>
      <c r="CF10" s="2386"/>
      <c r="CG10" s="2386"/>
      <c r="CH10" s="2386"/>
      <c r="CI10" s="2386"/>
      <c r="CJ10" s="2386"/>
      <c r="CK10" s="2386"/>
      <c r="CL10" s="2386"/>
      <c r="CM10" s="2386"/>
      <c r="CN10" s="2386"/>
      <c r="CO10" s="2386"/>
      <c r="CP10" s="2386"/>
      <c r="CQ10" s="2386"/>
      <c r="CR10" s="2386"/>
      <c r="CS10" s="2386"/>
      <c r="CT10" s="2386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CU10" s="2386"/>
      <c r="CV10" s="2386"/>
      <c r="CW10" s="2386"/>
      <c r="CX10" s="2386"/>
      <c r="CY10" s="2386"/>
      <c r="CZ10" s="2386"/>
      <c r="DA10" s="2386"/>
      <c r="DB10" s="2386"/>
      <c r="DC10" s="2386"/>
      <c r="DD10" s="2386"/>
      <c r="DE10" s="2386"/>
      <c r="DF10" s="2386"/>
      <c r="DG10" s="2386"/>
      <c r="DH10" s="2386"/>
      <c r="DI10" s="2386"/>
      <c r="DJ10" s="2386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DK10" s="2386"/>
      <c r="DL10" s="2386"/>
      <c r="DM10" s="2386"/>
      <c r="DN10" s="2386"/>
      <c r="DO10" s="2386"/>
      <c r="DP10" s="2386"/>
      <c r="DQ10" s="2386"/>
      <c r="DR10" s="2386"/>
      <c r="DS10" s="2386"/>
      <c r="DT10" s="2386"/>
      <c r="DU10" s="2386"/>
      <c r="DV10" s="2386"/>
      <c r="DW10" s="2386"/>
      <c r="DX10" s="2386"/>
      <c r="DY10" s="2386"/>
      <c r="DZ10" s="2386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EA10" s="2386"/>
      <c r="EB10" s="2386"/>
      <c r="EC10" s="2386"/>
      <c r="ED10" s="2386"/>
      <c r="EE10" s="2386"/>
      <c r="EF10" s="2386"/>
      <c r="EG10" s="2386"/>
      <c r="EH10" s="2386"/>
      <c r="EI10" s="2386"/>
      <c r="EJ10" s="2386"/>
      <c r="EK10" s="2386"/>
      <c r="EL10" s="2386"/>
      <c r="EM10" s="2386"/>
      <c r="EN10" s="2386"/>
      <c r="EO10" s="2386"/>
      <c r="EP10" s="2386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EQ10" s="2386"/>
      <c r="ER10" s="2386"/>
      <c r="ES10" s="2386"/>
      <c r="ET10" s="2386"/>
      <c r="EU10" s="2386"/>
      <c r="EV10" s="2386"/>
      <c r="EW10" s="2386"/>
      <c r="EX10" s="2386"/>
      <c r="EY10" s="2386"/>
      <c r="EZ10" s="2386"/>
      <c r="FA10" s="2386"/>
      <c r="FB10" s="2386"/>
      <c r="FC10" s="2386"/>
      <c r="FD10" s="2386"/>
      <c r="FE10" s="2386"/>
      <c r="FF10" s="2386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6"/>
      <c r="FH10" s="2386"/>
      <c r="FI10" s="2386"/>
      <c r="FJ10" s="2386"/>
      <c r="FK10" s="2386"/>
      <c r="FL10" s="2386"/>
      <c r="FM10" s="2386"/>
      <c r="FN10" s="2386"/>
      <c r="FO10" s="2386"/>
      <c r="FP10" s="2386"/>
      <c r="FQ10" s="2386"/>
      <c r="FR10" s="2386"/>
      <c r="FS10" s="2386"/>
      <c r="FT10" s="2386"/>
      <c r="FU10" s="2386"/>
      <c r="FV10" s="1248"/>
      <c r="FW10" s="1248"/>
      <c r="FX10" s="1248"/>
      <c r="FY10" s="1248"/>
      <c r="FZ10" s="1248"/>
      <c r="GA10" s="1248"/>
      <c r="GB10" s="1248"/>
      <c r="GC10" s="1248"/>
      <c r="GD10" s="1248"/>
      <c r="GE10" s="1248"/>
      <c r="GF10" s="1248"/>
      <c r="GG10" s="1248"/>
    </row>
    <row r="11" spans="1:223" ht="44.25" customHeight="1" x14ac:dyDescent="0.35">
      <c r="A11" s="338">
        <v>9</v>
      </c>
      <c r="B11" s="2386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6"/>
      <c r="D11" s="2386"/>
      <c r="E11" s="2386"/>
      <c r="F11" s="2386"/>
      <c r="G11" s="2386"/>
      <c r="H11" s="2386"/>
      <c r="I11" s="2386"/>
      <c r="J11" s="2386"/>
      <c r="K11" s="2386"/>
      <c r="L11" s="2386"/>
      <c r="M11" s="2386"/>
      <c r="N11" s="2386"/>
      <c r="O11" s="2386"/>
      <c r="P11" s="2386"/>
      <c r="Q11" s="2386"/>
      <c r="R11" s="2386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6"/>
      <c r="T11" s="2386"/>
      <c r="U11" s="2386"/>
      <c r="V11" s="2386"/>
      <c r="W11" s="2386"/>
      <c r="X11" s="2386"/>
      <c r="Y11" s="2386"/>
      <c r="Z11" s="2386"/>
      <c r="AA11" s="2386"/>
      <c r="AB11" s="2386"/>
      <c r="AC11" s="2386"/>
      <c r="AD11" s="2386"/>
      <c r="AE11" s="2386"/>
      <c r="AF11" s="2386"/>
      <c r="AG11" s="2386"/>
      <c r="AH11" s="2386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6"/>
      <c r="AJ11" s="2386"/>
      <c r="AK11" s="2386"/>
      <c r="AL11" s="2386"/>
      <c r="AM11" s="2386"/>
      <c r="AN11" s="2386"/>
      <c r="AO11" s="2386"/>
      <c r="AP11" s="2386"/>
      <c r="AQ11" s="2386"/>
      <c r="AR11" s="2386"/>
      <c r="AS11" s="2386"/>
      <c r="AT11" s="2386"/>
      <c r="AU11" s="2386"/>
      <c r="AV11" s="2386"/>
      <c r="AW11" s="2386"/>
      <c r="AX11" s="2386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6"/>
      <c r="AZ11" s="2386"/>
      <c r="BA11" s="2386"/>
      <c r="BB11" s="2386"/>
      <c r="BC11" s="2386"/>
      <c r="BD11" s="2386"/>
      <c r="BE11" s="2386"/>
      <c r="BF11" s="2386"/>
      <c r="BG11" s="2386"/>
      <c r="BH11" s="2386"/>
      <c r="BI11" s="2386"/>
      <c r="BJ11" s="2386"/>
      <c r="BK11" s="2386"/>
      <c r="BL11" s="2386"/>
      <c r="BM11" s="2386"/>
      <c r="BN11" s="2386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6"/>
      <c r="BP11" s="2386"/>
      <c r="BQ11" s="2386"/>
      <c r="BR11" s="2386"/>
      <c r="BS11" s="2386"/>
      <c r="BT11" s="2386"/>
      <c r="BU11" s="2386"/>
      <c r="BV11" s="2386"/>
      <c r="BW11" s="2386"/>
      <c r="BX11" s="2386"/>
      <c r="BY11" s="2386"/>
      <c r="BZ11" s="2386"/>
      <c r="CA11" s="2386"/>
      <c r="CB11" s="2386"/>
      <c r="CC11" s="2386"/>
      <c r="CD11" s="2386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6"/>
      <c r="CF11" s="2386"/>
      <c r="CG11" s="2386"/>
      <c r="CH11" s="2386"/>
      <c r="CI11" s="2386"/>
      <c r="CJ11" s="2386"/>
      <c r="CK11" s="2386"/>
      <c r="CL11" s="2386"/>
      <c r="CM11" s="2386"/>
      <c r="CN11" s="2386"/>
      <c r="CO11" s="2386"/>
      <c r="CP11" s="2386"/>
      <c r="CQ11" s="2386"/>
      <c r="CR11" s="2386"/>
      <c r="CS11" s="2386"/>
      <c r="CT11" s="2386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6"/>
      <c r="CV11" s="2386"/>
      <c r="CW11" s="2386"/>
      <c r="CX11" s="2386"/>
      <c r="CY11" s="2386"/>
      <c r="CZ11" s="2386"/>
      <c r="DA11" s="2386"/>
      <c r="DB11" s="2386"/>
      <c r="DC11" s="2386"/>
      <c r="DD11" s="2386"/>
      <c r="DE11" s="2386"/>
      <c r="DF11" s="2386"/>
      <c r="DG11" s="2386"/>
      <c r="DH11" s="2386"/>
      <c r="DI11" s="2386"/>
      <c r="DJ11" s="2386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6"/>
      <c r="DL11" s="2386"/>
      <c r="DM11" s="2386"/>
      <c r="DN11" s="2386"/>
      <c r="DO11" s="2386"/>
      <c r="DP11" s="2386"/>
      <c r="DQ11" s="2386"/>
      <c r="DR11" s="2386"/>
      <c r="DS11" s="2386"/>
      <c r="DT11" s="2386"/>
      <c r="DU11" s="2386"/>
      <c r="DV11" s="2386"/>
      <c r="DW11" s="2386"/>
      <c r="DX11" s="2386"/>
      <c r="DY11" s="2386"/>
      <c r="DZ11" s="2386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6"/>
      <c r="EB11" s="2386"/>
      <c r="EC11" s="2386"/>
      <c r="ED11" s="2386"/>
      <c r="EE11" s="2386"/>
      <c r="EF11" s="2386"/>
      <c r="EG11" s="2386"/>
      <c r="EH11" s="2386"/>
      <c r="EI11" s="2386"/>
      <c r="EJ11" s="2386"/>
      <c r="EK11" s="2386"/>
      <c r="EL11" s="2386"/>
      <c r="EM11" s="2386"/>
      <c r="EN11" s="2386"/>
      <c r="EO11" s="2386"/>
      <c r="EP11" s="2386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6"/>
      <c r="ER11" s="2386"/>
      <c r="ES11" s="2386"/>
      <c r="ET11" s="2386"/>
      <c r="EU11" s="2386"/>
      <c r="EV11" s="2386"/>
      <c r="EW11" s="2386"/>
      <c r="EX11" s="2386"/>
      <c r="EY11" s="2386"/>
      <c r="EZ11" s="2386"/>
      <c r="FA11" s="2386"/>
      <c r="FB11" s="2386"/>
      <c r="FC11" s="2386"/>
      <c r="FD11" s="2386"/>
      <c r="FE11" s="2386"/>
      <c r="FF11" s="2386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6"/>
      <c r="FH11" s="2386"/>
      <c r="FI11" s="2386"/>
      <c r="FJ11" s="2386"/>
      <c r="FK11" s="2386"/>
      <c r="FL11" s="2386"/>
      <c r="FM11" s="2386"/>
      <c r="FN11" s="2386"/>
      <c r="FO11" s="2386"/>
      <c r="FP11" s="2386"/>
      <c r="FQ11" s="2386"/>
      <c r="FR11" s="2386"/>
      <c r="FS11" s="2386"/>
      <c r="FT11" s="2386"/>
      <c r="FU11" s="2386"/>
      <c r="FV11" s="1248"/>
      <c r="FW11" s="1248"/>
      <c r="FX11" s="1248"/>
      <c r="FY11" s="1248"/>
      <c r="FZ11" s="1248"/>
      <c r="GA11" s="1248"/>
      <c r="GB11" s="1248"/>
      <c r="GC11" s="1248"/>
      <c r="GD11" s="1248"/>
      <c r="GE11" s="1248"/>
      <c r="GF11" s="1248"/>
      <c r="GG11" s="1248"/>
    </row>
    <row r="12" spans="1:223" ht="44.25" customHeight="1" x14ac:dyDescent="0.35">
      <c r="A12" s="339"/>
      <c r="B12" s="2379" t="str">
        <f>IF(Data!$GI$2&lt;&gt;"","X1: "&amp; Data!$GI$2, " ")</f>
        <v>X1: 1613 CT182 0.018"</v>
      </c>
      <c r="C12" s="2379"/>
      <c r="D12" s="2379"/>
      <c r="E12" s="2379"/>
      <c r="F12" s="2379"/>
      <c r="G12" s="2379"/>
      <c r="H12" s="2379"/>
      <c r="I12" s="2379"/>
      <c r="J12" s="2379"/>
      <c r="K12" s="2379"/>
      <c r="L12" s="2379"/>
      <c r="M12" s="2379"/>
      <c r="N12" s="2379"/>
      <c r="O12" s="2379"/>
      <c r="P12" s="2379"/>
      <c r="Q12" s="2379"/>
      <c r="R12" s="2379"/>
      <c r="S12" s="2379"/>
      <c r="T12" s="2379"/>
      <c r="U12" s="2379"/>
      <c r="V12" s="2379"/>
      <c r="W12" s="2379"/>
      <c r="X12" s="2379"/>
      <c r="Y12" s="2379"/>
      <c r="Z12" s="2379"/>
      <c r="AA12" s="2379"/>
      <c r="AB12" s="2379"/>
      <c r="AC12" s="2379" t="str">
        <f>IF(Data!$GI$3&lt;&gt;"","X2: "&amp; Data!$GI$3, " ")</f>
        <v>X2: 1608 CT200 0.018"</v>
      </c>
      <c r="AD12" s="2379"/>
      <c r="AE12" s="2379"/>
      <c r="AF12" s="2379"/>
      <c r="AG12" s="2379"/>
      <c r="AH12" s="2379"/>
      <c r="AI12" s="2379"/>
      <c r="AJ12" s="2379"/>
      <c r="AK12" s="2379"/>
      <c r="AL12" s="2379"/>
      <c r="AM12" s="2379"/>
      <c r="AN12" s="2379"/>
      <c r="AO12" s="2379"/>
      <c r="AP12" s="2379"/>
      <c r="AQ12" s="2379"/>
      <c r="AR12" s="2379"/>
      <c r="AS12" s="2379"/>
      <c r="AT12" s="2379"/>
      <c r="AU12" s="2379"/>
      <c r="AV12" s="2379"/>
      <c r="AW12" s="2379"/>
      <c r="AX12" s="2379"/>
      <c r="AY12" s="2379"/>
      <c r="AZ12" s="2379"/>
      <c r="BA12" s="2379"/>
      <c r="BB12" s="2379"/>
      <c r="BC12" s="2379"/>
      <c r="BD12" s="2379" t="str">
        <f>IF(Data!$GI$4&lt;&gt;"","X3: "&amp; Data!$GI$4, " ")</f>
        <v xml:space="preserve">X3: 1308 CT31 Drop in </v>
      </c>
      <c r="BE12" s="2379"/>
      <c r="BF12" s="2379"/>
      <c r="BG12" s="2379"/>
      <c r="BH12" s="2379"/>
      <c r="BI12" s="2379"/>
      <c r="BJ12" s="2379"/>
      <c r="BK12" s="2379"/>
      <c r="BL12" s="2379"/>
      <c r="BM12" s="2379"/>
      <c r="BN12" s="2379"/>
      <c r="BO12" s="2379"/>
      <c r="BP12" s="2379"/>
      <c r="BQ12" s="2379"/>
      <c r="BR12" s="2379"/>
      <c r="BS12" s="2379"/>
      <c r="BT12" s="2379"/>
      <c r="BU12" s="2379"/>
      <c r="BV12" s="2379"/>
      <c r="BW12" s="2379"/>
      <c r="BX12" s="2379"/>
      <c r="BY12" s="2379"/>
      <c r="BZ12" s="2379"/>
      <c r="CA12" s="2379"/>
      <c r="CB12" s="2379"/>
      <c r="CC12" s="2379"/>
      <c r="CD12" s="2379"/>
      <c r="CE12" s="2379" t="str">
        <f>IF(Data!$GI$5&lt;&gt;"","X4: "&amp; Data!$GI$5, " ")</f>
        <v xml:space="preserve"> </v>
      </c>
      <c r="CF12" s="2379"/>
      <c r="CG12" s="2379"/>
      <c r="CH12" s="2379"/>
      <c r="CI12" s="2379"/>
      <c r="CJ12" s="2379"/>
      <c r="CK12" s="2379"/>
      <c r="CL12" s="2379"/>
      <c r="CM12" s="2379"/>
      <c r="CN12" s="2379"/>
      <c r="CO12" s="2379"/>
      <c r="CP12" s="2379"/>
      <c r="CQ12" s="2379"/>
      <c r="CR12" s="2379"/>
      <c r="CS12" s="2379"/>
      <c r="CT12" s="2379"/>
      <c r="CU12" s="2379"/>
      <c r="CV12" s="2379"/>
      <c r="CW12" s="2379"/>
      <c r="CX12" s="2379"/>
      <c r="CY12" s="2379"/>
      <c r="CZ12" s="2379"/>
      <c r="DA12" s="2379"/>
      <c r="DB12" s="2379"/>
      <c r="DC12" s="2379"/>
      <c r="DD12" s="2379"/>
      <c r="DE12" s="2379"/>
      <c r="DF12" s="2379" t="str">
        <f>IF(Data!$GI$6&lt;&gt;"","X5: "&amp; Data!$GI$6, " ")</f>
        <v xml:space="preserve"> </v>
      </c>
      <c r="DG12" s="2379"/>
      <c r="DH12" s="2379"/>
      <c r="DI12" s="2379"/>
      <c r="DJ12" s="2379"/>
      <c r="DK12" s="2379"/>
      <c r="DL12" s="2379"/>
      <c r="DM12" s="2379"/>
      <c r="DN12" s="2379"/>
      <c r="DO12" s="2379"/>
      <c r="DP12" s="2379"/>
      <c r="DQ12" s="2379"/>
      <c r="DR12" s="2379"/>
      <c r="DS12" s="2379"/>
      <c r="DT12" s="2379"/>
      <c r="DU12" s="2379"/>
      <c r="DV12" s="2379"/>
      <c r="DW12" s="2379"/>
      <c r="DX12" s="2379"/>
      <c r="DY12" s="2379"/>
      <c r="DZ12" s="2379"/>
      <c r="EA12" s="2379"/>
      <c r="EB12" s="2379"/>
      <c r="EC12" s="2379"/>
      <c r="ED12" s="2379"/>
      <c r="EE12" s="2379"/>
      <c r="EF12" s="2379"/>
      <c r="EG12" s="2379" t="str">
        <f>IF(Data!$GI$7&lt;&gt;"","X6: "&amp; Data!$GI$7, " ")</f>
        <v xml:space="preserve"> </v>
      </c>
      <c r="EH12" s="2379"/>
      <c r="EI12" s="2379"/>
      <c r="EJ12" s="2379"/>
      <c r="EK12" s="2379"/>
      <c r="EL12" s="2379"/>
      <c r="EM12" s="2379"/>
      <c r="EN12" s="2379"/>
      <c r="EO12" s="2379"/>
      <c r="EP12" s="2379"/>
      <c r="EQ12" s="2379"/>
      <c r="ER12" s="2379"/>
      <c r="ES12" s="2379"/>
      <c r="ET12" s="2379"/>
      <c r="EU12" s="2379"/>
      <c r="EV12" s="2379"/>
      <c r="EW12" s="2379"/>
      <c r="EX12" s="2379"/>
      <c r="EY12" s="2379"/>
      <c r="EZ12" s="2379"/>
      <c r="FA12" s="2379"/>
      <c r="FB12" s="2379"/>
      <c r="FC12" s="2379"/>
      <c r="FD12" s="2379"/>
      <c r="FE12" s="2379"/>
      <c r="FF12" s="2379"/>
      <c r="FG12" s="2379"/>
      <c r="FH12" s="2379" t="str">
        <f>IF(Data!$GI$8&lt;&gt;"","X7: "&amp; Data!$GI$8, " ")</f>
        <v xml:space="preserve"> </v>
      </c>
      <c r="FI12" s="2379"/>
      <c r="FJ12" s="2379"/>
      <c r="FK12" s="2379"/>
      <c r="FL12" s="2379"/>
      <c r="FM12" s="2379"/>
      <c r="FN12" s="2379"/>
      <c r="FO12" s="2379"/>
      <c r="FP12" s="2379"/>
      <c r="FQ12" s="2379"/>
      <c r="FR12" s="2379"/>
      <c r="FS12" s="2379"/>
      <c r="FT12" s="2379"/>
      <c r="FU12" s="2379"/>
      <c r="FV12" s="2379"/>
      <c r="FW12" s="2379"/>
      <c r="FX12" s="2379"/>
      <c r="FY12" s="2379"/>
      <c r="FZ12" s="2379"/>
      <c r="GA12" s="2379"/>
      <c r="GB12" s="2379"/>
      <c r="GC12" s="2379"/>
      <c r="GD12" s="2379"/>
      <c r="GE12" s="2379"/>
      <c r="GF12" s="2379"/>
      <c r="GG12" s="2379"/>
      <c r="GH12" s="159"/>
    </row>
    <row r="13" spans="1:223" ht="47.25" customHeight="1" x14ac:dyDescent="0.35">
      <c r="A13" s="340"/>
      <c r="B13" s="2382"/>
      <c r="C13" s="2382"/>
      <c r="D13" s="2382"/>
      <c r="E13" s="2382"/>
      <c r="F13" s="2382"/>
      <c r="G13" s="2382"/>
      <c r="H13" s="2382"/>
      <c r="I13" s="2382"/>
      <c r="J13" s="2382"/>
      <c r="K13" s="2382"/>
      <c r="L13" s="2382"/>
      <c r="M13" s="2382"/>
      <c r="N13" s="2382"/>
      <c r="O13" s="2382"/>
      <c r="P13" s="2382"/>
      <c r="Q13" s="2382"/>
      <c r="R13" s="2385" t="str">
        <f>IF(Data!$B$1&lt;&gt;"", Data!$B$1, " ")</f>
        <v>2025-AR-109</v>
      </c>
      <c r="S13" s="2385"/>
      <c r="T13" s="2385"/>
      <c r="U13" s="2385"/>
      <c r="V13" s="2385"/>
      <c r="W13" s="2385"/>
      <c r="X13" s="2385"/>
      <c r="Y13" s="2385"/>
      <c r="Z13" s="2385"/>
      <c r="AA13" s="2385"/>
      <c r="AB13" s="2385"/>
      <c r="AC13" s="2385"/>
      <c r="AD13" s="2385"/>
      <c r="AE13" s="2385"/>
      <c r="AF13" s="2385"/>
      <c r="AG13" s="2385"/>
      <c r="AH13" s="2385"/>
      <c r="AI13" s="2385"/>
      <c r="AJ13" s="2385"/>
      <c r="AK13" s="2385"/>
      <c r="AL13" s="2385"/>
      <c r="AM13" s="2385"/>
      <c r="AN13" s="2385"/>
      <c r="AO13" s="2385"/>
      <c r="AP13" s="2385"/>
      <c r="AQ13" s="2385"/>
      <c r="AR13" s="2385"/>
      <c r="AS13" s="2385"/>
      <c r="AT13" s="2385"/>
      <c r="AU13" s="2385"/>
      <c r="AV13" s="2385"/>
      <c r="AW13" s="2385"/>
      <c r="AX13" s="2385"/>
      <c r="AY13" s="2385"/>
      <c r="AZ13" s="2385"/>
      <c r="BA13" s="2385"/>
      <c r="BB13" s="2385"/>
      <c r="BC13" s="2385"/>
      <c r="BD13" s="2385"/>
      <c r="BE13" s="2385"/>
      <c r="BF13" s="2385"/>
      <c r="BG13" s="2385"/>
      <c r="BH13" s="2385"/>
      <c r="BI13" s="2385">
        <f>IF(Data!$B$2&lt;&gt;"", Data!$B$2, " ")</f>
        <v>13845937</v>
      </c>
      <c r="BJ13" s="2385"/>
      <c r="BK13" s="2385"/>
      <c r="BL13" s="2385"/>
      <c r="BM13" s="2385"/>
      <c r="BN13" s="2385"/>
      <c r="BO13" s="2385"/>
      <c r="BP13" s="2385"/>
      <c r="BQ13" s="2385"/>
      <c r="BR13" s="2385"/>
      <c r="BS13" s="2385"/>
      <c r="BT13" s="2385"/>
      <c r="BU13" s="2385"/>
      <c r="BV13" s="2385"/>
      <c r="BW13" s="2385"/>
      <c r="BX13" s="2385"/>
      <c r="BY13" s="2385"/>
      <c r="BZ13" s="2385"/>
      <c r="CA13" s="2385"/>
      <c r="CB13" s="2385"/>
      <c r="CC13" s="2385"/>
      <c r="CD13" s="2385"/>
      <c r="CE13" s="2385"/>
      <c r="CF13" s="2385"/>
      <c r="CG13" s="2385"/>
      <c r="CH13" s="2385"/>
      <c r="CI13" s="2385"/>
      <c r="CJ13" s="2385"/>
      <c r="CK13" s="2385"/>
      <c r="CL13" s="2385"/>
      <c r="CM13" s="2385"/>
      <c r="CN13" s="2385"/>
      <c r="CO13" s="2385"/>
      <c r="CP13" s="2385"/>
      <c r="CQ13" s="2385"/>
      <c r="CR13" s="2385"/>
      <c r="CS13" s="2385"/>
      <c r="CT13" s="2385"/>
      <c r="CU13" s="2385"/>
      <c r="CV13" s="2385"/>
      <c r="CW13" s="2385"/>
      <c r="CX13" s="2385"/>
      <c r="CY13" s="2385"/>
      <c r="CZ13" s="2385"/>
      <c r="DA13" s="2385"/>
      <c r="DB13" s="2385"/>
      <c r="DC13" s="2385"/>
      <c r="DD13" s="2385"/>
      <c r="DE13" s="2385"/>
      <c r="DF13" s="2385"/>
      <c r="DG13" s="2385"/>
      <c r="DH13" s="2385"/>
      <c r="DI13" s="2385"/>
      <c r="DJ13" s="2385" t="str">
        <f>IF(Data!$B$4&lt;&gt;"",Data!$B$4," ")</f>
        <v>MM65DH-1</v>
      </c>
      <c r="DK13" s="2385"/>
      <c r="DL13" s="2385"/>
      <c r="DM13" s="2385"/>
      <c r="DN13" s="2385"/>
      <c r="DO13" s="2385"/>
      <c r="DP13" s="2385"/>
      <c r="DQ13" s="2385"/>
      <c r="DR13" s="2385"/>
      <c r="DS13" s="2385"/>
      <c r="DT13" s="2385"/>
      <c r="DU13" s="2385"/>
      <c r="DV13" s="2385"/>
      <c r="DW13" s="2385"/>
      <c r="DX13" s="2385"/>
      <c r="DY13" s="2385"/>
      <c r="DZ13" s="2385"/>
      <c r="EA13" s="2385"/>
      <c r="EB13" s="2385"/>
      <c r="EC13" s="2385"/>
      <c r="ED13" s="2385"/>
      <c r="EE13" s="2385"/>
      <c r="EF13" s="2385"/>
      <c r="EG13" s="2385"/>
      <c r="EH13" s="2385"/>
      <c r="EI13" s="2385"/>
      <c r="EJ13" s="2385"/>
      <c r="EK13" s="2385"/>
      <c r="EL13" s="2385"/>
      <c r="EM13" s="2385"/>
      <c r="EN13" s="2385"/>
      <c r="EO13" s="2385"/>
      <c r="EP13" s="2385" t="str">
        <f>IF(LEN(Data!B3)&gt;3,IF(AND(Data!B43&lt;&gt;"",Data!B43&lt;&gt;"0 0/1"""),Data!B43,""),IF(Data!B3&lt;&gt;"",Data!B3,""))</f>
        <v>8 3/8"</v>
      </c>
      <c r="EQ13" s="2385"/>
      <c r="ER13" s="2385"/>
      <c r="ES13" s="2385"/>
      <c r="ET13" s="2385"/>
      <c r="EU13" s="2385"/>
      <c r="EV13" s="2385"/>
      <c r="EW13" s="2385"/>
      <c r="EX13" s="2385"/>
      <c r="EY13" s="2385"/>
      <c r="EZ13" s="2385"/>
      <c r="FA13" s="2385"/>
      <c r="FB13" s="2385"/>
      <c r="FC13" s="2385"/>
      <c r="FD13" s="2385"/>
      <c r="FE13" s="2385"/>
      <c r="FF13" s="2385"/>
      <c r="FG13" s="2385"/>
      <c r="FH13" s="2385"/>
      <c r="FI13" s="2385"/>
      <c r="FJ13" s="2385"/>
      <c r="FK13" s="2385"/>
      <c r="FL13" s="2385"/>
      <c r="FM13" s="2385"/>
      <c r="FN13" s="2385"/>
      <c r="FO13" s="2385"/>
      <c r="FP13" s="2385"/>
      <c r="FQ13" s="2385"/>
      <c r="FR13" s="2385"/>
      <c r="FS13" s="2385"/>
      <c r="FT13" s="2385"/>
      <c r="FU13" s="2385"/>
      <c r="FV13" s="2382"/>
      <c r="FW13" s="2382"/>
      <c r="FX13" s="2382"/>
      <c r="FY13" s="2382"/>
      <c r="FZ13" s="2382"/>
      <c r="GA13" s="2382"/>
      <c r="GB13" s="2382"/>
      <c r="GC13" s="2382"/>
      <c r="GD13" s="2382"/>
      <c r="GE13" s="2382"/>
      <c r="GF13" s="2382"/>
      <c r="GG13" s="2382"/>
    </row>
    <row r="14" spans="1:223" ht="46.5" customHeight="1" x14ac:dyDescent="0.35">
      <c r="B14" s="2380">
        <f>IF(Data!$BR$44&lt;&gt;"",Data!$BR$44, "")</f>
        <v>1</v>
      </c>
      <c r="C14" s="2380"/>
      <c r="D14" s="2380"/>
      <c r="E14" s="2380"/>
      <c r="F14" s="2380"/>
      <c r="G14" s="2380"/>
      <c r="H14" s="2380"/>
      <c r="I14" s="2380"/>
      <c r="J14" s="2380">
        <f>IF(Data!$BS$44&lt;&gt;"",Data!$BS$44, "")</f>
        <v>2</v>
      </c>
      <c r="K14" s="2380"/>
      <c r="L14" s="2380"/>
      <c r="M14" s="2380"/>
      <c r="N14" s="2380"/>
      <c r="O14" s="2380"/>
      <c r="P14" s="2380"/>
      <c r="Q14" s="2380"/>
      <c r="R14" s="2380">
        <f>IF(Data!$BT$44&lt;&gt;"", Data!$BT$44, "")</f>
        <v>3</v>
      </c>
      <c r="S14" s="2380"/>
      <c r="T14" s="2380"/>
      <c r="U14" s="2380"/>
      <c r="V14" s="2380"/>
      <c r="W14" s="2380"/>
      <c r="X14" s="2380"/>
      <c r="Y14" s="2380"/>
      <c r="Z14" s="2380">
        <f>IF(Data!$BU$44&lt;&gt;"", Data!$BU$44, "")</f>
        <v>4</v>
      </c>
      <c r="AA14" s="2380"/>
      <c r="AB14" s="2380"/>
      <c r="AC14" s="2380"/>
      <c r="AD14" s="2380"/>
      <c r="AE14" s="2380"/>
      <c r="AF14" s="2380"/>
      <c r="AG14" s="2380"/>
      <c r="AH14" s="2380">
        <f>IF(Data!$BV$44&lt;&gt;"",Data!$BV$44, "")</f>
        <v>5</v>
      </c>
      <c r="AI14" s="2380"/>
      <c r="AJ14" s="2380"/>
      <c r="AK14" s="2380"/>
      <c r="AL14" s="2380"/>
      <c r="AM14" s="2380"/>
      <c r="AN14" s="2380"/>
      <c r="AO14" s="2380"/>
      <c r="AP14" s="2380">
        <f>IF(Data!$BW$44&lt;&gt;"",Data!$BW$44, "")</f>
        <v>6</v>
      </c>
      <c r="AQ14" s="2380"/>
      <c r="AR14" s="2380"/>
      <c r="AS14" s="2380"/>
      <c r="AT14" s="2380"/>
      <c r="AU14" s="2380"/>
      <c r="AV14" s="2380"/>
      <c r="AW14" s="2380"/>
      <c r="AX14" s="2380">
        <f>IF(Data!$BX$44&lt;&gt;"", Data!$BX$44, "")</f>
        <v>7</v>
      </c>
      <c r="AY14" s="2380"/>
      <c r="AZ14" s="2380"/>
      <c r="BA14" s="2380"/>
      <c r="BB14" s="2380"/>
      <c r="BC14" s="2380"/>
      <c r="BD14" s="2380"/>
      <c r="BE14" s="2380"/>
      <c r="BF14" s="2380">
        <f>IF(Data!$BY$44&lt;&gt;"", Data!$BY$44, "")</f>
        <v>8</v>
      </c>
      <c r="BG14" s="2380"/>
      <c r="BH14" s="2380"/>
      <c r="BI14" s="2380"/>
      <c r="BJ14" s="2380"/>
      <c r="BK14" s="2380"/>
      <c r="BL14" s="2380"/>
      <c r="BM14" s="2380"/>
      <c r="BN14" s="2380">
        <f>IF(Data!$BZ$44&lt;&gt;"", Data!$BZ$44, "")</f>
        <v>0</v>
      </c>
      <c r="BO14" s="2380"/>
      <c r="BP14" s="2380"/>
      <c r="BQ14" s="2380"/>
      <c r="BR14" s="2380"/>
      <c r="BS14" s="2380"/>
      <c r="BT14" s="2380"/>
      <c r="BU14" s="2380"/>
      <c r="BV14" s="2380">
        <f>IF(Data!$CA$44&lt;&gt;"", Data!$CA$44, "")</f>
        <v>9</v>
      </c>
      <c r="BW14" s="2380"/>
      <c r="BX14" s="2380"/>
      <c r="BY14" s="2380"/>
      <c r="BZ14" s="2380"/>
      <c r="CA14" s="2380"/>
      <c r="CB14" s="2380"/>
      <c r="CC14" s="2380"/>
      <c r="CD14" s="2380">
        <f>IF(Data!$CB$44&lt;&gt;"", Data!$CB$44, "")</f>
        <v>10</v>
      </c>
      <c r="CE14" s="2380"/>
      <c r="CF14" s="2380"/>
      <c r="CG14" s="2380"/>
      <c r="CH14" s="2380"/>
      <c r="CI14" s="2380"/>
      <c r="CJ14" s="2380"/>
      <c r="CK14" s="2380"/>
      <c r="CL14" s="2380">
        <f>IF(Data!$CC$44&lt;&gt;"", Data!$CC$44, "")</f>
        <v>11</v>
      </c>
      <c r="CM14" s="2380"/>
      <c r="CN14" s="2380"/>
      <c r="CO14" s="2380"/>
      <c r="CP14" s="2380"/>
      <c r="CQ14" s="2380"/>
      <c r="CR14" s="2380"/>
      <c r="CS14" s="2380"/>
      <c r="CT14" s="2380">
        <f>IF(Data!$CD$44&lt;&gt;"",Data!$CD$44, "")</f>
        <v>12</v>
      </c>
      <c r="CU14" s="2380"/>
      <c r="CV14" s="2380"/>
      <c r="CW14" s="2380"/>
      <c r="CX14" s="2380"/>
      <c r="CY14" s="2380"/>
      <c r="CZ14" s="2380"/>
      <c r="DA14" s="2380"/>
      <c r="DB14" s="2380">
        <f>IF(Data!$CE$44&lt;&gt;"",Data!$CE$44, "")</f>
        <v>0</v>
      </c>
      <c r="DC14" s="2380"/>
      <c r="DD14" s="2380"/>
      <c r="DE14" s="2380"/>
      <c r="DF14" s="2380"/>
      <c r="DG14" s="2380"/>
      <c r="DH14" s="2380"/>
      <c r="DI14" s="2380"/>
      <c r="DJ14" s="2380">
        <f>IF(Data!$CF$44&lt;&gt;"",Data!$CF$44, "")</f>
        <v>0</v>
      </c>
      <c r="DK14" s="2380"/>
      <c r="DL14" s="2380"/>
      <c r="DM14" s="2380"/>
      <c r="DN14" s="2380"/>
      <c r="DO14" s="2380"/>
      <c r="DP14" s="2380"/>
      <c r="DQ14" s="2380"/>
      <c r="DR14" s="2380">
        <f>IF(Data!$CG$44&lt;&gt;"",Data!$CG$44, "")</f>
        <v>0</v>
      </c>
      <c r="DS14" s="2380"/>
      <c r="DT14" s="2380"/>
      <c r="DU14" s="2380"/>
      <c r="DV14" s="2380"/>
      <c r="DW14" s="2380"/>
      <c r="DX14" s="2380"/>
      <c r="DY14" s="2380"/>
      <c r="DZ14" s="2380">
        <f>IF(Data!$CH$44&lt;&gt;"",Data!$CH$44, "")</f>
        <v>0</v>
      </c>
      <c r="EA14" s="2380"/>
      <c r="EB14" s="2380"/>
      <c r="EC14" s="2380"/>
      <c r="ED14" s="2380"/>
      <c r="EE14" s="2380"/>
      <c r="EF14" s="2380"/>
      <c r="EG14" s="2380"/>
      <c r="EH14" s="2380">
        <f>IF(Data!$C$48&lt;&gt;"",Data!$CI$44, "")</f>
        <v>0</v>
      </c>
      <c r="EI14" s="2380"/>
      <c r="EJ14" s="2380"/>
      <c r="EK14" s="2380"/>
      <c r="EL14" s="2380"/>
      <c r="EM14" s="2380"/>
      <c r="EN14" s="2380"/>
      <c r="EO14" s="2380"/>
      <c r="EP14" s="2380">
        <f>IF(Data!$CJ$44&lt;&gt;"",Data!$CJ$44, "")</f>
        <v>0</v>
      </c>
      <c r="EQ14" s="2380"/>
      <c r="ER14" s="2380"/>
      <c r="ES14" s="2380"/>
      <c r="ET14" s="2380"/>
      <c r="EU14" s="2380"/>
      <c r="EV14" s="2380"/>
      <c r="EW14" s="2380"/>
      <c r="EX14" s="2380">
        <f>IF(Data!$CK$44&lt;&gt;"",Data!$CK$44, "")</f>
        <v>0</v>
      </c>
      <c r="EY14" s="2380"/>
      <c r="EZ14" s="2380"/>
      <c r="FA14" s="2380"/>
      <c r="FB14" s="2380"/>
      <c r="FC14" s="2380"/>
      <c r="FD14" s="2380"/>
      <c r="FE14" s="2380"/>
      <c r="FF14" s="2380">
        <f>IF(Data!$CL$44&lt;&gt;"",Data!$CL$44, "")</f>
        <v>0</v>
      </c>
      <c r="FG14" s="2380"/>
      <c r="FH14" s="2380"/>
      <c r="FI14" s="2380"/>
      <c r="FJ14" s="2380"/>
      <c r="FK14" s="2380"/>
      <c r="FL14" s="2380"/>
      <c r="FM14" s="2380"/>
      <c r="FN14" s="2380">
        <f>IF(Data!$CM$44&lt;&gt;"",Data!$CM$44, "")</f>
        <v>0</v>
      </c>
      <c r="FO14" s="2380"/>
      <c r="FP14" s="2380"/>
      <c r="FQ14" s="2380"/>
      <c r="FR14" s="2380"/>
      <c r="FS14" s="2380"/>
      <c r="FT14" s="2380"/>
      <c r="FU14" s="2380"/>
      <c r="FV14" s="2380">
        <f>IF(Data!$CN$44&lt;&gt;"",Data!$CN$44, "")</f>
        <v>0</v>
      </c>
      <c r="FW14" s="2380"/>
      <c r="FX14" s="2380"/>
      <c r="FY14" s="2380"/>
      <c r="FZ14" s="2380"/>
      <c r="GA14" s="2380"/>
      <c r="GB14" s="2380"/>
      <c r="GC14" s="2380"/>
      <c r="GD14" s="2382"/>
      <c r="GE14" s="2382"/>
      <c r="GF14" s="2382"/>
      <c r="GG14" s="2382"/>
    </row>
    <row r="15" spans="1:223" ht="44.25" customHeight="1" x14ac:dyDescent="0.55000000000000004">
      <c r="A15" s="338">
        <v>1</v>
      </c>
      <c r="B15" s="2381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S</v>
      </c>
      <c r="C15" s="2381"/>
      <c r="D15" s="2381"/>
      <c r="E15" s="2381"/>
      <c r="F15" s="2381"/>
      <c r="G15" s="2381"/>
      <c r="H15" s="2381"/>
      <c r="I15" s="2381"/>
      <c r="J15" s="2381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S</v>
      </c>
      <c r="K15" s="2381"/>
      <c r="L15" s="2381"/>
      <c r="M15" s="2381"/>
      <c r="N15" s="2381"/>
      <c r="O15" s="2381"/>
      <c r="P15" s="2381"/>
      <c r="Q15" s="2381"/>
      <c r="R15" s="2381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S</v>
      </c>
      <c r="S15" s="2381"/>
      <c r="T15" s="2381"/>
      <c r="U15" s="2381"/>
      <c r="V15" s="2381"/>
      <c r="W15" s="2381"/>
      <c r="X15" s="2381"/>
      <c r="Y15" s="2381"/>
      <c r="Z15" s="2381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S</v>
      </c>
      <c r="AA15" s="2381"/>
      <c r="AB15" s="2381"/>
      <c r="AC15" s="2381"/>
      <c r="AD15" s="2381"/>
      <c r="AE15" s="2381"/>
      <c r="AF15" s="2381"/>
      <c r="AG15" s="2381"/>
      <c r="AH15" s="2381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S</v>
      </c>
      <c r="AI15" s="2381"/>
      <c r="AJ15" s="2381"/>
      <c r="AK15" s="2381"/>
      <c r="AL15" s="2381"/>
      <c r="AM15" s="2381"/>
      <c r="AN15" s="2381"/>
      <c r="AO15" s="2381"/>
      <c r="AP15" s="2381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XP</v>
      </c>
      <c r="AQ15" s="2381"/>
      <c r="AR15" s="2381"/>
      <c r="AS15" s="2381"/>
      <c r="AT15" s="2381"/>
      <c r="AU15" s="2381"/>
      <c r="AV15" s="2381"/>
      <c r="AW15" s="2381"/>
      <c r="AX15" s="2381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Y15" s="2381"/>
      <c r="AZ15" s="2381"/>
      <c r="BA15" s="2381"/>
      <c r="BB15" s="2381"/>
      <c r="BC15" s="2381"/>
      <c r="BD15" s="2381"/>
      <c r="BE15" s="2381"/>
      <c r="BF15" s="2381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BG15" s="2381"/>
      <c r="BH15" s="2381"/>
      <c r="BI15" s="2381"/>
      <c r="BJ15" s="2381"/>
      <c r="BK15" s="2381"/>
      <c r="BL15" s="2381"/>
      <c r="BM15" s="2381"/>
      <c r="BN15" s="2381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BO15" s="2381"/>
      <c r="BP15" s="2381"/>
      <c r="BQ15" s="2381"/>
      <c r="BR15" s="2381"/>
      <c r="BS15" s="2381"/>
      <c r="BT15" s="2381"/>
      <c r="BU15" s="2381"/>
      <c r="BV15" s="2381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BW15" s="2381"/>
      <c r="BX15" s="2381"/>
      <c r="BY15" s="2381"/>
      <c r="BZ15" s="2381"/>
      <c r="CA15" s="2381"/>
      <c r="CB15" s="2381"/>
      <c r="CC15" s="2381"/>
      <c r="CD15" s="2381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S</v>
      </c>
      <c r="CE15" s="2381"/>
      <c r="CF15" s="2381"/>
      <c r="CG15" s="2381"/>
      <c r="CH15" s="2381"/>
      <c r="CI15" s="2381"/>
      <c r="CJ15" s="2381"/>
      <c r="CK15" s="2381"/>
      <c r="CL15" s="2381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XP</v>
      </c>
      <c r="CM15" s="2381"/>
      <c r="CN15" s="2381"/>
      <c r="CO15" s="2381"/>
      <c r="CP15" s="2381"/>
      <c r="CQ15" s="2381"/>
      <c r="CR15" s="2381"/>
      <c r="CS15" s="2381"/>
      <c r="CT15" s="2381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X</v>
      </c>
      <c r="CU15" s="2381"/>
      <c r="CV15" s="2381"/>
      <c r="CW15" s="2381"/>
      <c r="CX15" s="2381"/>
      <c r="CY15" s="2381"/>
      <c r="CZ15" s="2381"/>
      <c r="DA15" s="2381"/>
      <c r="DB15" s="2381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DC15" s="2381"/>
      <c r="DD15" s="2381"/>
      <c r="DE15" s="2381"/>
      <c r="DF15" s="2381"/>
      <c r="DG15" s="2381"/>
      <c r="DH15" s="2381"/>
      <c r="DI15" s="2381"/>
      <c r="DJ15" s="2381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DK15" s="2381"/>
      <c r="DL15" s="2381"/>
      <c r="DM15" s="2381"/>
      <c r="DN15" s="2381"/>
      <c r="DO15" s="2381"/>
      <c r="DP15" s="2381"/>
      <c r="DQ15" s="2381"/>
      <c r="DR15" s="2381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DS15" s="2381"/>
      <c r="DT15" s="2381"/>
      <c r="DU15" s="2381"/>
      <c r="DV15" s="2381"/>
      <c r="DW15" s="2381"/>
      <c r="DX15" s="2381"/>
      <c r="DY15" s="2381"/>
      <c r="DZ15" s="2381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EA15" s="2381"/>
      <c r="EB15" s="2381"/>
      <c r="EC15" s="2381"/>
      <c r="ED15" s="2381"/>
      <c r="EE15" s="2381"/>
      <c r="EF15" s="2381"/>
      <c r="EG15" s="2381"/>
      <c r="EH15" s="2381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EI15" s="2381"/>
      <c r="EJ15" s="2381"/>
      <c r="EK15" s="2381"/>
      <c r="EL15" s="2381"/>
      <c r="EM15" s="2381"/>
      <c r="EN15" s="2381"/>
      <c r="EO15" s="2381"/>
      <c r="EP15" s="2381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EQ15" s="2381"/>
      <c r="ER15" s="2381"/>
      <c r="ES15" s="2381"/>
      <c r="ET15" s="2381"/>
      <c r="EU15" s="2381"/>
      <c r="EV15" s="2381"/>
      <c r="EW15" s="2381"/>
      <c r="EX15" s="2381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EY15" s="2381"/>
      <c r="EZ15" s="2381"/>
      <c r="FA15" s="2381"/>
      <c r="FB15" s="2381"/>
      <c r="FC15" s="2381"/>
      <c r="FD15" s="2381"/>
      <c r="FE15" s="2381"/>
      <c r="FF15" s="2381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FG15" s="2381"/>
      <c r="FH15" s="2381"/>
      <c r="FI15" s="2381"/>
      <c r="FJ15" s="2381"/>
      <c r="FK15" s="2381"/>
      <c r="FL15" s="2381"/>
      <c r="FM15" s="2381"/>
      <c r="FN15" s="2381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FO15" s="2381"/>
      <c r="FP15" s="2381"/>
      <c r="FQ15" s="2381"/>
      <c r="FR15" s="2381"/>
      <c r="FS15" s="2381"/>
      <c r="FT15" s="2381"/>
      <c r="FU15" s="2381"/>
      <c r="FV15" s="2381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FW15" s="2381"/>
      <c r="FX15" s="2381"/>
      <c r="FY15" s="2381"/>
      <c r="FZ15" s="2381"/>
      <c r="GA15" s="2381"/>
      <c r="GB15" s="2381"/>
      <c r="GC15" s="2381"/>
      <c r="GD15" s="2382"/>
      <c r="GE15" s="2382"/>
      <c r="GF15" s="2382"/>
      <c r="GG15" s="2382"/>
    </row>
    <row r="16" spans="1:223" ht="44.25" customHeight="1" x14ac:dyDescent="0.55000000000000004">
      <c r="A16" s="338">
        <v>2</v>
      </c>
      <c r="B16" s="2381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S</v>
      </c>
      <c r="C16" s="2381"/>
      <c r="D16" s="2381"/>
      <c r="E16" s="2381"/>
      <c r="F16" s="2381"/>
      <c r="G16" s="2381"/>
      <c r="H16" s="2381"/>
      <c r="I16" s="2381"/>
      <c r="J16" s="2381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S</v>
      </c>
      <c r="K16" s="2381"/>
      <c r="L16" s="2381"/>
      <c r="M16" s="2381"/>
      <c r="N16" s="2381"/>
      <c r="O16" s="2381"/>
      <c r="P16" s="2381"/>
      <c r="Q16" s="2381"/>
      <c r="R16" s="2381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S16" s="2381"/>
      <c r="T16" s="2381"/>
      <c r="U16" s="2381"/>
      <c r="V16" s="2381"/>
      <c r="W16" s="2381"/>
      <c r="X16" s="2381"/>
      <c r="Y16" s="2381"/>
      <c r="Z16" s="2381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A16" s="2381"/>
      <c r="AB16" s="2381"/>
      <c r="AC16" s="2381"/>
      <c r="AD16" s="2381"/>
      <c r="AE16" s="2381"/>
      <c r="AF16" s="2381"/>
      <c r="AG16" s="2381"/>
      <c r="AH16" s="2381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I16" s="2381"/>
      <c r="AJ16" s="2381"/>
      <c r="AK16" s="2381"/>
      <c r="AL16" s="2381"/>
      <c r="AM16" s="2381"/>
      <c r="AN16" s="2381"/>
      <c r="AO16" s="2381"/>
      <c r="AP16" s="2381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Q16" s="2381"/>
      <c r="AR16" s="2381"/>
      <c r="AS16" s="2381"/>
      <c r="AT16" s="2381"/>
      <c r="AU16" s="2381"/>
      <c r="AV16" s="2381"/>
      <c r="AW16" s="2381"/>
      <c r="AX16" s="2381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Y16" s="2381"/>
      <c r="AZ16" s="2381"/>
      <c r="BA16" s="2381"/>
      <c r="BB16" s="2381"/>
      <c r="BC16" s="2381"/>
      <c r="BD16" s="2381"/>
      <c r="BE16" s="2381"/>
      <c r="BF16" s="2381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BG16" s="2381"/>
      <c r="BH16" s="2381"/>
      <c r="BI16" s="2381"/>
      <c r="BJ16" s="2381"/>
      <c r="BK16" s="2381"/>
      <c r="BL16" s="2381"/>
      <c r="BM16" s="2381"/>
      <c r="BN16" s="2381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BO16" s="2381"/>
      <c r="BP16" s="2381"/>
      <c r="BQ16" s="2381"/>
      <c r="BR16" s="2381"/>
      <c r="BS16" s="2381"/>
      <c r="BT16" s="2381"/>
      <c r="BU16" s="2381"/>
      <c r="BV16" s="2381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S</v>
      </c>
      <c r="BW16" s="2381"/>
      <c r="BX16" s="2381"/>
      <c r="BY16" s="2381"/>
      <c r="BZ16" s="2381"/>
      <c r="CA16" s="2381"/>
      <c r="CB16" s="2381"/>
      <c r="CC16" s="2381"/>
      <c r="CD16" s="2381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S</v>
      </c>
      <c r="CE16" s="2381"/>
      <c r="CF16" s="2381"/>
      <c r="CG16" s="2381"/>
      <c r="CH16" s="2381"/>
      <c r="CI16" s="2381"/>
      <c r="CJ16" s="2381"/>
      <c r="CK16" s="2381"/>
      <c r="CL16" s="2381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>S</v>
      </c>
      <c r="CM16" s="2381"/>
      <c r="CN16" s="2381"/>
      <c r="CO16" s="2381"/>
      <c r="CP16" s="2381"/>
      <c r="CQ16" s="2381"/>
      <c r="CR16" s="2381"/>
      <c r="CS16" s="2381"/>
      <c r="CT16" s="2381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>R</v>
      </c>
      <c r="CU16" s="2381"/>
      <c r="CV16" s="2381"/>
      <c r="CW16" s="2381"/>
      <c r="CX16" s="2381"/>
      <c r="CY16" s="2381"/>
      <c r="CZ16" s="2381"/>
      <c r="DA16" s="2381"/>
      <c r="DB16" s="2381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DC16" s="2381"/>
      <c r="DD16" s="2381"/>
      <c r="DE16" s="2381"/>
      <c r="DF16" s="2381"/>
      <c r="DG16" s="2381"/>
      <c r="DH16" s="2381"/>
      <c r="DI16" s="2381"/>
      <c r="DJ16" s="2381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DK16" s="2381"/>
      <c r="DL16" s="2381"/>
      <c r="DM16" s="2381"/>
      <c r="DN16" s="2381"/>
      <c r="DO16" s="2381"/>
      <c r="DP16" s="2381"/>
      <c r="DQ16" s="2381"/>
      <c r="DR16" s="2381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DS16" s="2381"/>
      <c r="DT16" s="2381"/>
      <c r="DU16" s="2381"/>
      <c r="DV16" s="2381"/>
      <c r="DW16" s="2381"/>
      <c r="DX16" s="2381"/>
      <c r="DY16" s="2381"/>
      <c r="DZ16" s="2381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EA16" s="2381"/>
      <c r="EB16" s="2381"/>
      <c r="EC16" s="2381"/>
      <c r="ED16" s="2381"/>
      <c r="EE16" s="2381"/>
      <c r="EF16" s="2381"/>
      <c r="EG16" s="2381"/>
      <c r="EH16" s="2381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EI16" s="2381"/>
      <c r="EJ16" s="2381"/>
      <c r="EK16" s="2381"/>
      <c r="EL16" s="2381"/>
      <c r="EM16" s="2381"/>
      <c r="EN16" s="2381"/>
      <c r="EO16" s="2381"/>
      <c r="EP16" s="2381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EQ16" s="2381"/>
      <c r="ER16" s="2381"/>
      <c r="ES16" s="2381"/>
      <c r="ET16" s="2381"/>
      <c r="EU16" s="2381"/>
      <c r="EV16" s="2381"/>
      <c r="EW16" s="2381"/>
      <c r="EX16" s="2381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EY16" s="2381"/>
      <c r="EZ16" s="2381"/>
      <c r="FA16" s="2381"/>
      <c r="FB16" s="2381"/>
      <c r="FC16" s="2381"/>
      <c r="FD16" s="2381"/>
      <c r="FE16" s="2381"/>
      <c r="FF16" s="2381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FG16" s="2381"/>
      <c r="FH16" s="2381"/>
      <c r="FI16" s="2381"/>
      <c r="FJ16" s="2381"/>
      <c r="FK16" s="2381"/>
      <c r="FL16" s="2381"/>
      <c r="FM16" s="2381"/>
      <c r="FN16" s="2381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FO16" s="2381"/>
      <c r="FP16" s="2381"/>
      <c r="FQ16" s="2381"/>
      <c r="FR16" s="2381"/>
      <c r="FS16" s="2381"/>
      <c r="FT16" s="2381"/>
      <c r="FU16" s="2381"/>
      <c r="FV16" s="2381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FW16" s="2381"/>
      <c r="FX16" s="2381"/>
      <c r="FY16" s="2381"/>
      <c r="FZ16" s="2381"/>
      <c r="GA16" s="2381"/>
      <c r="GB16" s="2381"/>
      <c r="GC16" s="2381"/>
      <c r="GD16" s="2382"/>
      <c r="GE16" s="2382"/>
      <c r="GF16" s="2382"/>
      <c r="GG16" s="2382"/>
    </row>
    <row r="17" spans="1:206" ht="44.25" customHeight="1" x14ac:dyDescent="0.55000000000000004">
      <c r="A17" s="338">
        <v>3</v>
      </c>
      <c r="B17" s="2381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S</v>
      </c>
      <c r="C17" s="2381"/>
      <c r="D17" s="2381"/>
      <c r="E17" s="2381"/>
      <c r="F17" s="2381"/>
      <c r="G17" s="2381"/>
      <c r="H17" s="2381"/>
      <c r="I17" s="2381"/>
      <c r="J17" s="2381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S</v>
      </c>
      <c r="K17" s="2381"/>
      <c r="L17" s="2381"/>
      <c r="M17" s="2381"/>
      <c r="N17" s="2381"/>
      <c r="O17" s="2381"/>
      <c r="P17" s="2381"/>
      <c r="Q17" s="2381"/>
      <c r="R17" s="2381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S</v>
      </c>
      <c r="S17" s="2381"/>
      <c r="T17" s="2381"/>
      <c r="U17" s="2381"/>
      <c r="V17" s="2381"/>
      <c r="W17" s="2381"/>
      <c r="X17" s="2381"/>
      <c r="Y17" s="2381"/>
      <c r="Z17" s="2381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S</v>
      </c>
      <c r="AA17" s="2381"/>
      <c r="AB17" s="2381"/>
      <c r="AC17" s="2381"/>
      <c r="AD17" s="2381"/>
      <c r="AE17" s="2381"/>
      <c r="AF17" s="2381"/>
      <c r="AG17" s="2381"/>
      <c r="AH17" s="2381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AI17" s="2381"/>
      <c r="AJ17" s="2381"/>
      <c r="AK17" s="2381"/>
      <c r="AL17" s="2381"/>
      <c r="AM17" s="2381"/>
      <c r="AN17" s="2381"/>
      <c r="AO17" s="2381"/>
      <c r="AP17" s="2381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AQ17" s="2381"/>
      <c r="AR17" s="2381"/>
      <c r="AS17" s="2381"/>
      <c r="AT17" s="2381"/>
      <c r="AU17" s="2381"/>
      <c r="AV17" s="2381"/>
      <c r="AW17" s="2381"/>
      <c r="AX17" s="2381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XP</v>
      </c>
      <c r="AY17" s="2381"/>
      <c r="AZ17" s="2381"/>
      <c r="BA17" s="2381"/>
      <c r="BB17" s="2381"/>
      <c r="BC17" s="2381"/>
      <c r="BD17" s="2381"/>
      <c r="BE17" s="2381"/>
      <c r="BF17" s="2381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BG17" s="2381"/>
      <c r="BH17" s="2381"/>
      <c r="BI17" s="2381"/>
      <c r="BJ17" s="2381"/>
      <c r="BK17" s="2381"/>
      <c r="BL17" s="2381"/>
      <c r="BM17" s="2381"/>
      <c r="BN17" s="2381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BO17" s="2381"/>
      <c r="BP17" s="2381"/>
      <c r="BQ17" s="2381"/>
      <c r="BR17" s="2381"/>
      <c r="BS17" s="2381"/>
      <c r="BT17" s="2381"/>
      <c r="BU17" s="2381"/>
      <c r="BV17" s="2381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S</v>
      </c>
      <c r="BW17" s="2381"/>
      <c r="BX17" s="2381"/>
      <c r="BY17" s="2381"/>
      <c r="BZ17" s="2381"/>
      <c r="CA17" s="2381"/>
      <c r="CB17" s="2381"/>
      <c r="CC17" s="2381"/>
      <c r="CD17" s="2381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S</v>
      </c>
      <c r="CE17" s="2381"/>
      <c r="CF17" s="2381"/>
      <c r="CG17" s="2381"/>
      <c r="CH17" s="2381"/>
      <c r="CI17" s="2381"/>
      <c r="CJ17" s="2381"/>
      <c r="CK17" s="2381"/>
      <c r="CL17" s="2381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>R</v>
      </c>
      <c r="CM17" s="2381"/>
      <c r="CN17" s="2381"/>
      <c r="CO17" s="2381"/>
      <c r="CP17" s="2381"/>
      <c r="CQ17" s="2381"/>
      <c r="CR17" s="2381"/>
      <c r="CS17" s="2381"/>
      <c r="CT17" s="2381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1"/>
      <c r="CV17" s="2381"/>
      <c r="CW17" s="2381"/>
      <c r="CX17" s="2381"/>
      <c r="CY17" s="2381"/>
      <c r="CZ17" s="2381"/>
      <c r="DA17" s="2381"/>
      <c r="DB17" s="2381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DC17" s="2381"/>
      <c r="DD17" s="2381"/>
      <c r="DE17" s="2381"/>
      <c r="DF17" s="2381"/>
      <c r="DG17" s="2381"/>
      <c r="DH17" s="2381"/>
      <c r="DI17" s="2381"/>
      <c r="DJ17" s="2381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DK17" s="2381"/>
      <c r="DL17" s="2381"/>
      <c r="DM17" s="2381"/>
      <c r="DN17" s="2381"/>
      <c r="DO17" s="2381"/>
      <c r="DP17" s="2381"/>
      <c r="DQ17" s="2381"/>
      <c r="DR17" s="2381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DS17" s="2381"/>
      <c r="DT17" s="2381"/>
      <c r="DU17" s="2381"/>
      <c r="DV17" s="2381"/>
      <c r="DW17" s="2381"/>
      <c r="DX17" s="2381"/>
      <c r="DY17" s="2381"/>
      <c r="DZ17" s="2381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EA17" s="2381"/>
      <c r="EB17" s="2381"/>
      <c r="EC17" s="2381"/>
      <c r="ED17" s="2381"/>
      <c r="EE17" s="2381"/>
      <c r="EF17" s="2381"/>
      <c r="EG17" s="2381"/>
      <c r="EH17" s="2381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EI17" s="2381"/>
      <c r="EJ17" s="2381"/>
      <c r="EK17" s="2381"/>
      <c r="EL17" s="2381"/>
      <c r="EM17" s="2381"/>
      <c r="EN17" s="2381"/>
      <c r="EO17" s="2381"/>
      <c r="EP17" s="2381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EQ17" s="2381"/>
      <c r="ER17" s="2381"/>
      <c r="ES17" s="2381"/>
      <c r="ET17" s="2381"/>
      <c r="EU17" s="2381"/>
      <c r="EV17" s="2381"/>
      <c r="EW17" s="2381"/>
      <c r="EX17" s="2381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EY17" s="2381"/>
      <c r="EZ17" s="2381"/>
      <c r="FA17" s="2381"/>
      <c r="FB17" s="2381"/>
      <c r="FC17" s="2381"/>
      <c r="FD17" s="2381"/>
      <c r="FE17" s="2381"/>
      <c r="FF17" s="2381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FG17" s="2381"/>
      <c r="FH17" s="2381"/>
      <c r="FI17" s="2381"/>
      <c r="FJ17" s="2381"/>
      <c r="FK17" s="2381"/>
      <c r="FL17" s="2381"/>
      <c r="FM17" s="2381"/>
      <c r="FN17" s="2381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FO17" s="2381"/>
      <c r="FP17" s="2381"/>
      <c r="FQ17" s="2381"/>
      <c r="FR17" s="2381"/>
      <c r="FS17" s="2381"/>
      <c r="FT17" s="2381"/>
      <c r="FU17" s="2381"/>
      <c r="FV17" s="2381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FW17" s="2381"/>
      <c r="FX17" s="2381"/>
      <c r="FY17" s="2381"/>
      <c r="FZ17" s="2381"/>
      <c r="GA17" s="2381"/>
      <c r="GB17" s="2381"/>
      <c r="GC17" s="2381"/>
      <c r="GD17" s="2382"/>
      <c r="GE17" s="2382"/>
      <c r="GF17" s="2382"/>
      <c r="GG17" s="2382"/>
    </row>
    <row r="18" spans="1:206" ht="44.25" customHeight="1" x14ac:dyDescent="0.55000000000000004">
      <c r="A18" s="338">
        <v>4</v>
      </c>
      <c r="B18" s="2381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S</v>
      </c>
      <c r="C18" s="2381"/>
      <c r="D18" s="2381"/>
      <c r="E18" s="2381"/>
      <c r="F18" s="2381"/>
      <c r="G18" s="2381"/>
      <c r="H18" s="2381"/>
      <c r="I18" s="2381"/>
      <c r="J18" s="2381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S</v>
      </c>
      <c r="K18" s="2381"/>
      <c r="L18" s="2381"/>
      <c r="M18" s="2381"/>
      <c r="N18" s="2381"/>
      <c r="O18" s="2381"/>
      <c r="P18" s="2381"/>
      <c r="Q18" s="2381"/>
      <c r="R18" s="2381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S18" s="2381"/>
      <c r="T18" s="2381"/>
      <c r="U18" s="2381"/>
      <c r="V18" s="2381"/>
      <c r="W18" s="2381"/>
      <c r="X18" s="2381"/>
      <c r="Y18" s="2381"/>
      <c r="Z18" s="2381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AA18" s="2381"/>
      <c r="AB18" s="2381"/>
      <c r="AC18" s="2381"/>
      <c r="AD18" s="2381"/>
      <c r="AE18" s="2381"/>
      <c r="AF18" s="2381"/>
      <c r="AG18" s="2381"/>
      <c r="AH18" s="2381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X</v>
      </c>
      <c r="AI18" s="2381"/>
      <c r="AJ18" s="2381"/>
      <c r="AK18" s="2381"/>
      <c r="AL18" s="2381"/>
      <c r="AM18" s="2381"/>
      <c r="AN18" s="2381"/>
      <c r="AO18" s="2381"/>
      <c r="AP18" s="2381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XP</v>
      </c>
      <c r="AQ18" s="2381"/>
      <c r="AR18" s="2381"/>
      <c r="AS18" s="2381"/>
      <c r="AT18" s="2381"/>
      <c r="AU18" s="2381"/>
      <c r="AV18" s="2381"/>
      <c r="AW18" s="2381"/>
      <c r="AX18" s="2381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Y18" s="2381"/>
      <c r="AZ18" s="2381"/>
      <c r="BA18" s="2381"/>
      <c r="BB18" s="2381"/>
      <c r="BC18" s="2381"/>
      <c r="BD18" s="2381"/>
      <c r="BE18" s="2381"/>
      <c r="BF18" s="2381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BG18" s="2381"/>
      <c r="BH18" s="2381"/>
      <c r="BI18" s="2381"/>
      <c r="BJ18" s="2381"/>
      <c r="BK18" s="2381"/>
      <c r="BL18" s="2381"/>
      <c r="BM18" s="2381"/>
      <c r="BN18" s="2381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BO18" s="2381"/>
      <c r="BP18" s="2381"/>
      <c r="BQ18" s="2381"/>
      <c r="BR18" s="2381"/>
      <c r="BS18" s="2381"/>
      <c r="BT18" s="2381"/>
      <c r="BU18" s="2381"/>
      <c r="BV18" s="2381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S</v>
      </c>
      <c r="BW18" s="2381"/>
      <c r="BX18" s="2381"/>
      <c r="BY18" s="2381"/>
      <c r="BZ18" s="2381"/>
      <c r="CA18" s="2381"/>
      <c r="CB18" s="2381"/>
      <c r="CC18" s="2381"/>
      <c r="CD18" s="2381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S</v>
      </c>
      <c r="CE18" s="2381"/>
      <c r="CF18" s="2381"/>
      <c r="CG18" s="2381"/>
      <c r="CH18" s="2381"/>
      <c r="CI18" s="2381"/>
      <c r="CJ18" s="2381"/>
      <c r="CK18" s="2381"/>
      <c r="CL18" s="2381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S</v>
      </c>
      <c r="CM18" s="2381"/>
      <c r="CN18" s="2381"/>
      <c r="CO18" s="2381"/>
      <c r="CP18" s="2381"/>
      <c r="CQ18" s="2381"/>
      <c r="CR18" s="2381"/>
      <c r="CS18" s="2381"/>
      <c r="CT18" s="2381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R</v>
      </c>
      <c r="CU18" s="2381"/>
      <c r="CV18" s="2381"/>
      <c r="CW18" s="2381"/>
      <c r="CX18" s="2381"/>
      <c r="CY18" s="2381"/>
      <c r="CZ18" s="2381"/>
      <c r="DA18" s="2381"/>
      <c r="DB18" s="2381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DC18" s="2381"/>
      <c r="DD18" s="2381"/>
      <c r="DE18" s="2381"/>
      <c r="DF18" s="2381"/>
      <c r="DG18" s="2381"/>
      <c r="DH18" s="2381"/>
      <c r="DI18" s="2381"/>
      <c r="DJ18" s="2381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DK18" s="2381"/>
      <c r="DL18" s="2381"/>
      <c r="DM18" s="2381"/>
      <c r="DN18" s="2381"/>
      <c r="DO18" s="2381"/>
      <c r="DP18" s="2381"/>
      <c r="DQ18" s="2381"/>
      <c r="DR18" s="2381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DS18" s="2381"/>
      <c r="DT18" s="2381"/>
      <c r="DU18" s="2381"/>
      <c r="DV18" s="2381"/>
      <c r="DW18" s="2381"/>
      <c r="DX18" s="2381"/>
      <c r="DY18" s="2381"/>
      <c r="DZ18" s="2381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EA18" s="2381"/>
      <c r="EB18" s="2381"/>
      <c r="EC18" s="2381"/>
      <c r="ED18" s="2381"/>
      <c r="EE18" s="2381"/>
      <c r="EF18" s="2381"/>
      <c r="EG18" s="2381"/>
      <c r="EH18" s="2381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EI18" s="2381"/>
      <c r="EJ18" s="2381"/>
      <c r="EK18" s="2381"/>
      <c r="EL18" s="2381"/>
      <c r="EM18" s="2381"/>
      <c r="EN18" s="2381"/>
      <c r="EO18" s="2381"/>
      <c r="EP18" s="2381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EQ18" s="2381"/>
      <c r="ER18" s="2381"/>
      <c r="ES18" s="2381"/>
      <c r="ET18" s="2381"/>
      <c r="EU18" s="2381"/>
      <c r="EV18" s="2381"/>
      <c r="EW18" s="2381"/>
      <c r="EX18" s="2381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EY18" s="2381"/>
      <c r="EZ18" s="2381"/>
      <c r="FA18" s="2381"/>
      <c r="FB18" s="2381"/>
      <c r="FC18" s="2381"/>
      <c r="FD18" s="2381"/>
      <c r="FE18" s="2381"/>
      <c r="FF18" s="2381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FG18" s="2381"/>
      <c r="FH18" s="2381"/>
      <c r="FI18" s="2381"/>
      <c r="FJ18" s="2381"/>
      <c r="FK18" s="2381"/>
      <c r="FL18" s="2381"/>
      <c r="FM18" s="2381"/>
      <c r="FN18" s="2381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FO18" s="2381"/>
      <c r="FP18" s="2381"/>
      <c r="FQ18" s="2381"/>
      <c r="FR18" s="2381"/>
      <c r="FS18" s="2381"/>
      <c r="FT18" s="2381"/>
      <c r="FU18" s="2381"/>
      <c r="FV18" s="2381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FW18" s="2381"/>
      <c r="FX18" s="2381"/>
      <c r="FY18" s="2381"/>
      <c r="FZ18" s="2381"/>
      <c r="GA18" s="2381"/>
      <c r="GB18" s="2381"/>
      <c r="GC18" s="2381"/>
      <c r="GD18" s="2382"/>
      <c r="GE18" s="2382"/>
      <c r="GF18" s="2382"/>
      <c r="GG18" s="2382"/>
    </row>
    <row r="19" spans="1:206" ht="44.25" customHeight="1" x14ac:dyDescent="0.55000000000000004">
      <c r="A19" s="338">
        <v>5</v>
      </c>
      <c r="B19" s="2381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S</v>
      </c>
      <c r="C19" s="2381"/>
      <c r="D19" s="2381"/>
      <c r="E19" s="2381"/>
      <c r="F19" s="2381"/>
      <c r="G19" s="2381"/>
      <c r="H19" s="2381"/>
      <c r="I19" s="2381"/>
      <c r="J19" s="2381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S</v>
      </c>
      <c r="K19" s="2381"/>
      <c r="L19" s="2381"/>
      <c r="M19" s="2381"/>
      <c r="N19" s="2381"/>
      <c r="O19" s="2381"/>
      <c r="P19" s="2381"/>
      <c r="Q19" s="2381"/>
      <c r="R19" s="2381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S</v>
      </c>
      <c r="S19" s="2381"/>
      <c r="T19" s="2381"/>
      <c r="U19" s="2381"/>
      <c r="V19" s="2381"/>
      <c r="W19" s="2381"/>
      <c r="X19" s="2381"/>
      <c r="Y19" s="2381"/>
      <c r="Z19" s="2381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S</v>
      </c>
      <c r="AA19" s="2381"/>
      <c r="AB19" s="2381"/>
      <c r="AC19" s="2381"/>
      <c r="AD19" s="2381"/>
      <c r="AE19" s="2381"/>
      <c r="AF19" s="2381"/>
      <c r="AG19" s="2381"/>
      <c r="AH19" s="2381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S</v>
      </c>
      <c r="AI19" s="2381"/>
      <c r="AJ19" s="2381"/>
      <c r="AK19" s="2381"/>
      <c r="AL19" s="2381"/>
      <c r="AM19" s="2381"/>
      <c r="AN19" s="2381"/>
      <c r="AO19" s="2381"/>
      <c r="AP19" s="2381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AQ19" s="2381"/>
      <c r="AR19" s="2381"/>
      <c r="AS19" s="2381"/>
      <c r="AT19" s="2381"/>
      <c r="AU19" s="2381"/>
      <c r="AV19" s="2381"/>
      <c r="AW19" s="2381"/>
      <c r="AX19" s="2381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Y19" s="2381"/>
      <c r="AZ19" s="2381"/>
      <c r="BA19" s="2381"/>
      <c r="BB19" s="2381"/>
      <c r="BC19" s="2381"/>
      <c r="BD19" s="2381"/>
      <c r="BE19" s="2381"/>
      <c r="BF19" s="2381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BG19" s="2381"/>
      <c r="BH19" s="2381"/>
      <c r="BI19" s="2381"/>
      <c r="BJ19" s="2381"/>
      <c r="BK19" s="2381"/>
      <c r="BL19" s="2381"/>
      <c r="BM19" s="2381"/>
      <c r="BN19" s="2381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BO19" s="2381"/>
      <c r="BP19" s="2381"/>
      <c r="BQ19" s="2381"/>
      <c r="BR19" s="2381"/>
      <c r="BS19" s="2381"/>
      <c r="BT19" s="2381"/>
      <c r="BU19" s="2381"/>
      <c r="BV19" s="2381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S</v>
      </c>
      <c r="BW19" s="2381"/>
      <c r="BX19" s="2381"/>
      <c r="BY19" s="2381"/>
      <c r="BZ19" s="2381"/>
      <c r="CA19" s="2381"/>
      <c r="CB19" s="2381"/>
      <c r="CC19" s="2381"/>
      <c r="CD19" s="2381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S</v>
      </c>
      <c r="CE19" s="2381"/>
      <c r="CF19" s="2381"/>
      <c r="CG19" s="2381"/>
      <c r="CH19" s="2381"/>
      <c r="CI19" s="2381"/>
      <c r="CJ19" s="2381"/>
      <c r="CK19" s="2381"/>
      <c r="CL19" s="2381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>X</v>
      </c>
      <c r="CM19" s="2381"/>
      <c r="CN19" s="2381"/>
      <c r="CO19" s="2381"/>
      <c r="CP19" s="2381"/>
      <c r="CQ19" s="2381"/>
      <c r="CR19" s="2381"/>
      <c r="CS19" s="2381"/>
      <c r="CT19" s="2381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>R</v>
      </c>
      <c r="CU19" s="2381"/>
      <c r="CV19" s="2381"/>
      <c r="CW19" s="2381"/>
      <c r="CX19" s="2381"/>
      <c r="CY19" s="2381"/>
      <c r="CZ19" s="2381"/>
      <c r="DA19" s="2381"/>
      <c r="DB19" s="2381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DC19" s="2381"/>
      <c r="DD19" s="2381"/>
      <c r="DE19" s="2381"/>
      <c r="DF19" s="2381"/>
      <c r="DG19" s="2381"/>
      <c r="DH19" s="2381"/>
      <c r="DI19" s="2381"/>
      <c r="DJ19" s="2381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DK19" s="2381"/>
      <c r="DL19" s="2381"/>
      <c r="DM19" s="2381"/>
      <c r="DN19" s="2381"/>
      <c r="DO19" s="2381"/>
      <c r="DP19" s="2381"/>
      <c r="DQ19" s="2381"/>
      <c r="DR19" s="2381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DS19" s="2381"/>
      <c r="DT19" s="2381"/>
      <c r="DU19" s="2381"/>
      <c r="DV19" s="2381"/>
      <c r="DW19" s="2381"/>
      <c r="DX19" s="2381"/>
      <c r="DY19" s="2381"/>
      <c r="DZ19" s="2381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EA19" s="2381"/>
      <c r="EB19" s="2381"/>
      <c r="EC19" s="2381"/>
      <c r="ED19" s="2381"/>
      <c r="EE19" s="2381"/>
      <c r="EF19" s="2381"/>
      <c r="EG19" s="2381"/>
      <c r="EH19" s="2381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EI19" s="2381"/>
      <c r="EJ19" s="2381"/>
      <c r="EK19" s="2381"/>
      <c r="EL19" s="2381"/>
      <c r="EM19" s="2381"/>
      <c r="EN19" s="2381"/>
      <c r="EO19" s="2381"/>
      <c r="EP19" s="2381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EQ19" s="2381"/>
      <c r="ER19" s="2381"/>
      <c r="ES19" s="2381"/>
      <c r="ET19" s="2381"/>
      <c r="EU19" s="2381"/>
      <c r="EV19" s="2381"/>
      <c r="EW19" s="2381"/>
      <c r="EX19" s="2381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EY19" s="2381"/>
      <c r="EZ19" s="2381"/>
      <c r="FA19" s="2381"/>
      <c r="FB19" s="2381"/>
      <c r="FC19" s="2381"/>
      <c r="FD19" s="2381"/>
      <c r="FE19" s="2381"/>
      <c r="FF19" s="2381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FG19" s="2381"/>
      <c r="FH19" s="2381"/>
      <c r="FI19" s="2381"/>
      <c r="FJ19" s="2381"/>
      <c r="FK19" s="2381"/>
      <c r="FL19" s="2381"/>
      <c r="FM19" s="2381"/>
      <c r="FN19" s="2381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FO19" s="2381"/>
      <c r="FP19" s="2381"/>
      <c r="FQ19" s="2381"/>
      <c r="FR19" s="2381"/>
      <c r="FS19" s="2381"/>
      <c r="FT19" s="2381"/>
      <c r="FU19" s="2381"/>
      <c r="FV19" s="2381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FW19" s="2381"/>
      <c r="FX19" s="2381"/>
      <c r="FY19" s="2381"/>
      <c r="FZ19" s="2381"/>
      <c r="GA19" s="2381"/>
      <c r="GB19" s="2381"/>
      <c r="GC19" s="2381"/>
      <c r="GD19" s="2382"/>
      <c r="GE19" s="2382"/>
      <c r="GF19" s="2382"/>
      <c r="GG19" s="2382"/>
    </row>
    <row r="20" spans="1:206" ht="44.25" customHeight="1" x14ac:dyDescent="0.55000000000000004">
      <c r="A20" s="338">
        <v>6</v>
      </c>
      <c r="B20" s="2381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S</v>
      </c>
      <c r="C20" s="2381"/>
      <c r="D20" s="2381"/>
      <c r="E20" s="2381"/>
      <c r="F20" s="2381"/>
      <c r="G20" s="2381"/>
      <c r="H20" s="2381"/>
      <c r="I20" s="2381"/>
      <c r="J20" s="2381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K20" s="2381"/>
      <c r="L20" s="2381"/>
      <c r="M20" s="2381"/>
      <c r="N20" s="2381"/>
      <c r="O20" s="2381"/>
      <c r="P20" s="2381"/>
      <c r="Q20" s="2381"/>
      <c r="R20" s="2381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S</v>
      </c>
      <c r="S20" s="2381"/>
      <c r="T20" s="2381"/>
      <c r="U20" s="2381"/>
      <c r="V20" s="2381"/>
      <c r="W20" s="2381"/>
      <c r="X20" s="2381"/>
      <c r="Y20" s="2381"/>
      <c r="Z20" s="2381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X</v>
      </c>
      <c r="AA20" s="2381"/>
      <c r="AB20" s="2381"/>
      <c r="AC20" s="2381"/>
      <c r="AD20" s="2381"/>
      <c r="AE20" s="2381"/>
      <c r="AF20" s="2381"/>
      <c r="AG20" s="2381"/>
      <c r="AH20" s="2381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I20" s="2381"/>
      <c r="AJ20" s="2381"/>
      <c r="AK20" s="2381"/>
      <c r="AL20" s="2381"/>
      <c r="AM20" s="2381"/>
      <c r="AN20" s="2381"/>
      <c r="AO20" s="2381"/>
      <c r="AP20" s="2381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Q20" s="2381"/>
      <c r="AR20" s="2381"/>
      <c r="AS20" s="2381"/>
      <c r="AT20" s="2381"/>
      <c r="AU20" s="2381"/>
      <c r="AV20" s="2381"/>
      <c r="AW20" s="2381"/>
      <c r="AX20" s="2381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Y20" s="2381"/>
      <c r="AZ20" s="2381"/>
      <c r="BA20" s="2381"/>
      <c r="BB20" s="2381"/>
      <c r="BC20" s="2381"/>
      <c r="BD20" s="2381"/>
      <c r="BE20" s="2381"/>
      <c r="BF20" s="2381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BG20" s="2381"/>
      <c r="BH20" s="2381"/>
      <c r="BI20" s="2381"/>
      <c r="BJ20" s="2381"/>
      <c r="BK20" s="2381"/>
      <c r="BL20" s="2381"/>
      <c r="BM20" s="2381"/>
      <c r="BN20" s="2381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BO20" s="2381"/>
      <c r="BP20" s="2381"/>
      <c r="BQ20" s="2381"/>
      <c r="BR20" s="2381"/>
      <c r="BS20" s="2381"/>
      <c r="BT20" s="2381"/>
      <c r="BU20" s="2381"/>
      <c r="BV20" s="2381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BW20" s="2381"/>
      <c r="BX20" s="2381"/>
      <c r="BY20" s="2381"/>
      <c r="BZ20" s="2381"/>
      <c r="CA20" s="2381"/>
      <c r="CB20" s="2381"/>
      <c r="CC20" s="2381"/>
      <c r="CD20" s="2381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S</v>
      </c>
      <c r="CE20" s="2381"/>
      <c r="CF20" s="2381"/>
      <c r="CG20" s="2381"/>
      <c r="CH20" s="2381"/>
      <c r="CI20" s="2381"/>
      <c r="CJ20" s="2381"/>
      <c r="CK20" s="2381"/>
      <c r="CL20" s="2381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S</v>
      </c>
      <c r="CM20" s="2381"/>
      <c r="CN20" s="2381"/>
      <c r="CO20" s="2381"/>
      <c r="CP20" s="2381"/>
      <c r="CQ20" s="2381"/>
      <c r="CR20" s="2381"/>
      <c r="CS20" s="2381"/>
      <c r="CT20" s="2381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R</v>
      </c>
      <c r="CU20" s="2381"/>
      <c r="CV20" s="2381"/>
      <c r="CW20" s="2381"/>
      <c r="CX20" s="2381"/>
      <c r="CY20" s="2381"/>
      <c r="CZ20" s="2381"/>
      <c r="DA20" s="2381"/>
      <c r="DB20" s="2381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DC20" s="2381"/>
      <c r="DD20" s="2381"/>
      <c r="DE20" s="2381"/>
      <c r="DF20" s="2381"/>
      <c r="DG20" s="2381"/>
      <c r="DH20" s="2381"/>
      <c r="DI20" s="2381"/>
      <c r="DJ20" s="2381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DK20" s="2381"/>
      <c r="DL20" s="2381"/>
      <c r="DM20" s="2381"/>
      <c r="DN20" s="2381"/>
      <c r="DO20" s="2381"/>
      <c r="DP20" s="2381"/>
      <c r="DQ20" s="2381"/>
      <c r="DR20" s="2381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DS20" s="2381"/>
      <c r="DT20" s="2381"/>
      <c r="DU20" s="2381"/>
      <c r="DV20" s="2381"/>
      <c r="DW20" s="2381"/>
      <c r="DX20" s="2381"/>
      <c r="DY20" s="2381"/>
      <c r="DZ20" s="2381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EA20" s="2381"/>
      <c r="EB20" s="2381"/>
      <c r="EC20" s="2381"/>
      <c r="ED20" s="2381"/>
      <c r="EE20" s="2381"/>
      <c r="EF20" s="2381"/>
      <c r="EG20" s="2381"/>
      <c r="EH20" s="2381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EI20" s="2381"/>
      <c r="EJ20" s="2381"/>
      <c r="EK20" s="2381"/>
      <c r="EL20" s="2381"/>
      <c r="EM20" s="2381"/>
      <c r="EN20" s="2381"/>
      <c r="EO20" s="2381"/>
      <c r="EP20" s="2381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EQ20" s="2381"/>
      <c r="ER20" s="2381"/>
      <c r="ES20" s="2381"/>
      <c r="ET20" s="2381"/>
      <c r="EU20" s="2381"/>
      <c r="EV20" s="2381"/>
      <c r="EW20" s="2381"/>
      <c r="EX20" s="2381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EY20" s="2381"/>
      <c r="EZ20" s="2381"/>
      <c r="FA20" s="2381"/>
      <c r="FB20" s="2381"/>
      <c r="FC20" s="2381"/>
      <c r="FD20" s="2381"/>
      <c r="FE20" s="2381"/>
      <c r="FF20" s="2381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FG20" s="2381"/>
      <c r="FH20" s="2381"/>
      <c r="FI20" s="2381"/>
      <c r="FJ20" s="2381"/>
      <c r="FK20" s="2381"/>
      <c r="FL20" s="2381"/>
      <c r="FM20" s="2381"/>
      <c r="FN20" s="2381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FO20" s="2381"/>
      <c r="FP20" s="2381"/>
      <c r="FQ20" s="2381"/>
      <c r="FR20" s="2381"/>
      <c r="FS20" s="2381"/>
      <c r="FT20" s="2381"/>
      <c r="FU20" s="2381"/>
      <c r="FV20" s="2381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FW20" s="2381"/>
      <c r="FX20" s="2381"/>
      <c r="FY20" s="2381"/>
      <c r="FZ20" s="2381"/>
      <c r="GA20" s="2381"/>
      <c r="GB20" s="2381"/>
      <c r="GC20" s="2381"/>
      <c r="GD20" s="2382"/>
      <c r="GE20" s="2382"/>
      <c r="GF20" s="2382"/>
      <c r="GG20" s="2382"/>
    </row>
    <row r="21" spans="1:206" ht="44.25" customHeight="1" x14ac:dyDescent="0.55000000000000004">
      <c r="A21" s="338">
        <v>7</v>
      </c>
      <c r="B21" s="2381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21" s="2381"/>
      <c r="D21" s="2381"/>
      <c r="E21" s="2381"/>
      <c r="F21" s="2381"/>
      <c r="G21" s="2381"/>
      <c r="H21" s="2381"/>
      <c r="I21" s="2381"/>
      <c r="J21" s="2381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K21" s="2381"/>
      <c r="L21" s="2381"/>
      <c r="M21" s="2381"/>
      <c r="N21" s="2381"/>
      <c r="O21" s="2381"/>
      <c r="P21" s="2381"/>
      <c r="Q21" s="2381"/>
      <c r="R21" s="2381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S21" s="2381"/>
      <c r="T21" s="2381"/>
      <c r="U21" s="2381"/>
      <c r="V21" s="2381"/>
      <c r="W21" s="2381"/>
      <c r="X21" s="2381"/>
      <c r="Y21" s="2381"/>
      <c r="Z21" s="2381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A21" s="2381"/>
      <c r="AB21" s="2381"/>
      <c r="AC21" s="2381"/>
      <c r="AD21" s="2381"/>
      <c r="AE21" s="2381"/>
      <c r="AF21" s="2381"/>
      <c r="AG21" s="2381"/>
      <c r="AH21" s="2381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I21" s="2381"/>
      <c r="AJ21" s="2381"/>
      <c r="AK21" s="2381"/>
      <c r="AL21" s="2381"/>
      <c r="AM21" s="2381"/>
      <c r="AN21" s="2381"/>
      <c r="AO21" s="2381"/>
      <c r="AP21" s="2381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Q21" s="2381"/>
      <c r="AR21" s="2381"/>
      <c r="AS21" s="2381"/>
      <c r="AT21" s="2381"/>
      <c r="AU21" s="2381"/>
      <c r="AV21" s="2381"/>
      <c r="AW21" s="2381"/>
      <c r="AX21" s="2381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Y21" s="2381"/>
      <c r="AZ21" s="2381"/>
      <c r="BA21" s="2381"/>
      <c r="BB21" s="2381"/>
      <c r="BC21" s="2381"/>
      <c r="BD21" s="2381"/>
      <c r="BE21" s="2381"/>
      <c r="BF21" s="2381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BG21" s="2381"/>
      <c r="BH21" s="2381"/>
      <c r="BI21" s="2381"/>
      <c r="BJ21" s="2381"/>
      <c r="BK21" s="2381"/>
      <c r="BL21" s="2381"/>
      <c r="BM21" s="2381"/>
      <c r="BN21" s="2381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BO21" s="2381"/>
      <c r="BP21" s="2381"/>
      <c r="BQ21" s="2381"/>
      <c r="BR21" s="2381"/>
      <c r="BS21" s="2381"/>
      <c r="BT21" s="2381"/>
      <c r="BU21" s="2381"/>
      <c r="BV21" s="2381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W21" s="2381"/>
      <c r="BX21" s="2381"/>
      <c r="BY21" s="2381"/>
      <c r="BZ21" s="2381"/>
      <c r="CA21" s="2381"/>
      <c r="CB21" s="2381"/>
      <c r="CC21" s="2381"/>
      <c r="CD21" s="2381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CE21" s="2381"/>
      <c r="CF21" s="2381"/>
      <c r="CG21" s="2381"/>
      <c r="CH21" s="2381"/>
      <c r="CI21" s="2381"/>
      <c r="CJ21" s="2381"/>
      <c r="CK21" s="2381"/>
      <c r="CL21" s="2381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1"/>
      <c r="CN21" s="2381"/>
      <c r="CO21" s="2381"/>
      <c r="CP21" s="2381"/>
      <c r="CQ21" s="2381"/>
      <c r="CR21" s="2381"/>
      <c r="CS21" s="2381"/>
      <c r="CT21" s="2381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1"/>
      <c r="CV21" s="2381"/>
      <c r="CW21" s="2381"/>
      <c r="CX21" s="2381"/>
      <c r="CY21" s="2381"/>
      <c r="CZ21" s="2381"/>
      <c r="DA21" s="2381"/>
      <c r="DB21" s="2381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1"/>
      <c r="DD21" s="2381"/>
      <c r="DE21" s="2381"/>
      <c r="DF21" s="2381"/>
      <c r="DG21" s="2381"/>
      <c r="DH21" s="2381"/>
      <c r="DI21" s="2381"/>
      <c r="DJ21" s="2381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1"/>
      <c r="DL21" s="2381"/>
      <c r="DM21" s="2381"/>
      <c r="DN21" s="2381"/>
      <c r="DO21" s="2381"/>
      <c r="DP21" s="2381"/>
      <c r="DQ21" s="2381"/>
      <c r="DR21" s="2381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1"/>
      <c r="DT21" s="2381"/>
      <c r="DU21" s="2381"/>
      <c r="DV21" s="2381"/>
      <c r="DW21" s="2381"/>
      <c r="DX21" s="2381"/>
      <c r="DY21" s="2381"/>
      <c r="DZ21" s="2381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1"/>
      <c r="EB21" s="2381"/>
      <c r="EC21" s="2381"/>
      <c r="ED21" s="2381"/>
      <c r="EE21" s="2381"/>
      <c r="EF21" s="2381"/>
      <c r="EG21" s="2381"/>
      <c r="EH21" s="2381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EI21" s="2381"/>
      <c r="EJ21" s="2381"/>
      <c r="EK21" s="2381"/>
      <c r="EL21" s="2381"/>
      <c r="EM21" s="2381"/>
      <c r="EN21" s="2381"/>
      <c r="EO21" s="2381"/>
      <c r="EP21" s="2381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EQ21" s="2381"/>
      <c r="ER21" s="2381"/>
      <c r="ES21" s="2381"/>
      <c r="ET21" s="2381"/>
      <c r="EU21" s="2381"/>
      <c r="EV21" s="2381"/>
      <c r="EW21" s="2381"/>
      <c r="EX21" s="2381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EY21" s="2381"/>
      <c r="EZ21" s="2381"/>
      <c r="FA21" s="2381"/>
      <c r="FB21" s="2381"/>
      <c r="FC21" s="2381"/>
      <c r="FD21" s="2381"/>
      <c r="FE21" s="2381"/>
      <c r="FF21" s="2381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FG21" s="2381"/>
      <c r="FH21" s="2381"/>
      <c r="FI21" s="2381"/>
      <c r="FJ21" s="2381"/>
      <c r="FK21" s="2381"/>
      <c r="FL21" s="2381"/>
      <c r="FM21" s="2381"/>
      <c r="FN21" s="2381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FO21" s="2381"/>
      <c r="FP21" s="2381"/>
      <c r="FQ21" s="2381"/>
      <c r="FR21" s="2381"/>
      <c r="FS21" s="2381"/>
      <c r="FT21" s="2381"/>
      <c r="FU21" s="2381"/>
      <c r="FV21" s="2381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FW21" s="2381"/>
      <c r="FX21" s="2381"/>
      <c r="FY21" s="2381"/>
      <c r="FZ21" s="2381"/>
      <c r="GA21" s="2381"/>
      <c r="GB21" s="2381"/>
      <c r="GC21" s="2381"/>
      <c r="GD21" s="2382"/>
      <c r="GE21" s="2382"/>
      <c r="GF21" s="2382"/>
      <c r="GG21" s="2382"/>
    </row>
    <row r="22" spans="1:206" ht="44.25" customHeight="1" x14ac:dyDescent="0.55000000000000004">
      <c r="A22" s="338">
        <v>8</v>
      </c>
      <c r="B22" s="2381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22" s="2381"/>
      <c r="D22" s="2381"/>
      <c r="E22" s="2381"/>
      <c r="F22" s="2381"/>
      <c r="G22" s="2381"/>
      <c r="H22" s="2381"/>
      <c r="I22" s="2381"/>
      <c r="J22" s="2381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K22" s="2381"/>
      <c r="L22" s="2381"/>
      <c r="M22" s="2381"/>
      <c r="N22" s="2381"/>
      <c r="O22" s="2381"/>
      <c r="P22" s="2381"/>
      <c r="Q22" s="2381"/>
      <c r="R22" s="2381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S22" s="2381"/>
      <c r="T22" s="2381"/>
      <c r="U22" s="2381"/>
      <c r="V22" s="2381"/>
      <c r="W22" s="2381"/>
      <c r="X22" s="2381"/>
      <c r="Y22" s="2381"/>
      <c r="Z22" s="2381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A22" s="2381"/>
      <c r="AB22" s="2381"/>
      <c r="AC22" s="2381"/>
      <c r="AD22" s="2381"/>
      <c r="AE22" s="2381"/>
      <c r="AF22" s="2381"/>
      <c r="AG22" s="2381"/>
      <c r="AH22" s="2381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I22" s="2381"/>
      <c r="AJ22" s="2381"/>
      <c r="AK22" s="2381"/>
      <c r="AL22" s="2381"/>
      <c r="AM22" s="2381"/>
      <c r="AN22" s="2381"/>
      <c r="AO22" s="2381"/>
      <c r="AP22" s="2381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Q22" s="2381"/>
      <c r="AR22" s="2381"/>
      <c r="AS22" s="2381"/>
      <c r="AT22" s="2381"/>
      <c r="AU22" s="2381"/>
      <c r="AV22" s="2381"/>
      <c r="AW22" s="2381"/>
      <c r="AX22" s="2381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Y22" s="2381"/>
      <c r="AZ22" s="2381"/>
      <c r="BA22" s="2381"/>
      <c r="BB22" s="2381"/>
      <c r="BC22" s="2381"/>
      <c r="BD22" s="2381"/>
      <c r="BE22" s="2381"/>
      <c r="BF22" s="2381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BG22" s="2381"/>
      <c r="BH22" s="2381"/>
      <c r="BI22" s="2381"/>
      <c r="BJ22" s="2381"/>
      <c r="BK22" s="2381"/>
      <c r="BL22" s="2381"/>
      <c r="BM22" s="2381"/>
      <c r="BN22" s="2381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BO22" s="2381"/>
      <c r="BP22" s="2381"/>
      <c r="BQ22" s="2381"/>
      <c r="BR22" s="2381"/>
      <c r="BS22" s="2381"/>
      <c r="BT22" s="2381"/>
      <c r="BU22" s="2381"/>
      <c r="BV22" s="2381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W22" s="2381"/>
      <c r="BX22" s="2381"/>
      <c r="BY22" s="2381"/>
      <c r="BZ22" s="2381"/>
      <c r="CA22" s="2381"/>
      <c r="CB22" s="2381"/>
      <c r="CC22" s="2381"/>
      <c r="CD22" s="2381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1"/>
      <c r="CF22" s="2381"/>
      <c r="CG22" s="2381"/>
      <c r="CH22" s="2381"/>
      <c r="CI22" s="2381"/>
      <c r="CJ22" s="2381"/>
      <c r="CK22" s="2381"/>
      <c r="CL22" s="2381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1"/>
      <c r="CN22" s="2381"/>
      <c r="CO22" s="2381"/>
      <c r="CP22" s="2381"/>
      <c r="CQ22" s="2381"/>
      <c r="CR22" s="2381"/>
      <c r="CS22" s="2381"/>
      <c r="CT22" s="2381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1"/>
      <c r="CV22" s="2381"/>
      <c r="CW22" s="2381"/>
      <c r="CX22" s="2381"/>
      <c r="CY22" s="2381"/>
      <c r="CZ22" s="2381"/>
      <c r="DA22" s="2381"/>
      <c r="DB22" s="2381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1"/>
      <c r="DD22" s="2381"/>
      <c r="DE22" s="2381"/>
      <c r="DF22" s="2381"/>
      <c r="DG22" s="2381"/>
      <c r="DH22" s="2381"/>
      <c r="DI22" s="2381"/>
      <c r="DJ22" s="2381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1"/>
      <c r="DL22" s="2381"/>
      <c r="DM22" s="2381"/>
      <c r="DN22" s="2381"/>
      <c r="DO22" s="2381"/>
      <c r="DP22" s="2381"/>
      <c r="DQ22" s="2381"/>
      <c r="DR22" s="2381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1"/>
      <c r="DT22" s="2381"/>
      <c r="DU22" s="2381"/>
      <c r="DV22" s="2381"/>
      <c r="DW22" s="2381"/>
      <c r="DX22" s="2381"/>
      <c r="DY22" s="2381"/>
      <c r="DZ22" s="2381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1"/>
      <c r="EB22" s="2381"/>
      <c r="EC22" s="2381"/>
      <c r="ED22" s="2381"/>
      <c r="EE22" s="2381"/>
      <c r="EF22" s="2381"/>
      <c r="EG22" s="2381"/>
      <c r="EH22" s="2381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EI22" s="2381"/>
      <c r="EJ22" s="2381"/>
      <c r="EK22" s="2381"/>
      <c r="EL22" s="2381"/>
      <c r="EM22" s="2381"/>
      <c r="EN22" s="2381"/>
      <c r="EO22" s="2381"/>
      <c r="EP22" s="2381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EQ22" s="2381"/>
      <c r="ER22" s="2381"/>
      <c r="ES22" s="2381"/>
      <c r="ET22" s="2381"/>
      <c r="EU22" s="2381"/>
      <c r="EV22" s="2381"/>
      <c r="EW22" s="2381"/>
      <c r="EX22" s="2381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EY22" s="2381"/>
      <c r="EZ22" s="2381"/>
      <c r="FA22" s="2381"/>
      <c r="FB22" s="2381"/>
      <c r="FC22" s="2381"/>
      <c r="FD22" s="2381"/>
      <c r="FE22" s="2381"/>
      <c r="FF22" s="2381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FG22" s="2381"/>
      <c r="FH22" s="2381"/>
      <c r="FI22" s="2381"/>
      <c r="FJ22" s="2381"/>
      <c r="FK22" s="2381"/>
      <c r="FL22" s="2381"/>
      <c r="FM22" s="2381"/>
      <c r="FN22" s="2381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FO22" s="2381"/>
      <c r="FP22" s="2381"/>
      <c r="FQ22" s="2381"/>
      <c r="FR22" s="2381"/>
      <c r="FS22" s="2381"/>
      <c r="FT22" s="2381"/>
      <c r="FU22" s="2381"/>
      <c r="FV22" s="2381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FW22" s="2381"/>
      <c r="FX22" s="2381"/>
      <c r="FY22" s="2381"/>
      <c r="FZ22" s="2381"/>
      <c r="GA22" s="2381"/>
      <c r="GB22" s="2381"/>
      <c r="GC22" s="2381"/>
      <c r="GD22" s="2382"/>
      <c r="GE22" s="2382"/>
      <c r="GF22" s="2382"/>
      <c r="GG22" s="2382"/>
    </row>
    <row r="23" spans="1:206" ht="44.25" customHeight="1" x14ac:dyDescent="0.55000000000000004">
      <c r="A23" s="338">
        <v>9</v>
      </c>
      <c r="B23" s="2381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1"/>
      <c r="D23" s="2381"/>
      <c r="E23" s="2381"/>
      <c r="F23" s="2381"/>
      <c r="G23" s="2381"/>
      <c r="H23" s="2381"/>
      <c r="I23" s="2381"/>
      <c r="J23" s="2381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1"/>
      <c r="L23" s="2381"/>
      <c r="M23" s="2381"/>
      <c r="N23" s="2381"/>
      <c r="O23" s="2381"/>
      <c r="P23" s="2381"/>
      <c r="Q23" s="2381"/>
      <c r="R23" s="2381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1"/>
      <c r="T23" s="2381"/>
      <c r="U23" s="2381"/>
      <c r="V23" s="2381"/>
      <c r="W23" s="2381"/>
      <c r="X23" s="2381"/>
      <c r="Y23" s="2381"/>
      <c r="Z23" s="2381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1"/>
      <c r="AB23" s="2381"/>
      <c r="AC23" s="2381"/>
      <c r="AD23" s="2381"/>
      <c r="AE23" s="2381"/>
      <c r="AF23" s="2381"/>
      <c r="AG23" s="2381"/>
      <c r="AH23" s="2381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1"/>
      <c r="AJ23" s="2381"/>
      <c r="AK23" s="2381"/>
      <c r="AL23" s="2381"/>
      <c r="AM23" s="2381"/>
      <c r="AN23" s="2381"/>
      <c r="AO23" s="2381"/>
      <c r="AP23" s="2381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1"/>
      <c r="AR23" s="2381"/>
      <c r="AS23" s="2381"/>
      <c r="AT23" s="2381"/>
      <c r="AU23" s="2381"/>
      <c r="AV23" s="2381"/>
      <c r="AW23" s="2381"/>
      <c r="AX23" s="2381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1"/>
      <c r="AZ23" s="2381"/>
      <c r="BA23" s="2381"/>
      <c r="BB23" s="2381"/>
      <c r="BC23" s="2381"/>
      <c r="BD23" s="2381"/>
      <c r="BE23" s="2381"/>
      <c r="BF23" s="2381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1"/>
      <c r="BH23" s="2381"/>
      <c r="BI23" s="2381"/>
      <c r="BJ23" s="2381"/>
      <c r="BK23" s="2381"/>
      <c r="BL23" s="2381"/>
      <c r="BM23" s="2381"/>
      <c r="BN23" s="2381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1"/>
      <c r="BP23" s="2381"/>
      <c r="BQ23" s="2381"/>
      <c r="BR23" s="2381"/>
      <c r="BS23" s="2381"/>
      <c r="BT23" s="2381"/>
      <c r="BU23" s="2381"/>
      <c r="BV23" s="2381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1"/>
      <c r="BX23" s="2381"/>
      <c r="BY23" s="2381"/>
      <c r="BZ23" s="2381"/>
      <c r="CA23" s="2381"/>
      <c r="CB23" s="2381"/>
      <c r="CC23" s="2381"/>
      <c r="CD23" s="2381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1"/>
      <c r="CF23" s="2381"/>
      <c r="CG23" s="2381"/>
      <c r="CH23" s="2381"/>
      <c r="CI23" s="2381"/>
      <c r="CJ23" s="2381"/>
      <c r="CK23" s="2381"/>
      <c r="CL23" s="2381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1"/>
      <c r="CN23" s="2381"/>
      <c r="CO23" s="2381"/>
      <c r="CP23" s="2381"/>
      <c r="CQ23" s="2381"/>
      <c r="CR23" s="2381"/>
      <c r="CS23" s="2381"/>
      <c r="CT23" s="2381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1"/>
      <c r="CV23" s="2381"/>
      <c r="CW23" s="2381"/>
      <c r="CX23" s="2381"/>
      <c r="CY23" s="2381"/>
      <c r="CZ23" s="2381"/>
      <c r="DA23" s="2381"/>
      <c r="DB23" s="2381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1"/>
      <c r="DD23" s="2381"/>
      <c r="DE23" s="2381"/>
      <c r="DF23" s="2381"/>
      <c r="DG23" s="2381"/>
      <c r="DH23" s="2381"/>
      <c r="DI23" s="2381"/>
      <c r="DJ23" s="2381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1"/>
      <c r="DL23" s="2381"/>
      <c r="DM23" s="2381"/>
      <c r="DN23" s="2381"/>
      <c r="DO23" s="2381"/>
      <c r="DP23" s="2381"/>
      <c r="DQ23" s="2381"/>
      <c r="DR23" s="2381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1"/>
      <c r="DT23" s="2381"/>
      <c r="DU23" s="2381"/>
      <c r="DV23" s="2381"/>
      <c r="DW23" s="2381"/>
      <c r="DX23" s="2381"/>
      <c r="DY23" s="2381"/>
      <c r="DZ23" s="2381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1"/>
      <c r="EB23" s="2381"/>
      <c r="EC23" s="2381"/>
      <c r="ED23" s="2381"/>
      <c r="EE23" s="2381"/>
      <c r="EF23" s="2381"/>
      <c r="EG23" s="2381"/>
      <c r="EH23" s="2381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1"/>
      <c r="EJ23" s="2381"/>
      <c r="EK23" s="2381"/>
      <c r="EL23" s="2381"/>
      <c r="EM23" s="2381"/>
      <c r="EN23" s="2381"/>
      <c r="EO23" s="2381"/>
      <c r="EP23" s="2381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1"/>
      <c r="ER23" s="2381"/>
      <c r="ES23" s="2381"/>
      <c r="ET23" s="2381"/>
      <c r="EU23" s="2381"/>
      <c r="EV23" s="2381"/>
      <c r="EW23" s="2381"/>
      <c r="EX23" s="2381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1"/>
      <c r="EZ23" s="2381"/>
      <c r="FA23" s="2381"/>
      <c r="FB23" s="2381"/>
      <c r="FC23" s="2381"/>
      <c r="FD23" s="2381"/>
      <c r="FE23" s="2381"/>
      <c r="FF23" s="2381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1"/>
      <c r="FH23" s="2381"/>
      <c r="FI23" s="2381"/>
      <c r="FJ23" s="2381"/>
      <c r="FK23" s="2381"/>
      <c r="FL23" s="2381"/>
      <c r="FM23" s="2381"/>
      <c r="FN23" s="2381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1"/>
      <c r="FP23" s="2381"/>
      <c r="FQ23" s="2381"/>
      <c r="FR23" s="2381"/>
      <c r="FS23" s="2381"/>
      <c r="FT23" s="2381"/>
      <c r="FU23" s="2381"/>
      <c r="FV23" s="2381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1"/>
      <c r="FX23" s="2381"/>
      <c r="FY23" s="2381"/>
      <c r="FZ23" s="2381"/>
      <c r="GA23" s="2381"/>
      <c r="GB23" s="2381"/>
      <c r="GC23" s="2381"/>
      <c r="GD23" s="1248"/>
      <c r="GE23" s="1248"/>
      <c r="GF23" s="1248"/>
      <c r="GG23" s="1248"/>
    </row>
    <row r="24" spans="1:206" ht="44.25" customHeight="1" x14ac:dyDescent="0.35">
      <c r="A24" s="339"/>
      <c r="B24" s="2379" t="str">
        <f>IF(Data!$GI$2&lt;&gt;"","X1: "&amp; Data!$GI$2, " ")</f>
        <v>X1: 1613 CT182 0.018"</v>
      </c>
      <c r="C24" s="2379"/>
      <c r="D24" s="2379"/>
      <c r="E24" s="2379"/>
      <c r="F24" s="2379"/>
      <c r="G24" s="2379"/>
      <c r="H24" s="2379"/>
      <c r="I24" s="2379"/>
      <c r="J24" s="2379"/>
      <c r="K24" s="2379"/>
      <c r="L24" s="2379"/>
      <c r="M24" s="2379"/>
      <c r="N24" s="2379"/>
      <c r="O24" s="2379"/>
      <c r="P24" s="2379"/>
      <c r="Q24" s="2379"/>
      <c r="R24" s="2379"/>
      <c r="S24" s="2379"/>
      <c r="T24" s="2379"/>
      <c r="U24" s="2379"/>
      <c r="V24" s="2379"/>
      <c r="W24" s="2379"/>
      <c r="X24" s="2379"/>
      <c r="Y24" s="2379"/>
      <c r="Z24" s="2379"/>
      <c r="AA24" s="2379"/>
      <c r="AB24" s="2379"/>
      <c r="AC24" s="2379" t="str">
        <f>IF(Data!$GI$3&lt;&gt;"","X2: "&amp; Data!$GI$3, " ")</f>
        <v>X2: 1608 CT200 0.018"</v>
      </c>
      <c r="AD24" s="2379"/>
      <c r="AE24" s="2379"/>
      <c r="AF24" s="2379"/>
      <c r="AG24" s="2379"/>
      <c r="AH24" s="2379"/>
      <c r="AI24" s="2379"/>
      <c r="AJ24" s="2379"/>
      <c r="AK24" s="2379"/>
      <c r="AL24" s="2379"/>
      <c r="AM24" s="2379"/>
      <c r="AN24" s="2379"/>
      <c r="AO24" s="2379"/>
      <c r="AP24" s="2379"/>
      <c r="AQ24" s="2379"/>
      <c r="AR24" s="2379"/>
      <c r="AS24" s="2379"/>
      <c r="AT24" s="2379"/>
      <c r="AU24" s="2379"/>
      <c r="AV24" s="2379"/>
      <c r="AW24" s="2379"/>
      <c r="AX24" s="2379"/>
      <c r="AY24" s="2379"/>
      <c r="AZ24" s="2379"/>
      <c r="BA24" s="2379"/>
      <c r="BB24" s="2379"/>
      <c r="BC24" s="2379"/>
      <c r="BD24" s="2379" t="str">
        <f>IF(Data!$GI$4&lt;&gt;"","X3: "&amp; Data!$GI$4, " ")</f>
        <v xml:space="preserve">X3: 1308 CT31 Drop in </v>
      </c>
      <c r="BE24" s="2379"/>
      <c r="BF24" s="2379"/>
      <c r="BG24" s="2379"/>
      <c r="BH24" s="2379"/>
      <c r="BI24" s="2379"/>
      <c r="BJ24" s="2379"/>
      <c r="BK24" s="2379"/>
      <c r="BL24" s="2379"/>
      <c r="BM24" s="2379"/>
      <c r="BN24" s="2379"/>
      <c r="BO24" s="2379"/>
      <c r="BP24" s="2379"/>
      <c r="BQ24" s="2379"/>
      <c r="BR24" s="2379"/>
      <c r="BS24" s="2379"/>
      <c r="BT24" s="2379"/>
      <c r="BU24" s="2379"/>
      <c r="BV24" s="2379"/>
      <c r="BW24" s="2379"/>
      <c r="BX24" s="2379"/>
      <c r="BY24" s="2379"/>
      <c r="BZ24" s="2379"/>
      <c r="CA24" s="2379"/>
      <c r="CB24" s="2379"/>
      <c r="CC24" s="2379"/>
      <c r="CD24" s="2379"/>
      <c r="CE24" s="2379" t="str">
        <f>IF(Data!$GI$5&lt;&gt;"","X4: "&amp; Data!$GI$5, " ")</f>
        <v xml:space="preserve"> </v>
      </c>
      <c r="CF24" s="2379"/>
      <c r="CG24" s="2379"/>
      <c r="CH24" s="2379"/>
      <c r="CI24" s="2379"/>
      <c r="CJ24" s="2379"/>
      <c r="CK24" s="2379"/>
      <c r="CL24" s="2379"/>
      <c r="CM24" s="2379"/>
      <c r="CN24" s="2379"/>
      <c r="CO24" s="2379"/>
      <c r="CP24" s="2379"/>
      <c r="CQ24" s="2379"/>
      <c r="CR24" s="2379"/>
      <c r="CS24" s="2379"/>
      <c r="CT24" s="2379"/>
      <c r="CU24" s="2379"/>
      <c r="CV24" s="2379"/>
      <c r="CW24" s="2379"/>
      <c r="CX24" s="2379"/>
      <c r="CY24" s="2379"/>
      <c r="CZ24" s="2379"/>
      <c r="DA24" s="2379"/>
      <c r="DB24" s="2379"/>
      <c r="DC24" s="2379"/>
      <c r="DD24" s="2379"/>
      <c r="DE24" s="2379"/>
      <c r="DF24" s="2379" t="str">
        <f>IF(Data!$GI$6&lt;&gt;"","X5: "&amp; Data!$GI$6, " ")</f>
        <v xml:space="preserve"> </v>
      </c>
      <c r="DG24" s="2379"/>
      <c r="DH24" s="2379"/>
      <c r="DI24" s="2379"/>
      <c r="DJ24" s="2379"/>
      <c r="DK24" s="2379"/>
      <c r="DL24" s="2379"/>
      <c r="DM24" s="2379"/>
      <c r="DN24" s="2379"/>
      <c r="DO24" s="2379"/>
      <c r="DP24" s="2379"/>
      <c r="DQ24" s="2379"/>
      <c r="DR24" s="2379"/>
      <c r="DS24" s="2379"/>
      <c r="DT24" s="2379"/>
      <c r="DU24" s="2379"/>
      <c r="DV24" s="2379"/>
      <c r="DW24" s="2379"/>
      <c r="DX24" s="2379"/>
      <c r="DY24" s="2379"/>
      <c r="DZ24" s="2379"/>
      <c r="EA24" s="2379"/>
      <c r="EB24" s="2379"/>
      <c r="EC24" s="2379"/>
      <c r="ED24" s="2379"/>
      <c r="EE24" s="2379"/>
      <c r="EF24" s="2379"/>
      <c r="EG24" s="2379" t="str">
        <f>IF(Data!$GI$7&lt;&gt;"","X6: "&amp; Data!$GI$7, " ")</f>
        <v xml:space="preserve"> </v>
      </c>
      <c r="EH24" s="2379"/>
      <c r="EI24" s="2379"/>
      <c r="EJ24" s="2379"/>
      <c r="EK24" s="2379"/>
      <c r="EL24" s="2379"/>
      <c r="EM24" s="2379"/>
      <c r="EN24" s="2379"/>
      <c r="EO24" s="2379"/>
      <c r="EP24" s="2379"/>
      <c r="EQ24" s="2379"/>
      <c r="ER24" s="2379"/>
      <c r="ES24" s="2379"/>
      <c r="ET24" s="2379"/>
      <c r="EU24" s="2379"/>
      <c r="EV24" s="2379"/>
      <c r="EW24" s="2379"/>
      <c r="EX24" s="2379"/>
      <c r="EY24" s="2379"/>
      <c r="EZ24" s="2379"/>
      <c r="FA24" s="2379"/>
      <c r="FB24" s="2379"/>
      <c r="FC24" s="2379"/>
      <c r="FD24" s="2379"/>
      <c r="FE24" s="2379"/>
      <c r="FF24" s="2379"/>
      <c r="FG24" s="2379"/>
      <c r="FH24" s="2379" t="str">
        <f>IF(Data!$GI$8&lt;&gt;"","X7: "&amp; Data!$GI$8, " ")</f>
        <v xml:space="preserve"> </v>
      </c>
      <c r="FI24" s="2379"/>
      <c r="FJ24" s="2379"/>
      <c r="FK24" s="2379"/>
      <c r="FL24" s="2379"/>
      <c r="FM24" s="2379"/>
      <c r="FN24" s="2379"/>
      <c r="FO24" s="2379"/>
      <c r="FP24" s="2379"/>
      <c r="FQ24" s="2379"/>
      <c r="FR24" s="2379"/>
      <c r="FS24" s="2379"/>
      <c r="FT24" s="2379"/>
      <c r="FU24" s="2379"/>
      <c r="FV24" s="2379"/>
      <c r="FW24" s="2379"/>
      <c r="FX24" s="2379"/>
      <c r="FY24" s="2379"/>
      <c r="FZ24" s="2379"/>
      <c r="GA24" s="2379"/>
      <c r="GB24" s="2379"/>
      <c r="GC24" s="2379"/>
      <c r="GD24" s="2379"/>
      <c r="GE24" s="2379"/>
      <c r="GF24" s="2379"/>
      <c r="GG24" s="2379"/>
      <c r="GH24" s="159"/>
    </row>
    <row r="25" spans="1:206" ht="47.25" customHeight="1" x14ac:dyDescent="0.35">
      <c r="B25" s="1248"/>
      <c r="C25" s="1248"/>
      <c r="D25" s="1248"/>
      <c r="E25" s="1248"/>
      <c r="F25" s="1248"/>
      <c r="G25" s="1248"/>
      <c r="H25" s="2385" t="str">
        <f>IF(Data!$B$1&lt;&gt;"", Data!$B$1, " ")</f>
        <v>2025-AR-109</v>
      </c>
      <c r="I25" s="2385"/>
      <c r="J25" s="2385"/>
      <c r="K25" s="2385"/>
      <c r="L25" s="2385"/>
      <c r="M25" s="2385"/>
      <c r="N25" s="2385"/>
      <c r="O25" s="2385"/>
      <c r="P25" s="2385"/>
      <c r="Q25" s="2385"/>
      <c r="R25" s="2385"/>
      <c r="S25" s="2385"/>
      <c r="T25" s="2385"/>
      <c r="U25" s="2385"/>
      <c r="V25" s="2385"/>
      <c r="W25" s="2385"/>
      <c r="X25" s="2385"/>
      <c r="Y25" s="2385"/>
      <c r="Z25" s="2385"/>
      <c r="AA25" s="2385"/>
      <c r="AB25" s="2385"/>
      <c r="AC25" s="2385"/>
      <c r="AD25" s="2385"/>
      <c r="AE25" s="2385"/>
      <c r="AF25" s="2385"/>
      <c r="AG25" s="2385"/>
      <c r="AH25" s="2385"/>
      <c r="AI25" s="2385"/>
      <c r="AJ25" s="2385"/>
      <c r="AK25" s="2385"/>
      <c r="AL25" s="2385"/>
      <c r="AM25" s="2385"/>
      <c r="AN25" s="2385"/>
      <c r="AO25" s="2385"/>
      <c r="AP25" s="2385"/>
      <c r="AQ25" s="2385"/>
      <c r="AR25" s="2385"/>
      <c r="AS25" s="2385"/>
      <c r="AT25" s="2385"/>
      <c r="AU25" s="2385"/>
      <c r="AV25" s="2385"/>
      <c r="AW25" s="2385"/>
      <c r="AX25" s="2385"/>
      <c r="AY25" s="2385">
        <f>IF(Data!$B$2&lt;&gt;"", Data!$B$2, " ")</f>
        <v>13845937</v>
      </c>
      <c r="AZ25" s="2385"/>
      <c r="BA25" s="2385"/>
      <c r="BB25" s="2385"/>
      <c r="BC25" s="2385"/>
      <c r="BD25" s="2385"/>
      <c r="BE25" s="2385"/>
      <c r="BF25" s="2385"/>
      <c r="BG25" s="2385"/>
      <c r="BH25" s="2385"/>
      <c r="BI25" s="2385"/>
      <c r="BJ25" s="2385"/>
      <c r="BK25" s="2385"/>
      <c r="BL25" s="2385"/>
      <c r="BM25" s="2385"/>
      <c r="BN25" s="2385"/>
      <c r="BO25" s="2385"/>
      <c r="BP25" s="2385"/>
      <c r="BQ25" s="2385"/>
      <c r="BR25" s="2385"/>
      <c r="BS25" s="2385"/>
      <c r="BT25" s="2385"/>
      <c r="BU25" s="2385"/>
      <c r="BV25" s="2385"/>
      <c r="BW25" s="2385"/>
      <c r="BX25" s="2385"/>
      <c r="BY25" s="2385"/>
      <c r="BZ25" s="2385"/>
      <c r="CA25" s="2385"/>
      <c r="CB25" s="2385"/>
      <c r="CC25" s="2385"/>
      <c r="CD25" s="2385"/>
      <c r="CE25" s="2385"/>
      <c r="CF25" s="2385"/>
      <c r="CG25" s="2385"/>
      <c r="CH25" s="2385"/>
      <c r="CI25" s="2385"/>
      <c r="CJ25" s="2385"/>
      <c r="CK25" s="2385"/>
      <c r="CL25" s="2385"/>
      <c r="CM25" s="2385"/>
      <c r="CN25" s="2385"/>
      <c r="CO25" s="2385"/>
      <c r="CP25" s="2385"/>
      <c r="CQ25" s="2385"/>
      <c r="CR25" s="2385"/>
      <c r="CS25" s="2385"/>
      <c r="CT25" s="2385"/>
      <c r="CU25" s="2385"/>
      <c r="CV25" s="2385"/>
      <c r="CW25" s="2385"/>
      <c r="CX25" s="2385"/>
      <c r="CY25" s="2385"/>
      <c r="CZ25" s="2385" t="str">
        <f>IF(Data!$B$4&lt;&gt;"",Data!$B$4," ")</f>
        <v>MM65DH-1</v>
      </c>
      <c r="DA25" s="2385"/>
      <c r="DB25" s="2385"/>
      <c r="DC25" s="2385"/>
      <c r="DD25" s="2385"/>
      <c r="DE25" s="2385"/>
      <c r="DF25" s="2385"/>
      <c r="DG25" s="2385"/>
      <c r="DH25" s="2385"/>
      <c r="DI25" s="2385"/>
      <c r="DJ25" s="2385"/>
      <c r="DK25" s="2385"/>
      <c r="DL25" s="2385"/>
      <c r="DM25" s="2385"/>
      <c r="DN25" s="2385"/>
      <c r="DO25" s="2385"/>
      <c r="DP25" s="2385"/>
      <c r="DQ25" s="2385"/>
      <c r="DR25" s="2385"/>
      <c r="DS25" s="2385"/>
      <c r="DT25" s="2385"/>
      <c r="DU25" s="2385"/>
      <c r="DV25" s="2385"/>
      <c r="DW25" s="2385"/>
      <c r="DX25" s="2385"/>
      <c r="DY25" s="2385"/>
      <c r="DZ25" s="2385"/>
      <c r="EA25" s="2385"/>
      <c r="EB25" s="2385"/>
      <c r="EC25" s="2385"/>
      <c r="ED25" s="2385"/>
      <c r="EE25" s="2385"/>
      <c r="EF25" s="2385" t="str">
        <f>IF(LEN(Data!B3)&gt;3,IF(AND(Data!B43&lt;&gt;"",Data!B43&lt;&gt;"0 0/1"""),Data!B43,""),IF(Data!B3&lt;&gt;"",Data!B3,""))</f>
        <v>8 3/8"</v>
      </c>
      <c r="EG25" s="2385"/>
      <c r="EH25" s="2385"/>
      <c r="EI25" s="2385"/>
      <c r="EJ25" s="2385"/>
      <c r="EK25" s="2385"/>
      <c r="EL25" s="2385"/>
      <c r="EM25" s="2385"/>
      <c r="EN25" s="2385"/>
      <c r="EO25" s="2385"/>
      <c r="EP25" s="2385"/>
      <c r="EQ25" s="2385"/>
      <c r="ER25" s="2385"/>
      <c r="ES25" s="2385"/>
      <c r="ET25" s="2385"/>
      <c r="EU25" s="2385"/>
      <c r="EV25" s="2385"/>
      <c r="EW25" s="2385"/>
      <c r="EX25" s="2385"/>
      <c r="EY25" s="2385"/>
      <c r="EZ25" s="2385"/>
      <c r="FA25" s="2385"/>
      <c r="FB25" s="2385"/>
      <c r="FC25" s="2385"/>
      <c r="FD25" s="2385"/>
      <c r="FE25" s="2385"/>
      <c r="FF25" s="2385"/>
      <c r="FG25" s="2385"/>
      <c r="FH25" s="2385"/>
      <c r="FI25" s="2385"/>
      <c r="FJ25" s="2385"/>
      <c r="FK25" s="2385"/>
      <c r="FL25" s="1248"/>
      <c r="FM25" s="1248"/>
      <c r="FN25" s="1248"/>
      <c r="FO25" s="1248"/>
      <c r="FP25" s="1248"/>
      <c r="FQ25" s="1248"/>
      <c r="FR25" s="1248"/>
      <c r="FS25" s="1248"/>
      <c r="FT25" s="1248"/>
      <c r="FU25" s="1248"/>
      <c r="FV25" s="1248"/>
      <c r="FW25" s="1248"/>
      <c r="FX25" s="1248"/>
      <c r="FY25" s="1248"/>
      <c r="FZ25" s="1248"/>
      <c r="GA25" s="1248"/>
      <c r="GB25" s="1248"/>
      <c r="GC25" s="1248"/>
      <c r="GD25" s="1248"/>
      <c r="GE25" s="1248"/>
      <c r="GF25" s="1248"/>
      <c r="GG25" s="1248"/>
    </row>
    <row r="26" spans="1:206" ht="46.5" customHeight="1" x14ac:dyDescent="0.35">
      <c r="B26" s="2384">
        <f>IF(Data!$BR$44&lt;&gt;"",Data!$BR$44, "")</f>
        <v>1</v>
      </c>
      <c r="C26" s="2384"/>
      <c r="D26" s="2384"/>
      <c r="E26" s="2384"/>
      <c r="F26" s="2384"/>
      <c r="G26" s="2384"/>
      <c r="H26" s="2384">
        <f>IF(Data!$BS$44&lt;&gt;"",Data!$BS$44, "")</f>
        <v>2</v>
      </c>
      <c r="I26" s="2384"/>
      <c r="J26" s="2384"/>
      <c r="K26" s="2384"/>
      <c r="L26" s="2384"/>
      <c r="M26" s="2384"/>
      <c r="N26" s="2384">
        <f>IF(Data!$BT$44&lt;&gt;"", Data!$BT$44, "")</f>
        <v>3</v>
      </c>
      <c r="O26" s="2384"/>
      <c r="P26" s="2384"/>
      <c r="Q26" s="2384"/>
      <c r="R26" s="2384"/>
      <c r="S26" s="2384"/>
      <c r="T26" s="2384">
        <f>IF(Data!$BU$44&lt;&gt;"", Data!$BU$44, "")</f>
        <v>4</v>
      </c>
      <c r="U26" s="2384"/>
      <c r="V26" s="2384"/>
      <c r="W26" s="2384"/>
      <c r="X26" s="2384"/>
      <c r="Y26" s="2384"/>
      <c r="Z26" s="2384">
        <f>IF(Data!$BV$44&lt;&gt;"",Data!$BV$44, "")</f>
        <v>5</v>
      </c>
      <c r="AA26" s="2384"/>
      <c r="AB26" s="2384"/>
      <c r="AC26" s="2384"/>
      <c r="AD26" s="2384"/>
      <c r="AE26" s="2384"/>
      <c r="AF26" s="2384">
        <f>IF(Data!$BW$44&lt;&gt;"",Data!$BW$44, "")</f>
        <v>6</v>
      </c>
      <c r="AG26" s="2384"/>
      <c r="AH26" s="2384"/>
      <c r="AI26" s="2384"/>
      <c r="AJ26" s="2384"/>
      <c r="AK26" s="2384"/>
      <c r="AL26" s="2384">
        <f>IF(Data!$BX$44&lt;&gt;"", Data!$BX$44, "")</f>
        <v>7</v>
      </c>
      <c r="AM26" s="2384"/>
      <c r="AN26" s="2384"/>
      <c r="AO26" s="2384"/>
      <c r="AP26" s="2384"/>
      <c r="AQ26" s="2384"/>
      <c r="AR26" s="2384">
        <f>IF(Data!$BY$44&lt;&gt;"", Data!$BY$44, "")</f>
        <v>8</v>
      </c>
      <c r="AS26" s="2384"/>
      <c r="AT26" s="2384"/>
      <c r="AU26" s="2384"/>
      <c r="AV26" s="2384"/>
      <c r="AW26" s="2384"/>
      <c r="AX26" s="2384">
        <f>IF(Data!$BZ$44&lt;&gt;"", Data!$BZ$44, "")</f>
        <v>0</v>
      </c>
      <c r="AY26" s="2384"/>
      <c r="AZ26" s="2384"/>
      <c r="BA26" s="2384"/>
      <c r="BB26" s="2384"/>
      <c r="BC26" s="2384"/>
      <c r="BD26" s="2384">
        <f>IF(Data!$CA$44&lt;&gt;"", Data!$CA$44, "")</f>
        <v>9</v>
      </c>
      <c r="BE26" s="2384"/>
      <c r="BF26" s="2384"/>
      <c r="BG26" s="2384"/>
      <c r="BH26" s="2384"/>
      <c r="BI26" s="2384"/>
      <c r="BJ26" s="2384">
        <f>IF(Data!$CB$44&lt;&gt;"", Data!$CB$44, "")</f>
        <v>10</v>
      </c>
      <c r="BK26" s="2384"/>
      <c r="BL26" s="2384"/>
      <c r="BM26" s="2384"/>
      <c r="BN26" s="2384"/>
      <c r="BO26" s="2384"/>
      <c r="BP26" s="2384">
        <f>IF(Data!$CC$44&lt;&gt;"", Data!$CC$44, "")</f>
        <v>11</v>
      </c>
      <c r="BQ26" s="2384"/>
      <c r="BR26" s="2384"/>
      <c r="BS26" s="2384"/>
      <c r="BT26" s="2384"/>
      <c r="BU26" s="2384"/>
      <c r="BV26" s="2384">
        <f>IF(Data!$CD$44&lt;&gt;"",Data!$CD$44, "")</f>
        <v>12</v>
      </c>
      <c r="BW26" s="2384"/>
      <c r="BX26" s="2384"/>
      <c r="BY26" s="2384"/>
      <c r="BZ26" s="2384"/>
      <c r="CA26" s="2384"/>
      <c r="CB26" s="2384">
        <f>IF(Data!$CE$44&lt;&gt;"",Data!$CE$44, "")</f>
        <v>0</v>
      </c>
      <c r="CC26" s="2384"/>
      <c r="CD26" s="2384"/>
      <c r="CE26" s="2384"/>
      <c r="CF26" s="2384"/>
      <c r="CG26" s="2384"/>
      <c r="CH26" s="2384">
        <f>IF(Data!$CF$44&lt;&gt;"",Data!$CF$44, "")</f>
        <v>0</v>
      </c>
      <c r="CI26" s="2384"/>
      <c r="CJ26" s="2384"/>
      <c r="CK26" s="2384"/>
      <c r="CL26" s="2384"/>
      <c r="CM26" s="2384"/>
      <c r="CN26" s="2384">
        <f>IF(Data!$CG$44&lt;&gt;"",Data!$CG$44, "")</f>
        <v>0</v>
      </c>
      <c r="CO26" s="2384"/>
      <c r="CP26" s="2384"/>
      <c r="CQ26" s="2384"/>
      <c r="CR26" s="2384"/>
      <c r="CS26" s="2384"/>
      <c r="CT26" s="2384">
        <f>IF(Data!$CH$44&lt;&gt;"",Data!$CH$44, "")</f>
        <v>0</v>
      </c>
      <c r="CU26" s="2384"/>
      <c r="CV26" s="2384"/>
      <c r="CW26" s="2384"/>
      <c r="CX26" s="2384"/>
      <c r="CY26" s="2384"/>
      <c r="CZ26" s="2384">
        <f>IF(Data!$CI$44&lt;&gt;"",Data!$CI$44, "")</f>
        <v>0</v>
      </c>
      <c r="DA26" s="2384"/>
      <c r="DB26" s="2384"/>
      <c r="DC26" s="2384"/>
      <c r="DD26" s="2384"/>
      <c r="DE26" s="2384"/>
      <c r="DF26" s="2384">
        <f>IF(Data!$CJ$44&lt;&gt;"",Data!$CJ$44, "")</f>
        <v>0</v>
      </c>
      <c r="DG26" s="2384"/>
      <c r="DH26" s="2384"/>
      <c r="DI26" s="2384"/>
      <c r="DJ26" s="2384"/>
      <c r="DK26" s="2384"/>
      <c r="DL26" s="2384">
        <f>IF(Data!$CK$44&lt;&gt;"",Data!$CK$44, "")</f>
        <v>0</v>
      </c>
      <c r="DM26" s="2384"/>
      <c r="DN26" s="2384"/>
      <c r="DO26" s="2384"/>
      <c r="DP26" s="2384"/>
      <c r="DQ26" s="2384"/>
      <c r="DR26" s="2384">
        <f>IF(Data!$CL$44&lt;&gt;"",Data!$CL$44, "")</f>
        <v>0</v>
      </c>
      <c r="DS26" s="2384"/>
      <c r="DT26" s="2384"/>
      <c r="DU26" s="2384"/>
      <c r="DV26" s="2384"/>
      <c r="DW26" s="2384"/>
      <c r="DX26" s="2384">
        <f>IF(Data!$CM$44&lt;&gt;"",Data!$CM$44, "")</f>
        <v>0</v>
      </c>
      <c r="DY26" s="2384"/>
      <c r="DZ26" s="2384"/>
      <c r="EA26" s="2384"/>
      <c r="EB26" s="2384"/>
      <c r="EC26" s="2384"/>
      <c r="ED26" s="2384">
        <f>IF(Data!$CN$44&lt;&gt;"",Data!$CN$44, "")</f>
        <v>0</v>
      </c>
      <c r="EE26" s="2384"/>
      <c r="EF26" s="2384"/>
      <c r="EG26" s="2384"/>
      <c r="EH26" s="2384"/>
      <c r="EI26" s="2384"/>
      <c r="EJ26" s="2384">
        <f>IF(Data!$CO$44&lt;&gt;"",Data!$CO$44, "")</f>
        <v>0</v>
      </c>
      <c r="EK26" s="2384"/>
      <c r="EL26" s="2384"/>
      <c r="EM26" s="2384"/>
      <c r="EN26" s="2384"/>
      <c r="EO26" s="2384"/>
      <c r="EP26" s="2384">
        <f>IF(Data!$CP$44&lt;&gt;"",Data!$CP$44, "")</f>
        <v>0</v>
      </c>
      <c r="EQ26" s="2384"/>
      <c r="ER26" s="2384"/>
      <c r="ES26" s="2384"/>
      <c r="ET26" s="2384"/>
      <c r="EU26" s="2384"/>
      <c r="EV26" s="2384">
        <f>IF(Data!$CQ$44&lt;&gt;"",Data!$CQ$44, "")</f>
        <v>0</v>
      </c>
      <c r="EW26" s="2384"/>
      <c r="EX26" s="2384"/>
      <c r="EY26" s="2384"/>
      <c r="EZ26" s="2384"/>
      <c r="FA26" s="2384"/>
      <c r="FB26" s="2384">
        <f>IF(Data!$CR$44&lt;&gt;"",Data!$CR$44, "")</f>
        <v>0</v>
      </c>
      <c r="FC26" s="2384"/>
      <c r="FD26" s="2384"/>
      <c r="FE26" s="2384"/>
      <c r="FF26" s="2384"/>
      <c r="FG26" s="2384"/>
      <c r="FH26" s="2384">
        <f>IF(Data!$CS$44&lt;&gt;"",Data!$CS$44, "")</f>
        <v>0</v>
      </c>
      <c r="FI26" s="2384"/>
      <c r="FJ26" s="2384"/>
      <c r="FK26" s="2384"/>
      <c r="FL26" s="2384"/>
      <c r="FM26" s="2384"/>
      <c r="FN26" s="2384">
        <f>IF(Data!$CT$44&lt;&gt;"",Data!$CT$44, "")</f>
        <v>0</v>
      </c>
      <c r="FO26" s="2384"/>
      <c r="FP26" s="2384"/>
      <c r="FQ26" s="2384"/>
      <c r="FR26" s="2384"/>
      <c r="FS26" s="2384"/>
      <c r="FT26" s="2384">
        <f>IF(Data!$CU$44&lt;&gt;"",Data!$CU$44, "")</f>
        <v>0</v>
      </c>
      <c r="FU26" s="2384"/>
      <c r="FV26" s="2384"/>
      <c r="FW26" s="2384"/>
      <c r="FX26" s="2384"/>
      <c r="FY26" s="2384"/>
      <c r="FZ26" s="2384">
        <f>IF(Data!$CV$44&lt;&gt;"",Data!$CV$44, "")</f>
        <v>0</v>
      </c>
      <c r="GA26" s="2384"/>
      <c r="GB26" s="2384"/>
      <c r="GC26" s="2384"/>
      <c r="GD26" s="2384"/>
      <c r="GE26" s="2384"/>
      <c r="GF26" s="1248"/>
      <c r="GG26" s="1248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55000000000000004">
      <c r="A27" s="338">
        <v>1</v>
      </c>
      <c r="B27" s="2381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S</v>
      </c>
      <c r="C27" s="2381"/>
      <c r="D27" s="2381"/>
      <c r="E27" s="2381"/>
      <c r="F27" s="2381"/>
      <c r="G27" s="2381"/>
      <c r="H27" s="2381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S</v>
      </c>
      <c r="I27" s="2381"/>
      <c r="J27" s="2381"/>
      <c r="K27" s="2381"/>
      <c r="L27" s="2381"/>
      <c r="M27" s="2381"/>
      <c r="N27" s="2381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S</v>
      </c>
      <c r="O27" s="2381"/>
      <c r="P27" s="2381"/>
      <c r="Q27" s="2381"/>
      <c r="R27" s="2381"/>
      <c r="S27" s="2381"/>
      <c r="T27" s="2381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S</v>
      </c>
      <c r="U27" s="2381"/>
      <c r="V27" s="2381"/>
      <c r="W27" s="2381"/>
      <c r="X27" s="2381"/>
      <c r="Y27" s="2381"/>
      <c r="Z27" s="2381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S</v>
      </c>
      <c r="AA27" s="2381"/>
      <c r="AB27" s="2381"/>
      <c r="AC27" s="2381"/>
      <c r="AD27" s="2381"/>
      <c r="AE27" s="2381"/>
      <c r="AF27" s="2381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XP</v>
      </c>
      <c r="AG27" s="2381"/>
      <c r="AH27" s="2381"/>
      <c r="AI27" s="2381"/>
      <c r="AJ27" s="2381"/>
      <c r="AK27" s="2381"/>
      <c r="AL27" s="2381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M27" s="2381"/>
      <c r="AN27" s="2381"/>
      <c r="AO27" s="2381"/>
      <c r="AP27" s="2381"/>
      <c r="AQ27" s="2381"/>
      <c r="AR27" s="2381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AS27" s="2381"/>
      <c r="AT27" s="2381"/>
      <c r="AU27" s="2381"/>
      <c r="AV27" s="2381"/>
      <c r="AW27" s="2381"/>
      <c r="AX27" s="2381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AY27" s="2381"/>
      <c r="AZ27" s="2381"/>
      <c r="BA27" s="2381"/>
      <c r="BB27" s="2381"/>
      <c r="BC27" s="2381"/>
      <c r="BD27" s="2381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BE27" s="2381"/>
      <c r="BF27" s="2381"/>
      <c r="BG27" s="2381"/>
      <c r="BH27" s="2381"/>
      <c r="BI27" s="2381"/>
      <c r="BJ27" s="2381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S</v>
      </c>
      <c r="BK27" s="2381"/>
      <c r="BL27" s="2381"/>
      <c r="BM27" s="2381"/>
      <c r="BN27" s="2381"/>
      <c r="BO27" s="2381"/>
      <c r="BP27" s="2381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XP</v>
      </c>
      <c r="BQ27" s="2381"/>
      <c r="BR27" s="2381"/>
      <c r="BS27" s="2381"/>
      <c r="BT27" s="2381"/>
      <c r="BU27" s="2381"/>
      <c r="BV27" s="2381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X</v>
      </c>
      <c r="BW27" s="2381"/>
      <c r="BX27" s="2381"/>
      <c r="BY27" s="2381"/>
      <c r="BZ27" s="2381"/>
      <c r="CA27" s="2381"/>
      <c r="CB27" s="2381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CC27" s="2381"/>
      <c r="CD27" s="2381"/>
      <c r="CE27" s="2381"/>
      <c r="CF27" s="2381"/>
      <c r="CG27" s="2381"/>
      <c r="CH27" s="2381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CI27" s="2381"/>
      <c r="CJ27" s="2381"/>
      <c r="CK27" s="2381"/>
      <c r="CL27" s="2381"/>
      <c r="CM27" s="2381"/>
      <c r="CN27" s="2381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CO27" s="2381"/>
      <c r="CP27" s="2381"/>
      <c r="CQ27" s="2381"/>
      <c r="CR27" s="2381"/>
      <c r="CS27" s="2381"/>
      <c r="CT27" s="2381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CU27" s="2381"/>
      <c r="CV27" s="2381"/>
      <c r="CW27" s="2381"/>
      <c r="CX27" s="2381"/>
      <c r="CY27" s="2381"/>
      <c r="CZ27" s="2381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DA27" s="2381"/>
      <c r="DB27" s="2381"/>
      <c r="DC27" s="2381"/>
      <c r="DD27" s="2381"/>
      <c r="DE27" s="2381"/>
      <c r="DF27" s="2381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DG27" s="2381"/>
      <c r="DH27" s="2381"/>
      <c r="DI27" s="2381"/>
      <c r="DJ27" s="2381"/>
      <c r="DK27" s="2381"/>
      <c r="DL27" s="2381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DM27" s="2381"/>
      <c r="DN27" s="2381"/>
      <c r="DO27" s="2381"/>
      <c r="DP27" s="2381"/>
      <c r="DQ27" s="2381"/>
      <c r="DR27" s="2381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DS27" s="2381"/>
      <c r="DT27" s="2381"/>
      <c r="DU27" s="2381"/>
      <c r="DV27" s="2381"/>
      <c r="DW27" s="2381"/>
      <c r="DX27" s="2381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DY27" s="2381"/>
      <c r="DZ27" s="2381"/>
      <c r="EA27" s="2381"/>
      <c r="EB27" s="2381"/>
      <c r="EC27" s="2381"/>
      <c r="ED27" s="2381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EE27" s="2381"/>
      <c r="EF27" s="2381"/>
      <c r="EG27" s="2381"/>
      <c r="EH27" s="2381"/>
      <c r="EI27" s="2381"/>
      <c r="EJ27" s="2381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/>
      </c>
      <c r="EK27" s="2381"/>
      <c r="EL27" s="2381"/>
      <c r="EM27" s="2381"/>
      <c r="EN27" s="2381"/>
      <c r="EO27" s="2381"/>
      <c r="EP27" s="2381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1"/>
      <c r="ER27" s="2381"/>
      <c r="ES27" s="2381"/>
      <c r="ET27" s="2381"/>
      <c r="EU27" s="2381"/>
      <c r="EV27" s="2381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1"/>
      <c r="EX27" s="2381"/>
      <c r="EY27" s="2381"/>
      <c r="EZ27" s="2381"/>
      <c r="FA27" s="2381"/>
      <c r="FB27" s="2381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1"/>
      <c r="FD27" s="2381"/>
      <c r="FE27" s="2381"/>
      <c r="FF27" s="2381"/>
      <c r="FG27" s="2381"/>
      <c r="FH27" s="2381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1"/>
      <c r="FJ27" s="2381"/>
      <c r="FK27" s="2381"/>
      <c r="FL27" s="2381"/>
      <c r="FM27" s="2381"/>
      <c r="FN27" s="2381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1"/>
      <c r="FP27" s="2381"/>
      <c r="FQ27" s="2381"/>
      <c r="FR27" s="2381"/>
      <c r="FS27" s="2381"/>
      <c r="FT27" s="2381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1"/>
      <c r="FV27" s="2381"/>
      <c r="FW27" s="2381"/>
      <c r="FX27" s="2381"/>
      <c r="FY27" s="2381"/>
      <c r="FZ27" s="2381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1"/>
      <c r="GB27" s="2381"/>
      <c r="GC27" s="2381"/>
      <c r="GD27" s="2381"/>
      <c r="GE27" s="2381"/>
      <c r="GF27" s="1248"/>
      <c r="GG27" s="1248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55000000000000004">
      <c r="A28" s="338">
        <v>2</v>
      </c>
      <c r="B28" s="2381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S</v>
      </c>
      <c r="C28" s="2381"/>
      <c r="D28" s="2381"/>
      <c r="E28" s="2381"/>
      <c r="F28" s="2381"/>
      <c r="G28" s="2381"/>
      <c r="H28" s="2381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S</v>
      </c>
      <c r="I28" s="2381"/>
      <c r="J28" s="2381"/>
      <c r="K28" s="2381"/>
      <c r="L28" s="2381"/>
      <c r="M28" s="2381"/>
      <c r="N28" s="2381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O28" s="2381"/>
      <c r="P28" s="2381"/>
      <c r="Q28" s="2381"/>
      <c r="R28" s="2381"/>
      <c r="S28" s="2381"/>
      <c r="T28" s="2381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U28" s="2381"/>
      <c r="V28" s="2381"/>
      <c r="W28" s="2381"/>
      <c r="X28" s="2381"/>
      <c r="Y28" s="2381"/>
      <c r="Z28" s="2381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A28" s="2381"/>
      <c r="AB28" s="2381"/>
      <c r="AC28" s="2381"/>
      <c r="AD28" s="2381"/>
      <c r="AE28" s="2381"/>
      <c r="AF28" s="2381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G28" s="2381"/>
      <c r="AH28" s="2381"/>
      <c r="AI28" s="2381"/>
      <c r="AJ28" s="2381"/>
      <c r="AK28" s="2381"/>
      <c r="AL28" s="2381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M28" s="2381"/>
      <c r="AN28" s="2381"/>
      <c r="AO28" s="2381"/>
      <c r="AP28" s="2381"/>
      <c r="AQ28" s="2381"/>
      <c r="AR28" s="2381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AS28" s="2381"/>
      <c r="AT28" s="2381"/>
      <c r="AU28" s="2381"/>
      <c r="AV28" s="2381"/>
      <c r="AW28" s="2381"/>
      <c r="AX28" s="2381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AY28" s="2381"/>
      <c r="AZ28" s="2381"/>
      <c r="BA28" s="2381"/>
      <c r="BB28" s="2381"/>
      <c r="BC28" s="2381"/>
      <c r="BD28" s="2381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S</v>
      </c>
      <c r="BE28" s="2381"/>
      <c r="BF28" s="2381"/>
      <c r="BG28" s="2381"/>
      <c r="BH28" s="2381"/>
      <c r="BI28" s="2381"/>
      <c r="BJ28" s="2381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S</v>
      </c>
      <c r="BK28" s="2381"/>
      <c r="BL28" s="2381"/>
      <c r="BM28" s="2381"/>
      <c r="BN28" s="2381"/>
      <c r="BO28" s="2381"/>
      <c r="BP28" s="2381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>S</v>
      </c>
      <c r="BQ28" s="2381"/>
      <c r="BR28" s="2381"/>
      <c r="BS28" s="2381"/>
      <c r="BT28" s="2381"/>
      <c r="BU28" s="2381"/>
      <c r="BV28" s="2381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>R</v>
      </c>
      <c r="BW28" s="2381"/>
      <c r="BX28" s="2381"/>
      <c r="BY28" s="2381"/>
      <c r="BZ28" s="2381"/>
      <c r="CA28" s="2381"/>
      <c r="CB28" s="2381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CC28" s="2381"/>
      <c r="CD28" s="2381"/>
      <c r="CE28" s="2381"/>
      <c r="CF28" s="2381"/>
      <c r="CG28" s="2381"/>
      <c r="CH28" s="2381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CI28" s="2381"/>
      <c r="CJ28" s="2381"/>
      <c r="CK28" s="2381"/>
      <c r="CL28" s="2381"/>
      <c r="CM28" s="2381"/>
      <c r="CN28" s="2381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CO28" s="2381"/>
      <c r="CP28" s="2381"/>
      <c r="CQ28" s="2381"/>
      <c r="CR28" s="2381"/>
      <c r="CS28" s="2381"/>
      <c r="CT28" s="2381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CU28" s="2381"/>
      <c r="CV28" s="2381"/>
      <c r="CW28" s="2381"/>
      <c r="CX28" s="2381"/>
      <c r="CY28" s="2381"/>
      <c r="CZ28" s="2381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DA28" s="2381"/>
      <c r="DB28" s="2381"/>
      <c r="DC28" s="2381"/>
      <c r="DD28" s="2381"/>
      <c r="DE28" s="2381"/>
      <c r="DF28" s="2381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DG28" s="2381"/>
      <c r="DH28" s="2381"/>
      <c r="DI28" s="2381"/>
      <c r="DJ28" s="2381"/>
      <c r="DK28" s="2381"/>
      <c r="DL28" s="2381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DM28" s="2381"/>
      <c r="DN28" s="2381"/>
      <c r="DO28" s="2381"/>
      <c r="DP28" s="2381"/>
      <c r="DQ28" s="2381"/>
      <c r="DR28" s="2381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DS28" s="2381"/>
      <c r="DT28" s="2381"/>
      <c r="DU28" s="2381"/>
      <c r="DV28" s="2381"/>
      <c r="DW28" s="2381"/>
      <c r="DX28" s="2381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DY28" s="2381"/>
      <c r="DZ28" s="2381"/>
      <c r="EA28" s="2381"/>
      <c r="EB28" s="2381"/>
      <c r="EC28" s="2381"/>
      <c r="ED28" s="2381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EE28" s="2381"/>
      <c r="EF28" s="2381"/>
      <c r="EG28" s="2381"/>
      <c r="EH28" s="2381"/>
      <c r="EI28" s="2381"/>
      <c r="EJ28" s="2381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/>
      </c>
      <c r="EK28" s="2381"/>
      <c r="EL28" s="2381"/>
      <c r="EM28" s="2381"/>
      <c r="EN28" s="2381"/>
      <c r="EO28" s="2381"/>
      <c r="EP28" s="2381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1"/>
      <c r="ER28" s="2381"/>
      <c r="ES28" s="2381"/>
      <c r="ET28" s="2381"/>
      <c r="EU28" s="2381"/>
      <c r="EV28" s="2381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1"/>
      <c r="EX28" s="2381"/>
      <c r="EY28" s="2381"/>
      <c r="EZ28" s="2381"/>
      <c r="FA28" s="2381"/>
      <c r="FB28" s="2381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1"/>
      <c r="FD28" s="2381"/>
      <c r="FE28" s="2381"/>
      <c r="FF28" s="2381"/>
      <c r="FG28" s="2381"/>
      <c r="FH28" s="2381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1"/>
      <c r="FJ28" s="2381"/>
      <c r="FK28" s="2381"/>
      <c r="FL28" s="2381"/>
      <c r="FM28" s="2381"/>
      <c r="FN28" s="2381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1"/>
      <c r="FP28" s="2381"/>
      <c r="FQ28" s="2381"/>
      <c r="FR28" s="2381"/>
      <c r="FS28" s="2381"/>
      <c r="FT28" s="2381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1"/>
      <c r="FV28" s="2381"/>
      <c r="FW28" s="2381"/>
      <c r="FX28" s="2381"/>
      <c r="FY28" s="2381"/>
      <c r="FZ28" s="2381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1"/>
      <c r="GB28" s="2381"/>
      <c r="GC28" s="2381"/>
      <c r="GD28" s="2381"/>
      <c r="GE28" s="2381"/>
      <c r="GF28" s="1248"/>
      <c r="GG28" s="1248"/>
    </row>
    <row r="29" spans="1:206" ht="44.25" customHeight="1" x14ac:dyDescent="0.55000000000000004">
      <c r="A29" s="338">
        <v>3</v>
      </c>
      <c r="B29" s="2381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S</v>
      </c>
      <c r="C29" s="2381"/>
      <c r="D29" s="2381"/>
      <c r="E29" s="2381"/>
      <c r="F29" s="2381"/>
      <c r="G29" s="2381"/>
      <c r="H29" s="2381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S</v>
      </c>
      <c r="I29" s="2381"/>
      <c r="J29" s="2381"/>
      <c r="K29" s="2381"/>
      <c r="L29" s="2381"/>
      <c r="M29" s="2381"/>
      <c r="N29" s="2381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S</v>
      </c>
      <c r="O29" s="2381"/>
      <c r="P29" s="2381"/>
      <c r="Q29" s="2381"/>
      <c r="R29" s="2381"/>
      <c r="S29" s="2381"/>
      <c r="T29" s="2381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S</v>
      </c>
      <c r="U29" s="2381"/>
      <c r="V29" s="2381"/>
      <c r="W29" s="2381"/>
      <c r="X29" s="2381"/>
      <c r="Y29" s="2381"/>
      <c r="Z29" s="2381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AA29" s="2381"/>
      <c r="AB29" s="2381"/>
      <c r="AC29" s="2381"/>
      <c r="AD29" s="2381"/>
      <c r="AE29" s="2381"/>
      <c r="AF29" s="2381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AG29" s="2381"/>
      <c r="AH29" s="2381"/>
      <c r="AI29" s="2381"/>
      <c r="AJ29" s="2381"/>
      <c r="AK29" s="2381"/>
      <c r="AL29" s="2381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XP</v>
      </c>
      <c r="AM29" s="2381"/>
      <c r="AN29" s="2381"/>
      <c r="AO29" s="2381"/>
      <c r="AP29" s="2381"/>
      <c r="AQ29" s="2381"/>
      <c r="AR29" s="2381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AS29" s="2381"/>
      <c r="AT29" s="2381"/>
      <c r="AU29" s="2381"/>
      <c r="AV29" s="2381"/>
      <c r="AW29" s="2381"/>
      <c r="AX29" s="2381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AY29" s="2381"/>
      <c r="AZ29" s="2381"/>
      <c r="BA29" s="2381"/>
      <c r="BB29" s="2381"/>
      <c r="BC29" s="2381"/>
      <c r="BD29" s="2381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S</v>
      </c>
      <c r="BE29" s="2381"/>
      <c r="BF29" s="2381"/>
      <c r="BG29" s="2381"/>
      <c r="BH29" s="2381"/>
      <c r="BI29" s="2381"/>
      <c r="BJ29" s="2381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S</v>
      </c>
      <c r="BK29" s="2381"/>
      <c r="BL29" s="2381"/>
      <c r="BM29" s="2381"/>
      <c r="BN29" s="2381"/>
      <c r="BO29" s="2381"/>
      <c r="BP29" s="2381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>R</v>
      </c>
      <c r="BQ29" s="2381"/>
      <c r="BR29" s="2381"/>
      <c r="BS29" s="2381"/>
      <c r="BT29" s="2381"/>
      <c r="BU29" s="2381"/>
      <c r="BV29" s="2381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1"/>
      <c r="BX29" s="2381"/>
      <c r="BY29" s="2381"/>
      <c r="BZ29" s="2381"/>
      <c r="CA29" s="2381"/>
      <c r="CB29" s="2381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CC29" s="2381"/>
      <c r="CD29" s="2381"/>
      <c r="CE29" s="2381"/>
      <c r="CF29" s="2381"/>
      <c r="CG29" s="2381"/>
      <c r="CH29" s="2381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CI29" s="2381"/>
      <c r="CJ29" s="2381"/>
      <c r="CK29" s="2381"/>
      <c r="CL29" s="2381"/>
      <c r="CM29" s="2381"/>
      <c r="CN29" s="2381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CO29" s="2381"/>
      <c r="CP29" s="2381"/>
      <c r="CQ29" s="2381"/>
      <c r="CR29" s="2381"/>
      <c r="CS29" s="2381"/>
      <c r="CT29" s="2381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CU29" s="2381"/>
      <c r="CV29" s="2381"/>
      <c r="CW29" s="2381"/>
      <c r="CX29" s="2381"/>
      <c r="CY29" s="2381"/>
      <c r="CZ29" s="2381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DA29" s="2381"/>
      <c r="DB29" s="2381"/>
      <c r="DC29" s="2381"/>
      <c r="DD29" s="2381"/>
      <c r="DE29" s="2381"/>
      <c r="DF29" s="2381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DG29" s="2381"/>
      <c r="DH29" s="2381"/>
      <c r="DI29" s="2381"/>
      <c r="DJ29" s="2381"/>
      <c r="DK29" s="2381"/>
      <c r="DL29" s="2381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DM29" s="2381"/>
      <c r="DN29" s="2381"/>
      <c r="DO29" s="2381"/>
      <c r="DP29" s="2381"/>
      <c r="DQ29" s="2381"/>
      <c r="DR29" s="2381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DS29" s="2381"/>
      <c r="DT29" s="2381"/>
      <c r="DU29" s="2381"/>
      <c r="DV29" s="2381"/>
      <c r="DW29" s="2381"/>
      <c r="DX29" s="2381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DY29" s="2381"/>
      <c r="DZ29" s="2381"/>
      <c r="EA29" s="2381"/>
      <c r="EB29" s="2381"/>
      <c r="EC29" s="2381"/>
      <c r="ED29" s="2381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EE29" s="2381"/>
      <c r="EF29" s="2381"/>
      <c r="EG29" s="2381"/>
      <c r="EH29" s="2381"/>
      <c r="EI29" s="2381"/>
      <c r="EJ29" s="2381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/>
      </c>
      <c r="EK29" s="2381"/>
      <c r="EL29" s="2381"/>
      <c r="EM29" s="2381"/>
      <c r="EN29" s="2381"/>
      <c r="EO29" s="2381"/>
      <c r="EP29" s="2381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1"/>
      <c r="ER29" s="2381"/>
      <c r="ES29" s="2381"/>
      <c r="ET29" s="2381"/>
      <c r="EU29" s="2381"/>
      <c r="EV29" s="2381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1"/>
      <c r="EX29" s="2381"/>
      <c r="EY29" s="2381"/>
      <c r="EZ29" s="2381"/>
      <c r="FA29" s="2381"/>
      <c r="FB29" s="2381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1"/>
      <c r="FD29" s="2381"/>
      <c r="FE29" s="2381"/>
      <c r="FF29" s="2381"/>
      <c r="FG29" s="2381"/>
      <c r="FH29" s="2381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1"/>
      <c r="FJ29" s="2381"/>
      <c r="FK29" s="2381"/>
      <c r="FL29" s="2381"/>
      <c r="FM29" s="2381"/>
      <c r="FN29" s="2381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1"/>
      <c r="FP29" s="2381"/>
      <c r="FQ29" s="2381"/>
      <c r="FR29" s="2381"/>
      <c r="FS29" s="2381"/>
      <c r="FT29" s="2381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1"/>
      <c r="FV29" s="2381"/>
      <c r="FW29" s="2381"/>
      <c r="FX29" s="2381"/>
      <c r="FY29" s="2381"/>
      <c r="FZ29" s="2381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1"/>
      <c r="GB29" s="2381"/>
      <c r="GC29" s="2381"/>
      <c r="GD29" s="2381"/>
      <c r="GE29" s="2381"/>
      <c r="GF29" s="1248"/>
      <c r="GG29" s="1248"/>
    </row>
    <row r="30" spans="1:206" ht="44.25" customHeight="1" x14ac:dyDescent="0.55000000000000004">
      <c r="A30" s="338">
        <v>4</v>
      </c>
      <c r="B30" s="2381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S</v>
      </c>
      <c r="C30" s="2381"/>
      <c r="D30" s="2381"/>
      <c r="E30" s="2381"/>
      <c r="F30" s="2381"/>
      <c r="G30" s="2381"/>
      <c r="H30" s="2381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S</v>
      </c>
      <c r="I30" s="2381"/>
      <c r="J30" s="2381"/>
      <c r="K30" s="2381"/>
      <c r="L30" s="2381"/>
      <c r="M30" s="2381"/>
      <c r="N30" s="2381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O30" s="2381"/>
      <c r="P30" s="2381"/>
      <c r="Q30" s="2381"/>
      <c r="R30" s="2381"/>
      <c r="S30" s="2381"/>
      <c r="T30" s="2381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U30" s="2381"/>
      <c r="V30" s="2381"/>
      <c r="W30" s="2381"/>
      <c r="X30" s="2381"/>
      <c r="Y30" s="2381"/>
      <c r="Z30" s="2381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X</v>
      </c>
      <c r="AA30" s="2381"/>
      <c r="AB30" s="2381"/>
      <c r="AC30" s="2381"/>
      <c r="AD30" s="2381"/>
      <c r="AE30" s="2381"/>
      <c r="AF30" s="2381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XP</v>
      </c>
      <c r="AG30" s="2381"/>
      <c r="AH30" s="2381"/>
      <c r="AI30" s="2381"/>
      <c r="AJ30" s="2381"/>
      <c r="AK30" s="2381"/>
      <c r="AL30" s="2381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M30" s="2381"/>
      <c r="AN30" s="2381"/>
      <c r="AO30" s="2381"/>
      <c r="AP30" s="2381"/>
      <c r="AQ30" s="2381"/>
      <c r="AR30" s="2381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AS30" s="2381"/>
      <c r="AT30" s="2381"/>
      <c r="AU30" s="2381"/>
      <c r="AV30" s="2381"/>
      <c r="AW30" s="2381"/>
      <c r="AX30" s="2381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AY30" s="2381"/>
      <c r="AZ30" s="2381"/>
      <c r="BA30" s="2381"/>
      <c r="BB30" s="2381"/>
      <c r="BC30" s="2381"/>
      <c r="BD30" s="2381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S</v>
      </c>
      <c r="BE30" s="2381"/>
      <c r="BF30" s="2381"/>
      <c r="BG30" s="2381"/>
      <c r="BH30" s="2381"/>
      <c r="BI30" s="2381"/>
      <c r="BJ30" s="2381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S</v>
      </c>
      <c r="BK30" s="2381"/>
      <c r="BL30" s="2381"/>
      <c r="BM30" s="2381"/>
      <c r="BN30" s="2381"/>
      <c r="BO30" s="2381"/>
      <c r="BP30" s="2381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S</v>
      </c>
      <c r="BQ30" s="2381"/>
      <c r="BR30" s="2381"/>
      <c r="BS30" s="2381"/>
      <c r="BT30" s="2381"/>
      <c r="BU30" s="2381"/>
      <c r="BV30" s="2381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R</v>
      </c>
      <c r="BW30" s="2381"/>
      <c r="BX30" s="2381"/>
      <c r="BY30" s="2381"/>
      <c r="BZ30" s="2381"/>
      <c r="CA30" s="2381"/>
      <c r="CB30" s="2381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CC30" s="2381"/>
      <c r="CD30" s="2381"/>
      <c r="CE30" s="2381"/>
      <c r="CF30" s="2381"/>
      <c r="CG30" s="2381"/>
      <c r="CH30" s="2381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CI30" s="2381"/>
      <c r="CJ30" s="2381"/>
      <c r="CK30" s="2381"/>
      <c r="CL30" s="2381"/>
      <c r="CM30" s="2381"/>
      <c r="CN30" s="2381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CO30" s="2381"/>
      <c r="CP30" s="2381"/>
      <c r="CQ30" s="2381"/>
      <c r="CR30" s="2381"/>
      <c r="CS30" s="2381"/>
      <c r="CT30" s="2381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CU30" s="2381"/>
      <c r="CV30" s="2381"/>
      <c r="CW30" s="2381"/>
      <c r="CX30" s="2381"/>
      <c r="CY30" s="2381"/>
      <c r="CZ30" s="2381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DA30" s="2381"/>
      <c r="DB30" s="2381"/>
      <c r="DC30" s="2381"/>
      <c r="DD30" s="2381"/>
      <c r="DE30" s="2381"/>
      <c r="DF30" s="2381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DG30" s="2381"/>
      <c r="DH30" s="2381"/>
      <c r="DI30" s="2381"/>
      <c r="DJ30" s="2381"/>
      <c r="DK30" s="2381"/>
      <c r="DL30" s="2381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DM30" s="2381"/>
      <c r="DN30" s="2381"/>
      <c r="DO30" s="2381"/>
      <c r="DP30" s="2381"/>
      <c r="DQ30" s="2381"/>
      <c r="DR30" s="2381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DS30" s="2381"/>
      <c r="DT30" s="2381"/>
      <c r="DU30" s="2381"/>
      <c r="DV30" s="2381"/>
      <c r="DW30" s="2381"/>
      <c r="DX30" s="2381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DY30" s="2381"/>
      <c r="DZ30" s="2381"/>
      <c r="EA30" s="2381"/>
      <c r="EB30" s="2381"/>
      <c r="EC30" s="2381"/>
      <c r="ED30" s="2381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EE30" s="2381"/>
      <c r="EF30" s="2381"/>
      <c r="EG30" s="2381"/>
      <c r="EH30" s="2381"/>
      <c r="EI30" s="2381"/>
      <c r="EJ30" s="2381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/>
      </c>
      <c r="EK30" s="2381"/>
      <c r="EL30" s="2381"/>
      <c r="EM30" s="2381"/>
      <c r="EN30" s="2381"/>
      <c r="EO30" s="2381"/>
      <c r="EP30" s="2381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1"/>
      <c r="ER30" s="2381"/>
      <c r="ES30" s="2381"/>
      <c r="ET30" s="2381"/>
      <c r="EU30" s="2381"/>
      <c r="EV30" s="2381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1"/>
      <c r="EX30" s="2381"/>
      <c r="EY30" s="2381"/>
      <c r="EZ30" s="2381"/>
      <c r="FA30" s="2381"/>
      <c r="FB30" s="2381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1"/>
      <c r="FD30" s="2381"/>
      <c r="FE30" s="2381"/>
      <c r="FF30" s="2381"/>
      <c r="FG30" s="2381"/>
      <c r="FH30" s="2381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1"/>
      <c r="FJ30" s="2381"/>
      <c r="FK30" s="2381"/>
      <c r="FL30" s="2381"/>
      <c r="FM30" s="2381"/>
      <c r="FN30" s="2381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1"/>
      <c r="FP30" s="2381"/>
      <c r="FQ30" s="2381"/>
      <c r="FR30" s="2381"/>
      <c r="FS30" s="2381"/>
      <c r="FT30" s="2381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1"/>
      <c r="FV30" s="2381"/>
      <c r="FW30" s="2381"/>
      <c r="FX30" s="2381"/>
      <c r="FY30" s="2381"/>
      <c r="FZ30" s="2381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1"/>
      <c r="GB30" s="2381"/>
      <c r="GC30" s="2381"/>
      <c r="GD30" s="2381"/>
      <c r="GE30" s="2381"/>
      <c r="GF30" s="1248"/>
      <c r="GG30" s="1248"/>
    </row>
    <row r="31" spans="1:206" ht="44.25" customHeight="1" x14ac:dyDescent="0.55000000000000004">
      <c r="A31" s="338">
        <v>5</v>
      </c>
      <c r="B31" s="2381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S</v>
      </c>
      <c r="C31" s="2381"/>
      <c r="D31" s="2381"/>
      <c r="E31" s="2381"/>
      <c r="F31" s="2381"/>
      <c r="G31" s="2381"/>
      <c r="H31" s="2381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S</v>
      </c>
      <c r="I31" s="2381"/>
      <c r="J31" s="2381"/>
      <c r="K31" s="2381"/>
      <c r="L31" s="2381"/>
      <c r="M31" s="2381"/>
      <c r="N31" s="2381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S</v>
      </c>
      <c r="O31" s="2381"/>
      <c r="P31" s="2381"/>
      <c r="Q31" s="2381"/>
      <c r="R31" s="2381"/>
      <c r="S31" s="2381"/>
      <c r="T31" s="2381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S</v>
      </c>
      <c r="U31" s="2381"/>
      <c r="V31" s="2381"/>
      <c r="W31" s="2381"/>
      <c r="X31" s="2381"/>
      <c r="Y31" s="2381"/>
      <c r="Z31" s="2381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S</v>
      </c>
      <c r="AA31" s="2381"/>
      <c r="AB31" s="2381"/>
      <c r="AC31" s="2381"/>
      <c r="AD31" s="2381"/>
      <c r="AE31" s="2381"/>
      <c r="AF31" s="2381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AG31" s="2381"/>
      <c r="AH31" s="2381"/>
      <c r="AI31" s="2381"/>
      <c r="AJ31" s="2381"/>
      <c r="AK31" s="2381"/>
      <c r="AL31" s="2381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M31" s="2381"/>
      <c r="AN31" s="2381"/>
      <c r="AO31" s="2381"/>
      <c r="AP31" s="2381"/>
      <c r="AQ31" s="2381"/>
      <c r="AR31" s="2381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AS31" s="2381"/>
      <c r="AT31" s="2381"/>
      <c r="AU31" s="2381"/>
      <c r="AV31" s="2381"/>
      <c r="AW31" s="2381"/>
      <c r="AX31" s="2381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AY31" s="2381"/>
      <c r="AZ31" s="2381"/>
      <c r="BA31" s="2381"/>
      <c r="BB31" s="2381"/>
      <c r="BC31" s="2381"/>
      <c r="BD31" s="2381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S</v>
      </c>
      <c r="BE31" s="2381"/>
      <c r="BF31" s="2381"/>
      <c r="BG31" s="2381"/>
      <c r="BH31" s="2381"/>
      <c r="BI31" s="2381"/>
      <c r="BJ31" s="2381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S</v>
      </c>
      <c r="BK31" s="2381"/>
      <c r="BL31" s="2381"/>
      <c r="BM31" s="2381"/>
      <c r="BN31" s="2381"/>
      <c r="BO31" s="2381"/>
      <c r="BP31" s="2381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>X</v>
      </c>
      <c r="BQ31" s="2381"/>
      <c r="BR31" s="2381"/>
      <c r="BS31" s="2381"/>
      <c r="BT31" s="2381"/>
      <c r="BU31" s="2381"/>
      <c r="BV31" s="2381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>R</v>
      </c>
      <c r="BW31" s="2381"/>
      <c r="BX31" s="2381"/>
      <c r="BY31" s="2381"/>
      <c r="BZ31" s="2381"/>
      <c r="CA31" s="2381"/>
      <c r="CB31" s="2381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CC31" s="2381"/>
      <c r="CD31" s="2381"/>
      <c r="CE31" s="2381"/>
      <c r="CF31" s="2381"/>
      <c r="CG31" s="2381"/>
      <c r="CH31" s="2381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CI31" s="2381"/>
      <c r="CJ31" s="2381"/>
      <c r="CK31" s="2381"/>
      <c r="CL31" s="2381"/>
      <c r="CM31" s="2381"/>
      <c r="CN31" s="2381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CO31" s="2381"/>
      <c r="CP31" s="2381"/>
      <c r="CQ31" s="2381"/>
      <c r="CR31" s="2381"/>
      <c r="CS31" s="2381"/>
      <c r="CT31" s="2381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CU31" s="2381"/>
      <c r="CV31" s="2381"/>
      <c r="CW31" s="2381"/>
      <c r="CX31" s="2381"/>
      <c r="CY31" s="2381"/>
      <c r="CZ31" s="2381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DA31" s="2381"/>
      <c r="DB31" s="2381"/>
      <c r="DC31" s="2381"/>
      <c r="DD31" s="2381"/>
      <c r="DE31" s="2381"/>
      <c r="DF31" s="2381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DG31" s="2381"/>
      <c r="DH31" s="2381"/>
      <c r="DI31" s="2381"/>
      <c r="DJ31" s="2381"/>
      <c r="DK31" s="2381"/>
      <c r="DL31" s="2381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DM31" s="2381"/>
      <c r="DN31" s="2381"/>
      <c r="DO31" s="2381"/>
      <c r="DP31" s="2381"/>
      <c r="DQ31" s="2381"/>
      <c r="DR31" s="2381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DS31" s="2381"/>
      <c r="DT31" s="2381"/>
      <c r="DU31" s="2381"/>
      <c r="DV31" s="2381"/>
      <c r="DW31" s="2381"/>
      <c r="DX31" s="2381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DY31" s="2381"/>
      <c r="DZ31" s="2381"/>
      <c r="EA31" s="2381"/>
      <c r="EB31" s="2381"/>
      <c r="EC31" s="2381"/>
      <c r="ED31" s="2381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EE31" s="2381"/>
      <c r="EF31" s="2381"/>
      <c r="EG31" s="2381"/>
      <c r="EH31" s="2381"/>
      <c r="EI31" s="2381"/>
      <c r="EJ31" s="2381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/>
      </c>
      <c r="EK31" s="2381"/>
      <c r="EL31" s="2381"/>
      <c r="EM31" s="2381"/>
      <c r="EN31" s="2381"/>
      <c r="EO31" s="2381"/>
      <c r="EP31" s="2381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1"/>
      <c r="ER31" s="2381"/>
      <c r="ES31" s="2381"/>
      <c r="ET31" s="2381"/>
      <c r="EU31" s="2381"/>
      <c r="EV31" s="2381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1"/>
      <c r="EX31" s="2381"/>
      <c r="EY31" s="2381"/>
      <c r="EZ31" s="2381"/>
      <c r="FA31" s="2381"/>
      <c r="FB31" s="2381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1"/>
      <c r="FD31" s="2381"/>
      <c r="FE31" s="2381"/>
      <c r="FF31" s="2381"/>
      <c r="FG31" s="2381"/>
      <c r="FH31" s="2381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1"/>
      <c r="FJ31" s="2381"/>
      <c r="FK31" s="2381"/>
      <c r="FL31" s="2381"/>
      <c r="FM31" s="2381"/>
      <c r="FN31" s="2381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1"/>
      <c r="FP31" s="2381"/>
      <c r="FQ31" s="2381"/>
      <c r="FR31" s="2381"/>
      <c r="FS31" s="2381"/>
      <c r="FT31" s="2381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1"/>
      <c r="FV31" s="2381"/>
      <c r="FW31" s="2381"/>
      <c r="FX31" s="2381"/>
      <c r="FY31" s="2381"/>
      <c r="FZ31" s="2381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1"/>
      <c r="GB31" s="2381"/>
      <c r="GC31" s="2381"/>
      <c r="GD31" s="2381"/>
      <c r="GE31" s="2381"/>
      <c r="GF31" s="1248"/>
      <c r="GG31" s="1248"/>
    </row>
    <row r="32" spans="1:206" ht="44.25" customHeight="1" x14ac:dyDescent="0.55000000000000004">
      <c r="A32" s="338">
        <v>6</v>
      </c>
      <c r="B32" s="2381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S</v>
      </c>
      <c r="C32" s="2381"/>
      <c r="D32" s="2381"/>
      <c r="E32" s="2381"/>
      <c r="F32" s="2381"/>
      <c r="G32" s="2381"/>
      <c r="H32" s="2381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I32" s="2381"/>
      <c r="J32" s="2381"/>
      <c r="K32" s="2381"/>
      <c r="L32" s="2381"/>
      <c r="M32" s="2381"/>
      <c r="N32" s="2381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S</v>
      </c>
      <c r="O32" s="2381"/>
      <c r="P32" s="2381"/>
      <c r="Q32" s="2381"/>
      <c r="R32" s="2381"/>
      <c r="S32" s="2381"/>
      <c r="T32" s="2381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X</v>
      </c>
      <c r="U32" s="2381"/>
      <c r="V32" s="2381"/>
      <c r="W32" s="2381"/>
      <c r="X32" s="2381"/>
      <c r="Y32" s="2381"/>
      <c r="Z32" s="2381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A32" s="2381"/>
      <c r="AB32" s="2381"/>
      <c r="AC32" s="2381"/>
      <c r="AD32" s="2381"/>
      <c r="AE32" s="2381"/>
      <c r="AF32" s="2381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G32" s="2381"/>
      <c r="AH32" s="2381"/>
      <c r="AI32" s="2381"/>
      <c r="AJ32" s="2381"/>
      <c r="AK32" s="2381"/>
      <c r="AL32" s="2381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M32" s="2381"/>
      <c r="AN32" s="2381"/>
      <c r="AO32" s="2381"/>
      <c r="AP32" s="2381"/>
      <c r="AQ32" s="2381"/>
      <c r="AR32" s="2381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AS32" s="2381"/>
      <c r="AT32" s="2381"/>
      <c r="AU32" s="2381"/>
      <c r="AV32" s="2381"/>
      <c r="AW32" s="2381"/>
      <c r="AX32" s="2381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AY32" s="2381"/>
      <c r="AZ32" s="2381"/>
      <c r="BA32" s="2381"/>
      <c r="BB32" s="2381"/>
      <c r="BC32" s="2381"/>
      <c r="BD32" s="2381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BE32" s="2381"/>
      <c r="BF32" s="2381"/>
      <c r="BG32" s="2381"/>
      <c r="BH32" s="2381"/>
      <c r="BI32" s="2381"/>
      <c r="BJ32" s="2381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S</v>
      </c>
      <c r="BK32" s="2381"/>
      <c r="BL32" s="2381"/>
      <c r="BM32" s="2381"/>
      <c r="BN32" s="2381"/>
      <c r="BO32" s="2381"/>
      <c r="BP32" s="2381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S</v>
      </c>
      <c r="BQ32" s="2381"/>
      <c r="BR32" s="2381"/>
      <c r="BS32" s="2381"/>
      <c r="BT32" s="2381"/>
      <c r="BU32" s="2381"/>
      <c r="BV32" s="2381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R</v>
      </c>
      <c r="BW32" s="2381"/>
      <c r="BX32" s="2381"/>
      <c r="BY32" s="2381"/>
      <c r="BZ32" s="2381"/>
      <c r="CA32" s="2381"/>
      <c r="CB32" s="2381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CC32" s="2381"/>
      <c r="CD32" s="2381"/>
      <c r="CE32" s="2381"/>
      <c r="CF32" s="2381"/>
      <c r="CG32" s="2381"/>
      <c r="CH32" s="2381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CI32" s="2381"/>
      <c r="CJ32" s="2381"/>
      <c r="CK32" s="2381"/>
      <c r="CL32" s="2381"/>
      <c r="CM32" s="2381"/>
      <c r="CN32" s="2381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CO32" s="2381"/>
      <c r="CP32" s="2381"/>
      <c r="CQ32" s="2381"/>
      <c r="CR32" s="2381"/>
      <c r="CS32" s="2381"/>
      <c r="CT32" s="2381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CU32" s="2381"/>
      <c r="CV32" s="2381"/>
      <c r="CW32" s="2381"/>
      <c r="CX32" s="2381"/>
      <c r="CY32" s="2381"/>
      <c r="CZ32" s="2381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DA32" s="2381"/>
      <c r="DB32" s="2381"/>
      <c r="DC32" s="2381"/>
      <c r="DD32" s="2381"/>
      <c r="DE32" s="2381"/>
      <c r="DF32" s="2381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DG32" s="2381"/>
      <c r="DH32" s="2381"/>
      <c r="DI32" s="2381"/>
      <c r="DJ32" s="2381"/>
      <c r="DK32" s="2381"/>
      <c r="DL32" s="2381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DM32" s="2381"/>
      <c r="DN32" s="2381"/>
      <c r="DO32" s="2381"/>
      <c r="DP32" s="2381"/>
      <c r="DQ32" s="2381"/>
      <c r="DR32" s="2381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DS32" s="2381"/>
      <c r="DT32" s="2381"/>
      <c r="DU32" s="2381"/>
      <c r="DV32" s="2381"/>
      <c r="DW32" s="2381"/>
      <c r="DX32" s="2381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DY32" s="2381"/>
      <c r="DZ32" s="2381"/>
      <c r="EA32" s="2381"/>
      <c r="EB32" s="2381"/>
      <c r="EC32" s="2381"/>
      <c r="ED32" s="2381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EE32" s="2381"/>
      <c r="EF32" s="2381"/>
      <c r="EG32" s="2381"/>
      <c r="EH32" s="2381"/>
      <c r="EI32" s="2381"/>
      <c r="EJ32" s="2381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/>
      </c>
      <c r="EK32" s="2381"/>
      <c r="EL32" s="2381"/>
      <c r="EM32" s="2381"/>
      <c r="EN32" s="2381"/>
      <c r="EO32" s="2381"/>
      <c r="EP32" s="2381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1"/>
      <c r="ER32" s="2381"/>
      <c r="ES32" s="2381"/>
      <c r="ET32" s="2381"/>
      <c r="EU32" s="2381"/>
      <c r="EV32" s="2381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1"/>
      <c r="EX32" s="2381"/>
      <c r="EY32" s="2381"/>
      <c r="EZ32" s="2381"/>
      <c r="FA32" s="2381"/>
      <c r="FB32" s="2381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1"/>
      <c r="FD32" s="2381"/>
      <c r="FE32" s="2381"/>
      <c r="FF32" s="2381"/>
      <c r="FG32" s="2381"/>
      <c r="FH32" s="2381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1"/>
      <c r="FJ32" s="2381"/>
      <c r="FK32" s="2381"/>
      <c r="FL32" s="2381"/>
      <c r="FM32" s="2381"/>
      <c r="FN32" s="2381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1"/>
      <c r="FP32" s="2381"/>
      <c r="FQ32" s="2381"/>
      <c r="FR32" s="2381"/>
      <c r="FS32" s="2381"/>
      <c r="FT32" s="2381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1"/>
      <c r="FV32" s="2381"/>
      <c r="FW32" s="2381"/>
      <c r="FX32" s="2381"/>
      <c r="FY32" s="2381"/>
      <c r="FZ32" s="2381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1"/>
      <c r="GB32" s="2381"/>
      <c r="GC32" s="2381"/>
      <c r="GD32" s="2381"/>
      <c r="GE32" s="2381"/>
      <c r="GF32" s="1248"/>
      <c r="GG32" s="1248"/>
    </row>
    <row r="33" spans="1:190" ht="44.25" customHeight="1" x14ac:dyDescent="0.55000000000000004">
      <c r="A33" s="338">
        <v>7</v>
      </c>
      <c r="B33" s="2381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33" s="2381"/>
      <c r="D33" s="2381"/>
      <c r="E33" s="2381"/>
      <c r="F33" s="2381"/>
      <c r="G33" s="2381"/>
      <c r="H33" s="2381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I33" s="2381"/>
      <c r="J33" s="2381"/>
      <c r="K33" s="2381"/>
      <c r="L33" s="2381"/>
      <c r="M33" s="2381"/>
      <c r="N33" s="2381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O33" s="2381"/>
      <c r="P33" s="2381"/>
      <c r="Q33" s="2381"/>
      <c r="R33" s="2381"/>
      <c r="S33" s="2381"/>
      <c r="T33" s="2381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U33" s="2381"/>
      <c r="V33" s="2381"/>
      <c r="W33" s="2381"/>
      <c r="X33" s="2381"/>
      <c r="Y33" s="2381"/>
      <c r="Z33" s="2381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A33" s="2381"/>
      <c r="AB33" s="2381"/>
      <c r="AC33" s="2381"/>
      <c r="AD33" s="2381"/>
      <c r="AE33" s="2381"/>
      <c r="AF33" s="2381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G33" s="2381"/>
      <c r="AH33" s="2381"/>
      <c r="AI33" s="2381"/>
      <c r="AJ33" s="2381"/>
      <c r="AK33" s="2381"/>
      <c r="AL33" s="2381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M33" s="2381"/>
      <c r="AN33" s="2381"/>
      <c r="AO33" s="2381"/>
      <c r="AP33" s="2381"/>
      <c r="AQ33" s="2381"/>
      <c r="AR33" s="2381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AS33" s="2381"/>
      <c r="AT33" s="2381"/>
      <c r="AU33" s="2381"/>
      <c r="AV33" s="2381"/>
      <c r="AW33" s="2381"/>
      <c r="AX33" s="2381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AY33" s="2381"/>
      <c r="AZ33" s="2381"/>
      <c r="BA33" s="2381"/>
      <c r="BB33" s="2381"/>
      <c r="BC33" s="2381"/>
      <c r="BD33" s="2381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E33" s="2381"/>
      <c r="BF33" s="2381"/>
      <c r="BG33" s="2381"/>
      <c r="BH33" s="2381"/>
      <c r="BI33" s="2381"/>
      <c r="BJ33" s="2381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BK33" s="2381"/>
      <c r="BL33" s="2381"/>
      <c r="BM33" s="2381"/>
      <c r="BN33" s="2381"/>
      <c r="BO33" s="2381"/>
      <c r="BP33" s="2381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1"/>
      <c r="BR33" s="2381"/>
      <c r="BS33" s="2381"/>
      <c r="BT33" s="2381"/>
      <c r="BU33" s="2381"/>
      <c r="BV33" s="2381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1"/>
      <c r="BX33" s="2381"/>
      <c r="BY33" s="2381"/>
      <c r="BZ33" s="2381"/>
      <c r="CA33" s="2381"/>
      <c r="CB33" s="2381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1"/>
      <c r="CD33" s="2381"/>
      <c r="CE33" s="2381"/>
      <c r="CF33" s="2381"/>
      <c r="CG33" s="2381"/>
      <c r="CH33" s="2381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1"/>
      <c r="CJ33" s="2381"/>
      <c r="CK33" s="2381"/>
      <c r="CL33" s="2381"/>
      <c r="CM33" s="2381"/>
      <c r="CN33" s="2381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1"/>
      <c r="CP33" s="2381"/>
      <c r="CQ33" s="2381"/>
      <c r="CR33" s="2381"/>
      <c r="CS33" s="2381"/>
      <c r="CT33" s="2381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1"/>
      <c r="CV33" s="2381"/>
      <c r="CW33" s="2381"/>
      <c r="CX33" s="2381"/>
      <c r="CY33" s="2381"/>
      <c r="CZ33" s="2381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DA33" s="2381"/>
      <c r="DB33" s="2381"/>
      <c r="DC33" s="2381"/>
      <c r="DD33" s="2381"/>
      <c r="DE33" s="2381"/>
      <c r="DF33" s="2381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DG33" s="2381"/>
      <c r="DH33" s="2381"/>
      <c r="DI33" s="2381"/>
      <c r="DJ33" s="2381"/>
      <c r="DK33" s="2381"/>
      <c r="DL33" s="2381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DM33" s="2381"/>
      <c r="DN33" s="2381"/>
      <c r="DO33" s="2381"/>
      <c r="DP33" s="2381"/>
      <c r="DQ33" s="2381"/>
      <c r="DR33" s="2381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DS33" s="2381"/>
      <c r="DT33" s="2381"/>
      <c r="DU33" s="2381"/>
      <c r="DV33" s="2381"/>
      <c r="DW33" s="2381"/>
      <c r="DX33" s="2381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DY33" s="2381"/>
      <c r="DZ33" s="2381"/>
      <c r="EA33" s="2381"/>
      <c r="EB33" s="2381"/>
      <c r="EC33" s="2381"/>
      <c r="ED33" s="2381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EE33" s="2381"/>
      <c r="EF33" s="2381"/>
      <c r="EG33" s="2381"/>
      <c r="EH33" s="2381"/>
      <c r="EI33" s="2381"/>
      <c r="EJ33" s="2381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1"/>
      <c r="EL33" s="2381"/>
      <c r="EM33" s="2381"/>
      <c r="EN33" s="2381"/>
      <c r="EO33" s="2381"/>
      <c r="EP33" s="2381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1"/>
      <c r="ER33" s="2381"/>
      <c r="ES33" s="2381"/>
      <c r="ET33" s="2381"/>
      <c r="EU33" s="2381"/>
      <c r="EV33" s="2381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1"/>
      <c r="EX33" s="2381"/>
      <c r="EY33" s="2381"/>
      <c r="EZ33" s="2381"/>
      <c r="FA33" s="2381"/>
      <c r="FB33" s="2381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1"/>
      <c r="FD33" s="2381"/>
      <c r="FE33" s="2381"/>
      <c r="FF33" s="2381"/>
      <c r="FG33" s="2381"/>
      <c r="FH33" s="2381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1"/>
      <c r="FJ33" s="2381"/>
      <c r="FK33" s="2381"/>
      <c r="FL33" s="2381"/>
      <c r="FM33" s="2381"/>
      <c r="FN33" s="2381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1"/>
      <c r="FP33" s="2381"/>
      <c r="FQ33" s="2381"/>
      <c r="FR33" s="2381"/>
      <c r="FS33" s="2381"/>
      <c r="FT33" s="2381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1"/>
      <c r="FV33" s="2381"/>
      <c r="FW33" s="2381"/>
      <c r="FX33" s="2381"/>
      <c r="FY33" s="2381"/>
      <c r="FZ33" s="2381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1"/>
      <c r="GB33" s="2381"/>
      <c r="GC33" s="2381"/>
      <c r="GD33" s="2381"/>
      <c r="GE33" s="2381"/>
      <c r="GF33" s="1248"/>
      <c r="GG33" s="1248"/>
    </row>
    <row r="34" spans="1:190" ht="44.25" customHeight="1" x14ac:dyDescent="0.55000000000000004">
      <c r="A34" s="338">
        <v>8</v>
      </c>
      <c r="B34" s="2381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34" s="2381"/>
      <c r="D34" s="2381"/>
      <c r="E34" s="2381"/>
      <c r="F34" s="2381"/>
      <c r="G34" s="2381"/>
      <c r="H34" s="2381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I34" s="2381"/>
      <c r="J34" s="2381"/>
      <c r="K34" s="2381"/>
      <c r="L34" s="2381"/>
      <c r="M34" s="2381"/>
      <c r="N34" s="2381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O34" s="2381"/>
      <c r="P34" s="2381"/>
      <c r="Q34" s="2381"/>
      <c r="R34" s="2381"/>
      <c r="S34" s="2381"/>
      <c r="T34" s="2381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U34" s="2381"/>
      <c r="V34" s="2381"/>
      <c r="W34" s="2381"/>
      <c r="X34" s="2381"/>
      <c r="Y34" s="2381"/>
      <c r="Z34" s="2381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A34" s="2381"/>
      <c r="AB34" s="2381"/>
      <c r="AC34" s="2381"/>
      <c r="AD34" s="2381"/>
      <c r="AE34" s="2381"/>
      <c r="AF34" s="2381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G34" s="2381"/>
      <c r="AH34" s="2381"/>
      <c r="AI34" s="2381"/>
      <c r="AJ34" s="2381"/>
      <c r="AK34" s="2381"/>
      <c r="AL34" s="2381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M34" s="2381"/>
      <c r="AN34" s="2381"/>
      <c r="AO34" s="2381"/>
      <c r="AP34" s="2381"/>
      <c r="AQ34" s="2381"/>
      <c r="AR34" s="2381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AS34" s="2381"/>
      <c r="AT34" s="2381"/>
      <c r="AU34" s="2381"/>
      <c r="AV34" s="2381"/>
      <c r="AW34" s="2381"/>
      <c r="AX34" s="2381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AY34" s="2381"/>
      <c r="AZ34" s="2381"/>
      <c r="BA34" s="2381"/>
      <c r="BB34" s="2381"/>
      <c r="BC34" s="2381"/>
      <c r="BD34" s="2381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E34" s="2381"/>
      <c r="BF34" s="2381"/>
      <c r="BG34" s="2381"/>
      <c r="BH34" s="2381"/>
      <c r="BI34" s="2381"/>
      <c r="BJ34" s="2381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1"/>
      <c r="BL34" s="2381"/>
      <c r="BM34" s="2381"/>
      <c r="BN34" s="2381"/>
      <c r="BO34" s="2381"/>
      <c r="BP34" s="2381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1"/>
      <c r="BR34" s="2381"/>
      <c r="BS34" s="2381"/>
      <c r="BT34" s="2381"/>
      <c r="BU34" s="2381"/>
      <c r="BV34" s="2381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1"/>
      <c r="BX34" s="2381"/>
      <c r="BY34" s="2381"/>
      <c r="BZ34" s="2381"/>
      <c r="CA34" s="2381"/>
      <c r="CB34" s="2381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1"/>
      <c r="CD34" s="2381"/>
      <c r="CE34" s="2381"/>
      <c r="CF34" s="2381"/>
      <c r="CG34" s="2381"/>
      <c r="CH34" s="2381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1"/>
      <c r="CJ34" s="2381"/>
      <c r="CK34" s="2381"/>
      <c r="CL34" s="2381"/>
      <c r="CM34" s="2381"/>
      <c r="CN34" s="2381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1"/>
      <c r="CP34" s="2381"/>
      <c r="CQ34" s="2381"/>
      <c r="CR34" s="2381"/>
      <c r="CS34" s="2381"/>
      <c r="CT34" s="2381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1"/>
      <c r="CV34" s="2381"/>
      <c r="CW34" s="2381"/>
      <c r="CX34" s="2381"/>
      <c r="CY34" s="2381"/>
      <c r="CZ34" s="2381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DA34" s="2381"/>
      <c r="DB34" s="2381"/>
      <c r="DC34" s="2381"/>
      <c r="DD34" s="2381"/>
      <c r="DE34" s="2381"/>
      <c r="DF34" s="2381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DG34" s="2381"/>
      <c r="DH34" s="2381"/>
      <c r="DI34" s="2381"/>
      <c r="DJ34" s="2381"/>
      <c r="DK34" s="2381"/>
      <c r="DL34" s="2381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DM34" s="2381"/>
      <c r="DN34" s="2381"/>
      <c r="DO34" s="2381"/>
      <c r="DP34" s="2381"/>
      <c r="DQ34" s="2381"/>
      <c r="DR34" s="2381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DS34" s="2381"/>
      <c r="DT34" s="2381"/>
      <c r="DU34" s="2381"/>
      <c r="DV34" s="2381"/>
      <c r="DW34" s="2381"/>
      <c r="DX34" s="2381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DY34" s="2381"/>
      <c r="DZ34" s="2381"/>
      <c r="EA34" s="2381"/>
      <c r="EB34" s="2381"/>
      <c r="EC34" s="2381"/>
      <c r="ED34" s="2381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EE34" s="2381"/>
      <c r="EF34" s="2381"/>
      <c r="EG34" s="2381"/>
      <c r="EH34" s="2381"/>
      <c r="EI34" s="2381"/>
      <c r="EJ34" s="2381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/>
      </c>
      <c r="EK34" s="2381"/>
      <c r="EL34" s="2381"/>
      <c r="EM34" s="2381"/>
      <c r="EN34" s="2381"/>
      <c r="EO34" s="2381"/>
      <c r="EP34" s="2381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1"/>
      <c r="ER34" s="2381"/>
      <c r="ES34" s="2381"/>
      <c r="ET34" s="2381"/>
      <c r="EU34" s="2381"/>
      <c r="EV34" s="2381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1"/>
      <c r="EX34" s="2381"/>
      <c r="EY34" s="2381"/>
      <c r="EZ34" s="2381"/>
      <c r="FA34" s="2381"/>
      <c r="FB34" s="2381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1"/>
      <c r="FD34" s="2381"/>
      <c r="FE34" s="2381"/>
      <c r="FF34" s="2381"/>
      <c r="FG34" s="2381"/>
      <c r="FH34" s="2381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1"/>
      <c r="FJ34" s="2381"/>
      <c r="FK34" s="2381"/>
      <c r="FL34" s="2381"/>
      <c r="FM34" s="2381"/>
      <c r="FN34" s="2381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1"/>
      <c r="FP34" s="2381"/>
      <c r="FQ34" s="2381"/>
      <c r="FR34" s="2381"/>
      <c r="FS34" s="2381"/>
      <c r="FT34" s="2381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1"/>
      <c r="FV34" s="2381"/>
      <c r="FW34" s="2381"/>
      <c r="FX34" s="2381"/>
      <c r="FY34" s="2381"/>
      <c r="FZ34" s="2381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1"/>
      <c r="GB34" s="2381"/>
      <c r="GC34" s="2381"/>
      <c r="GD34" s="2381"/>
      <c r="GE34" s="2381"/>
      <c r="GF34" s="1248"/>
      <c r="GG34" s="1248"/>
    </row>
    <row r="35" spans="1:190" ht="44.25" customHeight="1" x14ac:dyDescent="0.55000000000000004">
      <c r="A35" s="338">
        <v>9</v>
      </c>
      <c r="B35" s="2381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1"/>
      <c r="D35" s="2381"/>
      <c r="E35" s="2381"/>
      <c r="F35" s="2381"/>
      <c r="G35" s="2381"/>
      <c r="H35" s="2381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1"/>
      <c r="J35" s="2381"/>
      <c r="K35" s="2381"/>
      <c r="L35" s="2381"/>
      <c r="M35" s="2381"/>
      <c r="N35" s="2381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1"/>
      <c r="P35" s="2381"/>
      <c r="Q35" s="2381"/>
      <c r="R35" s="2381"/>
      <c r="S35" s="2381"/>
      <c r="T35" s="2381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1"/>
      <c r="V35" s="2381"/>
      <c r="W35" s="2381"/>
      <c r="X35" s="2381"/>
      <c r="Y35" s="2381"/>
      <c r="Z35" s="2381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1"/>
      <c r="AB35" s="2381"/>
      <c r="AC35" s="2381"/>
      <c r="AD35" s="2381"/>
      <c r="AE35" s="2381"/>
      <c r="AF35" s="2381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1"/>
      <c r="AH35" s="2381"/>
      <c r="AI35" s="2381"/>
      <c r="AJ35" s="2381"/>
      <c r="AK35" s="2381"/>
      <c r="AL35" s="2381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1"/>
      <c r="AN35" s="2381"/>
      <c r="AO35" s="2381"/>
      <c r="AP35" s="2381"/>
      <c r="AQ35" s="2381"/>
      <c r="AR35" s="2381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1"/>
      <c r="AT35" s="2381"/>
      <c r="AU35" s="2381"/>
      <c r="AV35" s="2381"/>
      <c r="AW35" s="2381"/>
      <c r="AX35" s="2381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1"/>
      <c r="AZ35" s="2381"/>
      <c r="BA35" s="2381"/>
      <c r="BB35" s="2381"/>
      <c r="BC35" s="2381"/>
      <c r="BD35" s="2381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1"/>
      <c r="BF35" s="2381"/>
      <c r="BG35" s="2381"/>
      <c r="BH35" s="2381"/>
      <c r="BI35" s="2381"/>
      <c r="BJ35" s="2381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1"/>
      <c r="BL35" s="2381"/>
      <c r="BM35" s="2381"/>
      <c r="BN35" s="2381"/>
      <c r="BO35" s="2381"/>
      <c r="BP35" s="2381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1"/>
      <c r="BR35" s="2381"/>
      <c r="BS35" s="2381"/>
      <c r="BT35" s="2381"/>
      <c r="BU35" s="2381"/>
      <c r="BV35" s="2381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1"/>
      <c r="BX35" s="2381"/>
      <c r="BY35" s="2381"/>
      <c r="BZ35" s="2381"/>
      <c r="CA35" s="2381"/>
      <c r="CB35" s="2381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1"/>
      <c r="CD35" s="2381"/>
      <c r="CE35" s="2381"/>
      <c r="CF35" s="2381"/>
      <c r="CG35" s="2381"/>
      <c r="CH35" s="2381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1"/>
      <c r="CJ35" s="2381"/>
      <c r="CK35" s="2381"/>
      <c r="CL35" s="2381"/>
      <c r="CM35" s="2381"/>
      <c r="CN35" s="2381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1"/>
      <c r="CP35" s="2381"/>
      <c r="CQ35" s="2381"/>
      <c r="CR35" s="2381"/>
      <c r="CS35" s="2381"/>
      <c r="CT35" s="2381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1"/>
      <c r="CV35" s="2381"/>
      <c r="CW35" s="2381"/>
      <c r="CX35" s="2381"/>
      <c r="CY35" s="2381"/>
      <c r="CZ35" s="2381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1"/>
      <c r="DB35" s="2381"/>
      <c r="DC35" s="2381"/>
      <c r="DD35" s="2381"/>
      <c r="DE35" s="2381"/>
      <c r="DF35" s="2381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1"/>
      <c r="DH35" s="2381"/>
      <c r="DI35" s="2381"/>
      <c r="DJ35" s="2381"/>
      <c r="DK35" s="2381"/>
      <c r="DL35" s="2381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1"/>
      <c r="DN35" s="2381"/>
      <c r="DO35" s="2381"/>
      <c r="DP35" s="2381"/>
      <c r="DQ35" s="2381"/>
      <c r="DR35" s="2381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1"/>
      <c r="DT35" s="2381"/>
      <c r="DU35" s="2381"/>
      <c r="DV35" s="2381"/>
      <c r="DW35" s="2381"/>
      <c r="DX35" s="2381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1"/>
      <c r="DZ35" s="2381"/>
      <c r="EA35" s="2381"/>
      <c r="EB35" s="2381"/>
      <c r="EC35" s="2381"/>
      <c r="ED35" s="2381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1"/>
      <c r="EF35" s="2381"/>
      <c r="EG35" s="2381"/>
      <c r="EH35" s="2381"/>
      <c r="EI35" s="2381"/>
      <c r="EJ35" s="2381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1"/>
      <c r="EL35" s="2381"/>
      <c r="EM35" s="2381"/>
      <c r="EN35" s="2381"/>
      <c r="EO35" s="2381"/>
      <c r="EP35" s="2381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1"/>
      <c r="ER35" s="2381"/>
      <c r="ES35" s="2381"/>
      <c r="ET35" s="2381"/>
      <c r="EU35" s="2381"/>
      <c r="EV35" s="2381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1"/>
      <c r="EX35" s="2381"/>
      <c r="EY35" s="2381"/>
      <c r="EZ35" s="2381"/>
      <c r="FA35" s="2381"/>
      <c r="FB35" s="2381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1"/>
      <c r="FD35" s="2381"/>
      <c r="FE35" s="2381"/>
      <c r="FF35" s="2381"/>
      <c r="FG35" s="2381"/>
      <c r="FH35" s="2381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1"/>
      <c r="FJ35" s="2381"/>
      <c r="FK35" s="2381"/>
      <c r="FL35" s="2381"/>
      <c r="FM35" s="2381"/>
      <c r="FN35" s="2381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1"/>
      <c r="FP35" s="2381"/>
      <c r="FQ35" s="2381"/>
      <c r="FR35" s="2381"/>
      <c r="FS35" s="2381"/>
      <c r="FT35" s="2381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1"/>
      <c r="FV35" s="2381"/>
      <c r="FW35" s="2381"/>
      <c r="FX35" s="2381"/>
      <c r="FY35" s="2381"/>
      <c r="FZ35" s="2381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1"/>
      <c r="GB35" s="2381"/>
      <c r="GC35" s="2381"/>
      <c r="GD35" s="2381"/>
      <c r="GE35" s="2381"/>
      <c r="GF35" s="1248"/>
      <c r="GG35" s="1248"/>
    </row>
    <row r="36" spans="1:190" ht="44.25" customHeight="1" x14ac:dyDescent="0.35">
      <c r="A36" s="339"/>
      <c r="B36" s="2379" t="str">
        <f>IF(Data!$GI$2&lt;&gt;"","X1: "&amp; Data!$GI$2, " ")</f>
        <v>X1: 1613 CT182 0.018"</v>
      </c>
      <c r="C36" s="2379"/>
      <c r="D36" s="2379"/>
      <c r="E36" s="2379"/>
      <c r="F36" s="2379"/>
      <c r="G36" s="2379"/>
      <c r="H36" s="2379"/>
      <c r="I36" s="2379"/>
      <c r="J36" s="2379"/>
      <c r="K36" s="2379"/>
      <c r="L36" s="2379"/>
      <c r="M36" s="2379"/>
      <c r="N36" s="2379"/>
      <c r="O36" s="2379"/>
      <c r="P36" s="2379"/>
      <c r="Q36" s="2379"/>
      <c r="R36" s="2379"/>
      <c r="S36" s="2379"/>
      <c r="T36" s="2379"/>
      <c r="U36" s="2379"/>
      <c r="V36" s="2379"/>
      <c r="W36" s="2379"/>
      <c r="X36" s="2379"/>
      <c r="Y36" s="2379"/>
      <c r="Z36" s="2379"/>
      <c r="AA36" s="2379"/>
      <c r="AB36" s="2379"/>
      <c r="AC36" s="2379" t="str">
        <f>IF(Data!$GI$3&lt;&gt;"","X2: "&amp; Data!$GI$3, " ")</f>
        <v>X2: 1608 CT200 0.018"</v>
      </c>
      <c r="AD36" s="2379"/>
      <c r="AE36" s="2379"/>
      <c r="AF36" s="2379"/>
      <c r="AG36" s="2379"/>
      <c r="AH36" s="2379"/>
      <c r="AI36" s="2379"/>
      <c r="AJ36" s="2379"/>
      <c r="AK36" s="2379"/>
      <c r="AL36" s="2379"/>
      <c r="AM36" s="2379"/>
      <c r="AN36" s="2379"/>
      <c r="AO36" s="2379"/>
      <c r="AP36" s="2379"/>
      <c r="AQ36" s="2379"/>
      <c r="AR36" s="2379"/>
      <c r="AS36" s="2379"/>
      <c r="AT36" s="2379"/>
      <c r="AU36" s="2379"/>
      <c r="AV36" s="2379"/>
      <c r="AW36" s="2379"/>
      <c r="AX36" s="2379"/>
      <c r="AY36" s="2379"/>
      <c r="AZ36" s="2379"/>
      <c r="BA36" s="2379"/>
      <c r="BB36" s="2379"/>
      <c r="BC36" s="2379"/>
      <c r="BD36" s="2379" t="str">
        <f>IF(Data!$GI$4&lt;&gt;"","X3: "&amp; Data!$GI$4, " ")</f>
        <v xml:space="preserve">X3: 1308 CT31 Drop in </v>
      </c>
      <c r="BE36" s="2379"/>
      <c r="BF36" s="2379"/>
      <c r="BG36" s="2379"/>
      <c r="BH36" s="2379"/>
      <c r="BI36" s="2379"/>
      <c r="BJ36" s="2379"/>
      <c r="BK36" s="2379"/>
      <c r="BL36" s="2379"/>
      <c r="BM36" s="2379"/>
      <c r="BN36" s="2379"/>
      <c r="BO36" s="2379"/>
      <c r="BP36" s="2379"/>
      <c r="BQ36" s="2379"/>
      <c r="BR36" s="2379"/>
      <c r="BS36" s="2379"/>
      <c r="BT36" s="2379"/>
      <c r="BU36" s="2379"/>
      <c r="BV36" s="2379"/>
      <c r="BW36" s="2379"/>
      <c r="BX36" s="2379"/>
      <c r="BY36" s="2379"/>
      <c r="BZ36" s="2379"/>
      <c r="CA36" s="2379"/>
      <c r="CB36" s="2379"/>
      <c r="CC36" s="2379"/>
      <c r="CD36" s="2379"/>
      <c r="CE36" s="2379" t="str">
        <f>IF(Data!$GI$5&lt;&gt;"","X4: "&amp; Data!$GI$5, " ")</f>
        <v xml:space="preserve"> </v>
      </c>
      <c r="CF36" s="2379"/>
      <c r="CG36" s="2379"/>
      <c r="CH36" s="2379"/>
      <c r="CI36" s="2379"/>
      <c r="CJ36" s="2379"/>
      <c r="CK36" s="2379"/>
      <c r="CL36" s="2379"/>
      <c r="CM36" s="2379"/>
      <c r="CN36" s="2379"/>
      <c r="CO36" s="2379"/>
      <c r="CP36" s="2379"/>
      <c r="CQ36" s="2379"/>
      <c r="CR36" s="2379"/>
      <c r="CS36" s="2379"/>
      <c r="CT36" s="2379"/>
      <c r="CU36" s="2379"/>
      <c r="CV36" s="2379"/>
      <c r="CW36" s="2379"/>
      <c r="CX36" s="2379"/>
      <c r="CY36" s="2379"/>
      <c r="CZ36" s="2379"/>
      <c r="DA36" s="2379"/>
      <c r="DB36" s="2379"/>
      <c r="DC36" s="2379"/>
      <c r="DD36" s="2379"/>
      <c r="DE36" s="2379"/>
      <c r="DF36" s="2379" t="str">
        <f>IF(Data!$GI$6&lt;&gt;"","X5: "&amp; Data!$GI$6, " ")</f>
        <v xml:space="preserve"> </v>
      </c>
      <c r="DG36" s="2379"/>
      <c r="DH36" s="2379"/>
      <c r="DI36" s="2379"/>
      <c r="DJ36" s="2379"/>
      <c r="DK36" s="2379"/>
      <c r="DL36" s="2379"/>
      <c r="DM36" s="2379"/>
      <c r="DN36" s="2379"/>
      <c r="DO36" s="2379"/>
      <c r="DP36" s="2379"/>
      <c r="DQ36" s="2379"/>
      <c r="DR36" s="2379"/>
      <c r="DS36" s="2379"/>
      <c r="DT36" s="2379"/>
      <c r="DU36" s="2379"/>
      <c r="DV36" s="2379"/>
      <c r="DW36" s="2379"/>
      <c r="DX36" s="2379"/>
      <c r="DY36" s="2379"/>
      <c r="DZ36" s="2379"/>
      <c r="EA36" s="2379"/>
      <c r="EB36" s="2379"/>
      <c r="EC36" s="2379"/>
      <c r="ED36" s="2379"/>
      <c r="EE36" s="2379"/>
      <c r="EF36" s="2379"/>
      <c r="EG36" s="2379" t="str">
        <f>IF(Data!$GI$7&lt;&gt;"","X6: "&amp; Data!$GI$7, " ")</f>
        <v xml:space="preserve"> </v>
      </c>
      <c r="EH36" s="2379"/>
      <c r="EI36" s="2379"/>
      <c r="EJ36" s="2379"/>
      <c r="EK36" s="2379"/>
      <c r="EL36" s="2379"/>
      <c r="EM36" s="2379"/>
      <c r="EN36" s="2379"/>
      <c r="EO36" s="2379"/>
      <c r="EP36" s="2379"/>
      <c r="EQ36" s="2379"/>
      <c r="ER36" s="2379"/>
      <c r="ES36" s="2379"/>
      <c r="ET36" s="2379"/>
      <c r="EU36" s="2379"/>
      <c r="EV36" s="2379"/>
      <c r="EW36" s="2379"/>
      <c r="EX36" s="2379"/>
      <c r="EY36" s="2379"/>
      <c r="EZ36" s="2379"/>
      <c r="FA36" s="2379"/>
      <c r="FB36" s="2379"/>
      <c r="FC36" s="2379"/>
      <c r="FD36" s="2379"/>
      <c r="FE36" s="2379"/>
      <c r="FF36" s="2379"/>
      <c r="FG36" s="2379"/>
      <c r="FH36" s="2379" t="str">
        <f>IF(Data!$GI$8&lt;&gt;"","X7: "&amp; Data!$GI$8, " ")</f>
        <v xml:space="preserve"> </v>
      </c>
      <c r="FI36" s="2379"/>
      <c r="FJ36" s="2379"/>
      <c r="FK36" s="2379"/>
      <c r="FL36" s="2379"/>
      <c r="FM36" s="2379"/>
      <c r="FN36" s="2379"/>
      <c r="FO36" s="2379"/>
      <c r="FP36" s="2379"/>
      <c r="FQ36" s="2379"/>
      <c r="FR36" s="2379"/>
      <c r="FS36" s="2379"/>
      <c r="FT36" s="2379"/>
      <c r="FU36" s="2379"/>
      <c r="FV36" s="2379"/>
      <c r="FW36" s="2379"/>
      <c r="FX36" s="2379"/>
      <c r="FY36" s="2379"/>
      <c r="FZ36" s="2379"/>
      <c r="GA36" s="2379"/>
      <c r="GB36" s="2379"/>
      <c r="GC36" s="2379"/>
      <c r="GD36" s="2379"/>
      <c r="GE36" s="2379"/>
      <c r="GF36" s="2379"/>
      <c r="GG36" s="2379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9" s="440" customFormat="1" ht="25" customHeight="1" x14ac:dyDescent="0.35">
      <c r="A1" s="443"/>
      <c r="B1" s="1596" t="s">
        <v>50</v>
      </c>
      <c r="C1" s="1596"/>
      <c r="D1" s="1596"/>
      <c r="E1" s="1597"/>
      <c r="F1" s="1543" t="s">
        <v>1471</v>
      </c>
      <c r="G1" s="1544"/>
      <c r="H1" s="1545"/>
    </row>
    <row r="2" spans="1:9" s="440" customFormat="1" ht="25" customHeight="1" x14ac:dyDescent="0.35">
      <c r="A2" s="444"/>
      <c r="B2" s="1598"/>
      <c r="C2" s="1598"/>
      <c r="D2" s="1598"/>
      <c r="E2" s="1599"/>
      <c r="F2" s="1546" t="s">
        <v>1472</v>
      </c>
      <c r="G2" s="1529"/>
      <c r="H2" s="1530"/>
    </row>
    <row r="3" spans="1:9" s="440" customFormat="1" ht="25" customHeight="1" x14ac:dyDescent="0.35">
      <c r="A3" s="1547" t="s">
        <v>1473</v>
      </c>
      <c r="B3" s="1548"/>
      <c r="C3" s="1548"/>
      <c r="D3" s="1548"/>
      <c r="E3" s="1548"/>
      <c r="F3" s="1529" t="s">
        <v>975</v>
      </c>
      <c r="G3" s="1529"/>
      <c r="H3" s="1530"/>
    </row>
    <row r="4" spans="1:9" s="440" customFormat="1" ht="25" customHeight="1" thickBot="1" x14ac:dyDescent="0.4">
      <c r="A4" s="1549"/>
      <c r="B4" s="1550"/>
      <c r="C4" s="1550"/>
      <c r="D4" s="1550"/>
      <c r="E4" s="1550"/>
      <c r="F4" s="1531" t="s">
        <v>1028</v>
      </c>
      <c r="G4" s="1531"/>
      <c r="H4" s="1532"/>
    </row>
    <row r="5" spans="1:9" s="440" customFormat="1" ht="25" customHeight="1" x14ac:dyDescent="0.3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5" customHeight="1" x14ac:dyDescent="0.35">
      <c r="A6" s="2389" t="s">
        <v>1474</v>
      </c>
      <c r="B6" s="2389"/>
      <c r="C6" s="2389"/>
      <c r="D6" s="2389"/>
      <c r="E6" s="2389"/>
      <c r="F6" s="2389"/>
      <c r="G6" s="2389"/>
      <c r="H6" s="2389"/>
    </row>
    <row r="7" spans="1:9" s="440" customFormat="1" ht="25" customHeight="1" thickBot="1" x14ac:dyDescent="0.4">
      <c r="A7" s="2390" t="s">
        <v>1475</v>
      </c>
      <c r="B7" s="2391"/>
      <c r="C7" s="2391"/>
      <c r="D7" s="2391"/>
      <c r="E7" s="2391"/>
      <c r="F7" s="2391"/>
      <c r="G7" s="2391"/>
      <c r="H7" s="2392"/>
      <c r="I7" s="440" t="s">
        <v>304</v>
      </c>
    </row>
    <row r="8" spans="1:9" s="440" customFormat="1" ht="20.149999999999999" customHeight="1" thickBot="1" x14ac:dyDescent="0.4">
      <c r="A8" s="1600"/>
      <c r="B8" s="1600"/>
      <c r="C8" s="1600"/>
      <c r="D8" s="1600"/>
      <c r="E8" s="1600"/>
      <c r="F8" s="1600"/>
      <c r="G8" s="1600"/>
      <c r="H8" s="1600"/>
    </row>
    <row r="9" spans="1:9" s="441" customFormat="1" ht="25" customHeight="1" thickBot="1" x14ac:dyDescent="0.4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2025-AR-109 </v>
      </c>
      <c r="C9" s="629" t="s">
        <v>1032</v>
      </c>
      <c r="D9" s="636">
        <f>IF(Data!B2&lt;&gt;"",Data!B2," ")</f>
        <v>13845937</v>
      </c>
      <c r="E9" s="629" t="s">
        <v>29</v>
      </c>
      <c r="F9" s="636" t="str">
        <f>IF(LEN(Data!B3)&gt;3,IF(AND(Data!B43&lt;&gt;"",Data!B43&lt;&gt;"0 0/1"""),Data!B43,""),IF(Data!B3&lt;&gt;"",Data!B3&amp;"""",""))</f>
        <v>8 3/8"</v>
      </c>
      <c r="G9" s="629" t="s">
        <v>31</v>
      </c>
      <c r="H9" s="636" t="str">
        <f>IF(Data!B4&lt;&gt;"",Data!B4," ")</f>
        <v>MM65DH-1</v>
      </c>
    </row>
    <row r="10" spans="1:9" s="441" customFormat="1" ht="25" customHeight="1" x14ac:dyDescent="0.3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3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5" customHeight="1" x14ac:dyDescent="0.35">
      <c r="B12" s="634"/>
      <c r="C12" s="629"/>
      <c r="D12" s="411"/>
      <c r="E12" s="629"/>
      <c r="F12" s="411"/>
      <c r="G12" s="629"/>
      <c r="H12" s="647"/>
    </row>
    <row r="13" spans="1:9" s="441" customFormat="1" ht="25" customHeight="1" x14ac:dyDescent="0.35">
      <c r="B13" s="634"/>
      <c r="C13" s="629"/>
      <c r="D13" s="411"/>
      <c r="E13" s="629"/>
      <c r="F13" s="411"/>
      <c r="G13" s="629"/>
      <c r="H13" s="647"/>
    </row>
    <row r="14" spans="1:9" s="441" customFormat="1" ht="25" customHeight="1" x14ac:dyDescent="0.3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5" customHeight="1" x14ac:dyDescent="0.3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5" customHeight="1" x14ac:dyDescent="0.3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5" customHeight="1" thickBot="1" x14ac:dyDescent="0.4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5" customHeight="1" x14ac:dyDescent="0.35">
      <c r="A18" s="646" t="s">
        <v>1476</v>
      </c>
      <c r="B18" s="2398"/>
      <c r="C18" s="2398"/>
      <c r="D18" s="2398"/>
      <c r="E18" s="2398"/>
      <c r="F18" s="2398"/>
      <c r="G18" s="2398"/>
      <c r="H18" s="2399"/>
    </row>
    <row r="19" spans="1:8" s="441" customFormat="1" ht="35.25" customHeight="1" thickBot="1" x14ac:dyDescent="0.4">
      <c r="A19" s="2395"/>
      <c r="B19" s="2396"/>
      <c r="C19" s="2396"/>
      <c r="D19" s="2396"/>
      <c r="E19" s="2396"/>
      <c r="F19" s="2396"/>
      <c r="G19" s="2396"/>
      <c r="H19" s="2397"/>
    </row>
    <row r="20" spans="1:8" s="441" customFormat="1" ht="20.149999999999999" customHeight="1" thickBot="1" x14ac:dyDescent="0.4">
      <c r="A20" s="1601"/>
      <c r="B20" s="1601"/>
      <c r="C20" s="1601"/>
      <c r="D20" s="1601"/>
      <c r="E20" s="1601"/>
      <c r="F20" s="1601"/>
      <c r="G20" s="1601"/>
      <c r="H20" s="1601"/>
    </row>
    <row r="21" spans="1:8" s="440" customFormat="1" ht="27" customHeight="1" x14ac:dyDescent="0.35">
      <c r="A21" s="2393" t="s">
        <v>59</v>
      </c>
      <c r="B21" s="2394"/>
      <c r="C21" s="1544"/>
      <c r="D21" s="1544"/>
      <c r="E21" s="2394" t="s">
        <v>61</v>
      </c>
      <c r="F21" s="2394"/>
      <c r="G21" s="1544"/>
      <c r="H21" s="1545"/>
    </row>
    <row r="22" spans="1:8" s="440" customFormat="1" ht="27" customHeight="1" thickBot="1" x14ac:dyDescent="0.4">
      <c r="A22" s="2409" t="s">
        <v>60</v>
      </c>
      <c r="B22" s="1619"/>
      <c r="C22" s="1531"/>
      <c r="D22" s="1531"/>
      <c r="E22" s="1619" t="s">
        <v>62</v>
      </c>
      <c r="F22" s="1619"/>
      <c r="G22" s="1531"/>
      <c r="H22" s="1532"/>
    </row>
    <row r="23" spans="1:8" s="440" customFormat="1" ht="20.149999999999999" customHeight="1" thickBot="1" x14ac:dyDescent="0.4">
      <c r="A23" s="1602"/>
      <c r="B23" s="1602"/>
      <c r="C23" s="1602"/>
      <c r="D23" s="1602"/>
      <c r="E23" s="1602"/>
      <c r="F23" s="1602"/>
      <c r="G23" s="1602"/>
      <c r="H23" s="1602"/>
    </row>
    <row r="24" spans="1:8" s="440" customFormat="1" ht="27" customHeight="1" thickBot="1" x14ac:dyDescent="0.4">
      <c r="A24" s="2400" t="s">
        <v>1036</v>
      </c>
      <c r="B24" s="2401"/>
      <c r="C24" s="1568" t="s">
        <v>54</v>
      </c>
      <c r="D24" s="1536"/>
      <c r="E24" s="1568" t="s">
        <v>55</v>
      </c>
      <c r="F24" s="1536"/>
      <c r="G24" s="1568" t="s">
        <v>56</v>
      </c>
      <c r="H24" s="1536"/>
    </row>
    <row r="25" spans="1:8" s="440" customFormat="1" ht="27" customHeight="1" thickBot="1" x14ac:dyDescent="0.4">
      <c r="A25" s="2400" t="s">
        <v>1037</v>
      </c>
      <c r="B25" s="2401"/>
      <c r="C25" s="2406" t="s">
        <v>57</v>
      </c>
      <c r="D25" s="1571"/>
      <c r="E25" s="2407" t="s">
        <v>58</v>
      </c>
      <c r="F25" s="2407"/>
      <c r="G25" s="2407" t="s">
        <v>58</v>
      </c>
      <c r="H25" s="2408"/>
    </row>
    <row r="26" spans="1:8" s="440" customFormat="1" ht="27" customHeight="1" thickBot="1" x14ac:dyDescent="0.4">
      <c r="A26" s="2400" t="s">
        <v>1038</v>
      </c>
      <c r="B26" s="2401"/>
      <c r="C26" s="2402"/>
      <c r="D26" s="1564"/>
      <c r="E26" s="1564"/>
      <c r="F26" s="1564"/>
      <c r="G26" s="1564"/>
      <c r="H26" s="1590"/>
    </row>
    <row r="27" spans="1:8" s="440" customFormat="1" ht="27" customHeight="1" thickBot="1" x14ac:dyDescent="0.4">
      <c r="A27" s="2400" t="s">
        <v>1039</v>
      </c>
      <c r="B27" s="2401"/>
      <c r="C27" s="2403"/>
      <c r="D27" s="1578"/>
      <c r="E27" s="1578"/>
      <c r="F27" s="1578"/>
      <c r="G27" s="1578"/>
      <c r="H27" s="1592"/>
    </row>
    <row r="28" spans="1:8" s="440" customFormat="1" ht="16.5" customHeight="1" thickBot="1" x14ac:dyDescent="0.4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35">
      <c r="A29" s="632" t="s">
        <v>63</v>
      </c>
      <c r="B29" s="633" t="s">
        <v>64</v>
      </c>
      <c r="C29" s="1587"/>
      <c r="D29" s="1587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35">
      <c r="A30" s="1611" t="s">
        <v>952</v>
      </c>
      <c r="B30" s="445" t="s">
        <v>66</v>
      </c>
      <c r="C30" s="2404" t="s">
        <v>67</v>
      </c>
      <c r="D30" s="2404"/>
      <c r="E30" s="2404"/>
      <c r="F30" s="2404"/>
      <c r="G30" s="2404"/>
      <c r="H30" s="2405"/>
    </row>
    <row r="31" spans="1:8" s="440" customFormat="1" ht="27" customHeight="1" x14ac:dyDescent="0.35">
      <c r="A31" s="1611"/>
      <c r="B31" s="445" t="s">
        <v>68</v>
      </c>
      <c r="C31" s="2404"/>
      <c r="D31" s="2404"/>
      <c r="E31" s="2404"/>
      <c r="F31" s="2404"/>
      <c r="G31" s="2404"/>
      <c r="H31" s="2405"/>
    </row>
    <row r="32" spans="1:8" s="440" customFormat="1" ht="27" customHeight="1" thickBot="1" x14ac:dyDescent="0.4">
      <c r="A32" s="1612"/>
      <c r="B32" s="1619" t="s">
        <v>69</v>
      </c>
      <c r="C32" s="1619"/>
      <c r="D32" s="1578"/>
      <c r="E32" s="1578"/>
      <c r="F32" s="1578"/>
      <c r="G32" s="1578"/>
      <c r="H32" s="1592"/>
    </row>
    <row r="33" spans="1:8" s="440" customFormat="1" ht="20.149999999999999" customHeight="1" x14ac:dyDescent="0.35">
      <c r="A33" s="1602"/>
      <c r="B33" s="1602"/>
      <c r="C33" s="1602"/>
      <c r="D33" s="1602"/>
      <c r="E33" s="1602"/>
      <c r="F33" s="1602"/>
      <c r="G33" s="1602"/>
      <c r="H33" s="1602"/>
    </row>
    <row r="34" spans="1:8" s="440" customFormat="1" ht="18" customHeight="1" x14ac:dyDescent="0.35"/>
    <row r="35" spans="1:8" s="440" customFormat="1" ht="18" customHeight="1" x14ac:dyDescent="0.35"/>
    <row r="36" spans="1:8" s="440" customFormat="1" ht="18" customHeight="1" x14ac:dyDescent="0.35"/>
    <row r="37" spans="1:8" s="440" customFormat="1" ht="18" customHeight="1" x14ac:dyDescent="0.35"/>
    <row r="38" spans="1:8" s="440" customFormat="1" ht="18" customHeight="1" x14ac:dyDescent="0.35"/>
    <row r="39" spans="1:8" s="440" customFormat="1" ht="18" customHeight="1" x14ac:dyDescent="0.35"/>
    <row r="40" spans="1:8" s="440" customFormat="1" ht="18" customHeight="1" x14ac:dyDescent="0.35"/>
    <row r="41" spans="1:8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43">
    <mergeCell ref="B1:E2"/>
    <mergeCell ref="F1:H1"/>
    <mergeCell ref="F2:H2"/>
    <mergeCell ref="A3:E4"/>
    <mergeCell ref="F3:H3"/>
    <mergeCell ref="F4:H4"/>
    <mergeCell ref="A23:H23"/>
    <mergeCell ref="A22:B22"/>
    <mergeCell ref="C22:D22"/>
    <mergeCell ref="E22:F22"/>
    <mergeCell ref="G22:H22"/>
    <mergeCell ref="A24:B24"/>
    <mergeCell ref="C24:D24"/>
    <mergeCell ref="E24:F24"/>
    <mergeCell ref="G24:H24"/>
    <mergeCell ref="A25:B25"/>
    <mergeCell ref="C25:D25"/>
    <mergeCell ref="E25:F25"/>
    <mergeCell ref="G25:H25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4.5" x14ac:dyDescent="0.35"/>
  <cols>
    <col min="1" max="1" width="28.453125" bestFit="1" customWidth="1"/>
    <col min="2" max="2" width="11" customWidth="1"/>
    <col min="3" max="3" width="17.1796875" customWidth="1"/>
    <col min="4" max="4" width="27.26953125" customWidth="1"/>
  </cols>
  <sheetData>
    <row r="1" spans="1:4" ht="18" customHeight="1" thickBot="1" x14ac:dyDescent="0.4">
      <c r="A1" s="2410" t="s">
        <v>1326</v>
      </c>
      <c r="B1" s="2411"/>
      <c r="C1" s="2411"/>
      <c r="D1" s="2412"/>
    </row>
    <row r="2" spans="1:4" ht="15" customHeight="1" x14ac:dyDescent="0.35">
      <c r="A2" s="586" t="s">
        <v>0</v>
      </c>
      <c r="B2" s="2413" t="s">
        <v>1</v>
      </c>
      <c r="C2" s="2414"/>
      <c r="D2" s="586" t="s">
        <v>8</v>
      </c>
    </row>
    <row r="3" spans="1:4" ht="20.25" customHeight="1" thickBot="1" x14ac:dyDescent="0.4">
      <c r="A3" s="602" t="str">
        <f>IF(Data!B1&lt;&gt;"", Data!B1, " ")</f>
        <v>2025-AR-109</v>
      </c>
      <c r="B3" s="2415">
        <f>IF(Data!B2&lt;&gt;"", Data!B2, " ")</f>
        <v>13845937</v>
      </c>
      <c r="C3" s="2416"/>
      <c r="D3" s="602">
        <f>IF(Data!B5&lt;&gt;"",Data!B5," ")</f>
        <v>1080537</v>
      </c>
    </row>
    <row r="4" spans="1:4" ht="15" customHeight="1" x14ac:dyDescent="0.35">
      <c r="A4" s="586" t="s">
        <v>7</v>
      </c>
      <c r="B4" s="2417" t="s">
        <v>6</v>
      </c>
      <c r="C4" s="2418"/>
      <c r="D4" s="2419"/>
    </row>
    <row r="5" spans="1:4" ht="20.25" customHeight="1" thickBot="1" x14ac:dyDescent="0.4">
      <c r="A5" s="602" t="str">
        <f>IF(Data!B4&lt;&gt;"",Data!B4," ")</f>
        <v>MM65DH-1</v>
      </c>
      <c r="B5" s="2421" t="str">
        <f>IF(LEN(Data!B3)&gt;3,IF(AND(Data!B43&lt;&gt;"",Data!B43&lt;&gt;"0 0/1"""),Data!B43,""),IF(Data!B3&lt;&gt;"",Data!B3&amp;"""",""))</f>
        <v>8 3/8"</v>
      </c>
      <c r="C5" s="2422"/>
      <c r="D5" s="2420"/>
    </row>
    <row r="6" spans="1:4" ht="26.25" customHeight="1" thickBot="1" x14ac:dyDescent="0.4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35">
      <c r="A7" s="590" t="s">
        <v>1327</v>
      </c>
      <c r="B7" s="299" t="s">
        <v>1328</v>
      </c>
      <c r="C7" s="591"/>
      <c r="D7" s="592"/>
    </row>
    <row r="8" spans="1:4" ht="27" customHeight="1" x14ac:dyDescent="0.35">
      <c r="A8" s="593" t="s">
        <v>1329</v>
      </c>
      <c r="B8" s="37" t="s">
        <v>1330</v>
      </c>
      <c r="C8" s="594"/>
      <c r="D8" s="595"/>
    </row>
    <row r="9" spans="1:4" ht="27" customHeight="1" x14ac:dyDescent="0.35">
      <c r="A9" s="593" t="s">
        <v>1331</v>
      </c>
      <c r="B9" s="37"/>
      <c r="C9" s="594"/>
      <c r="D9" s="595"/>
    </row>
    <row r="10" spans="1:4" ht="27" customHeight="1" x14ac:dyDescent="0.35">
      <c r="A10" s="593" t="s">
        <v>1332</v>
      </c>
      <c r="B10" s="37" t="s">
        <v>1333</v>
      </c>
      <c r="C10" s="594"/>
      <c r="D10" s="595"/>
    </row>
    <row r="11" spans="1:4" ht="27" customHeight="1" x14ac:dyDescent="0.35">
      <c r="A11" s="593" t="s">
        <v>1334</v>
      </c>
      <c r="B11" s="37"/>
      <c r="C11" s="37"/>
      <c r="D11" s="596"/>
    </row>
    <row r="12" spans="1:4" ht="27" customHeight="1" x14ac:dyDescent="0.35">
      <c r="A12" s="593" t="s">
        <v>1335</v>
      </c>
      <c r="B12" s="37" t="s">
        <v>1336</v>
      </c>
      <c r="C12" s="594"/>
      <c r="D12" s="595"/>
    </row>
    <row r="13" spans="1:4" ht="27" customHeight="1" x14ac:dyDescent="0.35">
      <c r="A13" s="593" t="s">
        <v>1337</v>
      </c>
      <c r="B13" s="37" t="s">
        <v>1338</v>
      </c>
      <c r="C13" s="594"/>
      <c r="D13" s="595"/>
    </row>
    <row r="14" spans="1:4" ht="27" customHeight="1" x14ac:dyDescent="0.35">
      <c r="A14" s="593" t="s">
        <v>1339</v>
      </c>
      <c r="B14" s="37" t="s">
        <v>1338</v>
      </c>
      <c r="C14" s="594"/>
      <c r="D14" s="595"/>
    </row>
    <row r="15" spans="1:4" ht="27" customHeight="1" x14ac:dyDescent="0.35">
      <c r="A15" s="593" t="s">
        <v>1340</v>
      </c>
      <c r="B15" s="37" t="s">
        <v>1341</v>
      </c>
      <c r="C15" s="594"/>
      <c r="D15" s="595"/>
    </row>
    <row r="16" spans="1:4" ht="27" customHeight="1" x14ac:dyDescent="0.35">
      <c r="A16" s="593" t="s">
        <v>1342</v>
      </c>
      <c r="B16" s="37" t="s">
        <v>1343</v>
      </c>
      <c r="C16" s="594"/>
      <c r="D16" s="595"/>
    </row>
    <row r="17" spans="1:4" ht="27" customHeight="1" x14ac:dyDescent="0.35">
      <c r="A17" s="593" t="s">
        <v>1344</v>
      </c>
      <c r="B17" s="37" t="s">
        <v>1345</v>
      </c>
      <c r="C17" s="594"/>
      <c r="D17" s="595"/>
    </row>
    <row r="18" spans="1:4" ht="27" customHeight="1" x14ac:dyDescent="0.35">
      <c r="A18" s="593" t="s">
        <v>1346</v>
      </c>
      <c r="B18" s="37" t="s">
        <v>1328</v>
      </c>
      <c r="C18" s="594"/>
      <c r="D18" s="595"/>
    </row>
    <row r="19" spans="1:4" ht="27" customHeight="1" x14ac:dyDescent="0.35">
      <c r="A19" s="593" t="s">
        <v>1347</v>
      </c>
      <c r="B19" s="37" t="s">
        <v>1348</v>
      </c>
      <c r="C19" s="597"/>
      <c r="D19" s="598"/>
    </row>
    <row r="20" spans="1:4" ht="27" customHeight="1" x14ac:dyDescent="0.35">
      <c r="A20" s="593" t="s">
        <v>1329</v>
      </c>
      <c r="B20" s="37" t="s">
        <v>1330</v>
      </c>
      <c r="C20" s="594"/>
      <c r="D20" s="595"/>
    </row>
    <row r="21" spans="1:4" ht="27" customHeight="1" x14ac:dyDescent="0.35">
      <c r="A21" s="593" t="s">
        <v>1349</v>
      </c>
      <c r="B21" s="37" t="s">
        <v>1350</v>
      </c>
      <c r="C21" s="594"/>
      <c r="D21" s="595"/>
    </row>
    <row r="22" spans="1:4" ht="27" customHeight="1" x14ac:dyDescent="0.35">
      <c r="A22" s="593" t="s">
        <v>1351</v>
      </c>
      <c r="B22" s="37" t="s">
        <v>1352</v>
      </c>
      <c r="C22" s="594"/>
      <c r="D22" s="595"/>
    </row>
    <row r="23" spans="1:4" ht="27" customHeight="1" x14ac:dyDescent="0.35">
      <c r="A23" s="593" t="s">
        <v>1329</v>
      </c>
      <c r="B23" s="37" t="s">
        <v>1330</v>
      </c>
      <c r="C23" s="594"/>
      <c r="D23" s="595"/>
    </row>
    <row r="24" spans="1:4" ht="27" customHeight="1" x14ac:dyDescent="0.35">
      <c r="A24" s="593" t="s">
        <v>1353</v>
      </c>
      <c r="B24" s="37"/>
      <c r="C24" s="37"/>
      <c r="D24" s="596"/>
    </row>
    <row r="25" spans="1:4" ht="27" customHeight="1" x14ac:dyDescent="0.35">
      <c r="A25" s="593" t="s">
        <v>1354</v>
      </c>
      <c r="B25" s="37"/>
      <c r="C25" s="37"/>
      <c r="D25" s="596"/>
    </row>
    <row r="26" spans="1:4" ht="27" customHeight="1" x14ac:dyDescent="0.35">
      <c r="A26" s="593" t="s">
        <v>1355</v>
      </c>
      <c r="B26" s="37" t="s">
        <v>1356</v>
      </c>
      <c r="C26" s="594"/>
      <c r="D26" s="595"/>
    </row>
    <row r="27" spans="1:4" ht="27" customHeight="1" x14ac:dyDescent="0.35">
      <c r="A27" s="593" t="s">
        <v>1357</v>
      </c>
      <c r="B27" s="37" t="s">
        <v>1358</v>
      </c>
      <c r="C27" s="594"/>
      <c r="D27" s="595"/>
    </row>
    <row r="28" spans="1:4" ht="27" customHeight="1" thickBot="1" x14ac:dyDescent="0.4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4.5" x14ac:dyDescent="0.35"/>
  <sheetData>
    <row r="4" spans="3:19" x14ac:dyDescent="0.35">
      <c r="C4">
        <v>1</v>
      </c>
      <c r="D4">
        <v>1313</v>
      </c>
      <c r="E4" t="s">
        <v>2066</v>
      </c>
      <c r="F4" t="s">
        <v>2067</v>
      </c>
      <c r="G4">
        <v>13</v>
      </c>
      <c r="H4">
        <v>1217988</v>
      </c>
    </row>
    <row r="5" spans="3:19" x14ac:dyDescent="0.35">
      <c r="C5">
        <v>2</v>
      </c>
      <c r="D5">
        <v>1313</v>
      </c>
      <c r="E5" t="s">
        <v>2066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2072</v>
      </c>
      <c r="Q5" t="s">
        <v>101</v>
      </c>
      <c r="R5">
        <v>23</v>
      </c>
      <c r="S5">
        <v>717748</v>
      </c>
    </row>
    <row r="6" spans="3:19" x14ac:dyDescent="0.3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2072</v>
      </c>
      <c r="Q6" t="s">
        <v>101</v>
      </c>
      <c r="R6">
        <v>10</v>
      </c>
      <c r="S6">
        <v>773384</v>
      </c>
    </row>
    <row r="7" spans="3:19" x14ac:dyDescent="0.35">
      <c r="C7">
        <v>4</v>
      </c>
      <c r="D7" t="s">
        <v>2042</v>
      </c>
      <c r="E7" t="s">
        <v>2061</v>
      </c>
      <c r="F7" t="s">
        <v>2068</v>
      </c>
      <c r="G7">
        <v>5</v>
      </c>
      <c r="H7">
        <v>1101509</v>
      </c>
      <c r="N7">
        <v>3</v>
      </c>
      <c r="O7">
        <v>808</v>
      </c>
      <c r="P7" t="s">
        <v>2072</v>
      </c>
      <c r="Q7" t="s">
        <v>262</v>
      </c>
      <c r="R7">
        <v>10</v>
      </c>
      <c r="S7">
        <v>882800</v>
      </c>
    </row>
    <row r="8" spans="3:19" x14ac:dyDescent="0.35">
      <c r="C8">
        <v>5</v>
      </c>
      <c r="D8">
        <v>1313</v>
      </c>
      <c r="E8" t="s">
        <v>2066</v>
      </c>
      <c r="F8" t="s">
        <v>1951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4.5" x14ac:dyDescent="0.35"/>
  <cols>
    <col min="1" max="1" width="14" style="10" customWidth="1"/>
    <col min="2" max="2" width="18.54296875" style="10" customWidth="1"/>
    <col min="3" max="3" width="98.54296875" style="804" customWidth="1"/>
    <col min="4" max="4" width="7.26953125" style="10" bestFit="1" customWidth="1"/>
    <col min="5" max="5" width="16.81640625" style="10" bestFit="1" customWidth="1"/>
    <col min="6" max="6" width="13.453125" style="10" bestFit="1" customWidth="1"/>
  </cols>
  <sheetData>
    <row r="2" spans="1:6" hidden="1" x14ac:dyDescent="0.35">
      <c r="C2" s="856" t="s">
        <v>1651</v>
      </c>
    </row>
    <row r="3" spans="1:6" hidden="1" x14ac:dyDescent="0.35">
      <c r="A3" s="5"/>
      <c r="B3" s="5"/>
      <c r="C3" s="856" t="s">
        <v>1652</v>
      </c>
    </row>
    <row r="4" spans="1:6" hidden="1" x14ac:dyDescent="0.35">
      <c r="A4" s="5"/>
      <c r="B4" s="5"/>
      <c r="C4" s="856" t="s">
        <v>1655</v>
      </c>
    </row>
    <row r="5" spans="1:6" hidden="1" x14ac:dyDescent="0.35">
      <c r="A5" s="5"/>
      <c r="B5" s="5"/>
      <c r="C5" s="856" t="s">
        <v>1581</v>
      </c>
    </row>
    <row r="6" spans="1:6" hidden="1" x14ac:dyDescent="0.35">
      <c r="A6" s="5"/>
      <c r="B6" s="5"/>
      <c r="C6" s="856" t="s">
        <v>1653</v>
      </c>
    </row>
    <row r="7" spans="1:6" ht="15" hidden="1" thickBot="1" x14ac:dyDescent="0.4">
      <c r="C7" s="856" t="s">
        <v>1654</v>
      </c>
    </row>
    <row r="8" spans="1:6" s="412" customFormat="1" ht="16" hidden="1" thickBot="1" x14ac:dyDescent="0.4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3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3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3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3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3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3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3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3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3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idden="1" x14ac:dyDescent="0.3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29" hidden="1" x14ac:dyDescent="0.3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29" hidden="1" x14ac:dyDescent="0.3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3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3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3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3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3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3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3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3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3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3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3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3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3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3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3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3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3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3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3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3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3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3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3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3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3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3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3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3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3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3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3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3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3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3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3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3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3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3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3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3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3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3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3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3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3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3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3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3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3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3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3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" hidden="1" thickBot="1" x14ac:dyDescent="0.4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35"/>
    <row r="74" spans="1:8" hidden="1" x14ac:dyDescent="0.35">
      <c r="D74" s="804"/>
      <c r="G74" s="10"/>
      <c r="H74" s="10"/>
    </row>
    <row r="75" spans="1:8" hidden="1" x14ac:dyDescent="0.35">
      <c r="C75" s="856" t="s">
        <v>1651</v>
      </c>
      <c r="D75" s="856"/>
      <c r="G75" s="10"/>
      <c r="H75" s="10"/>
    </row>
    <row r="76" spans="1:8" hidden="1" x14ac:dyDescent="0.35">
      <c r="A76" s="5"/>
      <c r="B76" s="5"/>
      <c r="C76" s="856" t="s">
        <v>1652</v>
      </c>
      <c r="D76" s="856"/>
      <c r="G76" s="10"/>
      <c r="H76" s="10"/>
    </row>
    <row r="77" spans="1:8" hidden="1" x14ac:dyDescent="0.35">
      <c r="A77" s="5"/>
      <c r="B77" s="5"/>
      <c r="C77" s="856" t="s">
        <v>1655</v>
      </c>
      <c r="D77" s="856"/>
      <c r="G77" s="10"/>
      <c r="H77" s="10"/>
    </row>
    <row r="78" spans="1:8" hidden="1" x14ac:dyDescent="0.35">
      <c r="A78" s="5"/>
      <c r="B78" s="5"/>
      <c r="C78" s="856" t="s">
        <v>1581</v>
      </c>
      <c r="D78" s="856"/>
      <c r="G78" s="10"/>
      <c r="H78" s="10"/>
    </row>
    <row r="79" spans="1:8" hidden="1" x14ac:dyDescent="0.35">
      <c r="A79" s="5"/>
      <c r="B79" s="5"/>
      <c r="C79" s="856" t="s">
        <v>1653</v>
      </c>
      <c r="D79" s="856"/>
      <c r="G79" s="10"/>
      <c r="H79" s="10"/>
    </row>
    <row r="80" spans="1:8" ht="15" hidden="1" thickBot="1" x14ac:dyDescent="0.4">
      <c r="C80" s="856" t="s">
        <v>1654</v>
      </c>
      <c r="D80" s="856"/>
      <c r="G80" s="10"/>
      <c r="H80" s="10"/>
    </row>
    <row r="81" spans="1:9" ht="16" hidden="1" thickBot="1" x14ac:dyDescent="0.4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3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3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3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3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3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3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29" hidden="1" x14ac:dyDescent="0.3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29" hidden="1" x14ac:dyDescent="0.3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29" hidden="1" x14ac:dyDescent="0.3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29" hidden="1" x14ac:dyDescent="0.3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29" hidden="1" x14ac:dyDescent="0.3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29" hidden="1" x14ac:dyDescent="0.3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3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3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3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3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3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3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3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3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3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3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3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3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3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3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3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3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3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3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3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 &amp; Quot-AR</vt:lpstr>
      <vt:lpstr>Evaluation</vt:lpstr>
      <vt:lpstr>E checklist</vt:lpstr>
      <vt:lpstr>Router Sheet</vt:lpstr>
      <vt:lpstr>LPT Report</vt:lpstr>
      <vt:lpstr>API Thread Inspection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2026-02-13T21:46:23Z</dcterms:modified>
</cp:coreProperties>
</file>